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defaultThemeVersion="166925"/>
  <mc:AlternateContent xmlns:mc="http://schemas.openxmlformats.org/markup-compatibility/2006">
    <mc:Choice Requires="x15">
      <x15ac:absPath xmlns:x15ac="http://schemas.microsoft.com/office/spreadsheetml/2010/11/ac" url="/Users/mikedanielson/Documents/SBTi Resources/Steel/"/>
    </mc:Choice>
  </mc:AlternateContent>
  <xr:revisionPtr revIDLastSave="0" documentId="13_ncr:1_{D8652EBD-7886-4043-8E9C-3BB0B94FFA9B}" xr6:coauthVersionLast="47" xr6:coauthVersionMax="47" xr10:uidLastSave="{00000000-0000-0000-0000-000000000000}"/>
  <workbookProtection workbookAlgorithmName="SHA-512" workbookHashValue="0uQuLnkmjAchNWs745RSTYURPuOX7+t+mGMAp2v6YYL4Teo9mORnp2OI4rmlxERxcXRfvCU0Z3ppJ8nnjEZ2fQ==" workbookSaltValue="WPCP6ZJ2LReEtLN3AOK4Nw==" workbookSpinCount="100000" lockStructure="1"/>
  <bookViews>
    <workbookView xWindow="38400" yWindow="600" windowWidth="38400" windowHeight="21000" xr2:uid="{7D1E06AF-B151-4CED-81A5-90FF158B5825}"/>
  </bookViews>
  <sheets>
    <sheet name="README" sheetId="11" r:id="rId1"/>
    <sheet name="Quick guide" sheetId="14" r:id="rId2"/>
    <sheet name="Iron &amp; Steelmaker Tool" sheetId="1" r:id="rId3"/>
    <sheet name="Steel Procurement Tool" sheetId="13" r:id="rId4"/>
    <sheet name="Iron &amp; steel core boundary" sheetId="27" r:id="rId5"/>
    <sheet name="Target-setting flow chart" sheetId="31" r:id="rId6"/>
    <sheet name="Database" sheetId="7" r:id="rId7"/>
    <sheet name="Calculations" sheetId="4" r:id="rId8"/>
    <sheet name="Lists" sheetId="5" state="veryHidden" r:id="rId9"/>
    <sheet name="DataArrange" sheetId="8" state="veryHidden" r:id="rId10"/>
    <sheet name="ETP2017" sheetId="9" state="veryHidden" r:id="rId11"/>
    <sheet name="Steel-data" sheetId="26" state="veryHidden" r:id="rId12"/>
    <sheet name="NZE2021" sheetId="18" state="veryHidden" r:id="rId13"/>
  </sheets>
  <definedNames>
    <definedName name="_xlnm._FilterDatabase" localSheetId="6" hidden="1">Database!$A$1:$CQ$278</definedName>
    <definedName name="CAAGR_tolerance">200</definedName>
    <definedName name="RoundFactorLong">4</definedName>
    <definedName name="RoundFactorMed">3</definedName>
    <definedName name="RoundFactorShort">3</definedName>
    <definedName name="sector">Lists!$B$2:$B$10</definedName>
    <definedName name="SmallestNonZeroValue">0.00001</definedName>
    <definedName name="SumTolerance">0.005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4" l="1"/>
  <c r="Q33" i="4"/>
  <c r="R33" i="4"/>
  <c r="S33" i="4"/>
  <c r="T33" i="4"/>
  <c r="U33" i="4"/>
  <c r="V33" i="4"/>
  <c r="W33" i="4"/>
  <c r="X33" i="4"/>
  <c r="Y33" i="4"/>
  <c r="Z33" i="4"/>
  <c r="AA33" i="4"/>
  <c r="AB33" i="4"/>
  <c r="AC33" i="4"/>
  <c r="AD33" i="4"/>
  <c r="AE33" i="4"/>
  <c r="AF33" i="4"/>
  <c r="AG33" i="4"/>
  <c r="AH33" i="4"/>
  <c r="AI33" i="4"/>
  <c r="AJ33" i="4"/>
  <c r="AK33" i="4"/>
  <c r="AL33" i="4"/>
  <c r="AM33" i="4"/>
  <c r="AN33" i="4"/>
  <c r="AO33" i="4"/>
  <c r="AP33" i="4"/>
  <c r="AQ33" i="4"/>
  <c r="AR33" i="4"/>
  <c r="AS33" i="4"/>
  <c r="AT33" i="4"/>
  <c r="AU33" i="4"/>
  <c r="AV33" i="4"/>
  <c r="AW33" i="4"/>
  <c r="AX33" i="4"/>
  <c r="D33" i="4"/>
  <c r="E33" i="4"/>
  <c r="F33" i="4"/>
  <c r="G33" i="4"/>
  <c r="H33" i="4"/>
  <c r="I33" i="4"/>
  <c r="J33" i="4"/>
  <c r="K33" i="4"/>
  <c r="L33" i="4"/>
  <c r="M33" i="4"/>
  <c r="N33" i="4"/>
  <c r="O33" i="4"/>
  <c r="F18" i="1"/>
  <c r="K34" i="4"/>
  <c r="L34" i="4"/>
  <c r="M34" i="4"/>
  <c r="N34" i="4"/>
  <c r="O34" i="4"/>
  <c r="P34" i="4"/>
  <c r="Q34" i="4"/>
  <c r="R34" i="4"/>
  <c r="S34" i="4"/>
  <c r="T34" i="4"/>
  <c r="U34" i="4"/>
  <c r="V34" i="4"/>
  <c r="W34" i="4"/>
  <c r="X34" i="4"/>
  <c r="Y34" i="4"/>
  <c r="Z34" i="4"/>
  <c r="AA34" i="4"/>
  <c r="AB34" i="4"/>
  <c r="AC34" i="4"/>
  <c r="AD34" i="4"/>
  <c r="AE34" i="4"/>
  <c r="AF34" i="4"/>
  <c r="AG34" i="4"/>
  <c r="AH34" i="4"/>
  <c r="AI34" i="4"/>
  <c r="AJ34" i="4"/>
  <c r="AK34" i="4"/>
  <c r="AL34" i="4"/>
  <c r="AM34" i="4"/>
  <c r="AN34" i="4"/>
  <c r="E34" i="4"/>
  <c r="F34" i="4"/>
  <c r="G34" i="4"/>
  <c r="H34" i="4"/>
  <c r="I34" i="4"/>
  <c r="J34" i="4"/>
  <c r="D34" i="4"/>
  <c r="B107" i="4"/>
  <c r="O31" i="4" l="1"/>
  <c r="N31" i="4"/>
  <c r="AO50" i="4"/>
  <c r="AP50" i="4"/>
  <c r="AQ50" i="4"/>
  <c r="AR50" i="4"/>
  <c r="AS50" i="4"/>
  <c r="AT50" i="4"/>
  <c r="AU50" i="4"/>
  <c r="AV50" i="4"/>
  <c r="AW50" i="4"/>
  <c r="AX50" i="4"/>
  <c r="O46" i="4" l="1"/>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D20"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J19" i="4"/>
  <c r="E19" i="4"/>
  <c r="F19" i="4"/>
  <c r="G19" i="4"/>
  <c r="H19" i="4"/>
  <c r="I19" i="4"/>
  <c r="D19"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AP17" i="4"/>
  <c r="AQ17" i="4"/>
  <c r="AR17" i="4"/>
  <c r="AS17" i="4"/>
  <c r="AT17" i="4"/>
  <c r="AU17" i="4"/>
  <c r="AV17" i="4"/>
  <c r="AW17" i="4"/>
  <c r="AX17" i="4"/>
  <c r="D17" i="4"/>
  <c r="E13" i="4" a="1"/>
  <c r="F13" i="4" a="1"/>
  <c r="G13" i="4" a="1"/>
  <c r="H13" i="4" a="1"/>
  <c r="I13" i="4" a="1"/>
  <c r="J13" i="4" a="1"/>
  <c r="K13" i="4" a="1"/>
  <c r="L13" i="4" a="1"/>
  <c r="M13" i="4" a="1"/>
  <c r="N13" i="4" a="1"/>
  <c r="O13" i="4" a="1"/>
  <c r="P13" i="4" a="1"/>
  <c r="Q13" i="4" a="1"/>
  <c r="R13" i="4" a="1"/>
  <c r="S13" i="4" a="1"/>
  <c r="T13" i="4" a="1"/>
  <c r="U13" i="4" a="1"/>
  <c r="V13" i="4" a="1"/>
  <c r="W13" i="4" a="1"/>
  <c r="X13" i="4" a="1"/>
  <c r="Y13" i="4" a="1"/>
  <c r="Z13" i="4" a="1"/>
  <c r="AA13" i="4" a="1"/>
  <c r="AB13" i="4" a="1"/>
  <c r="AC13" i="4" a="1"/>
  <c r="AD13" i="4" a="1"/>
  <c r="AE13" i="4" a="1"/>
  <c r="AF13" i="4" a="1"/>
  <c r="AG13" i="4" a="1"/>
  <c r="AH13" i="4" a="1"/>
  <c r="AI13" i="4" a="1"/>
  <c r="AJ13" i="4" a="1"/>
  <c r="AK13" i="4" a="1"/>
  <c r="AL13" i="4" a="1"/>
  <c r="AM13" i="4" a="1"/>
  <c r="AN13" i="4" a="1"/>
  <c r="D13" i="4" a="1"/>
  <c r="K12" i="4" a="1"/>
  <c r="L12" i="4" a="1"/>
  <c r="M12" i="4" a="1"/>
  <c r="N12" i="4" a="1"/>
  <c r="O12" i="4" a="1"/>
  <c r="P12" i="4" a="1"/>
  <c r="Q12" i="4" a="1"/>
  <c r="R12" i="4" a="1"/>
  <c r="S12" i="4" a="1"/>
  <c r="T12" i="4" a="1"/>
  <c r="U12" i="4" a="1"/>
  <c r="V12" i="4" a="1"/>
  <c r="W12" i="4" a="1"/>
  <c r="X12" i="4" a="1"/>
  <c r="Y12" i="4" a="1"/>
  <c r="Z12" i="4" a="1"/>
  <c r="AA12" i="4" a="1"/>
  <c r="AB12" i="4" a="1"/>
  <c r="AC12" i="4" a="1"/>
  <c r="AD12" i="4" a="1"/>
  <c r="AE12" i="4" a="1"/>
  <c r="AF12" i="4" a="1"/>
  <c r="AG12" i="4" a="1"/>
  <c r="AH12" i="4" a="1"/>
  <c r="AI12" i="4" a="1"/>
  <c r="AJ12" i="4" a="1"/>
  <c r="AK12" i="4" a="1"/>
  <c r="AL12" i="4" a="1"/>
  <c r="AM12" i="4" a="1"/>
  <c r="AN12" i="4" a="1"/>
  <c r="E12" i="4" a="1"/>
  <c r="F12" i="4" a="1"/>
  <c r="G12" i="4" a="1"/>
  <c r="H12" i="4" a="1"/>
  <c r="I12" i="4" a="1"/>
  <c r="J12" i="4" a="1"/>
  <c r="D12" i="4" a="1"/>
  <c r="E26" i="26" l="1"/>
  <c r="F24" i="13"/>
  <c r="D24" i="13"/>
  <c r="F23" i="1" l="1"/>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J18" i="4"/>
  <c r="G18" i="4" s="1"/>
  <c r="D22" i="4" l="1"/>
  <c r="B33" i="1" s="1"/>
  <c r="I18" i="4"/>
  <c r="F18" i="4"/>
  <c r="H18" i="4"/>
  <c r="D18" i="4"/>
  <c r="E18" i="4"/>
  <c r="B18" i="1" l="1"/>
  <c r="D3" i="13" l="1"/>
  <c r="F5" i="1"/>
  <c r="D3" i="1"/>
  <c r="I5" i="14"/>
  <c r="G3" i="14"/>
  <c r="J96" i="8" l="1"/>
  <c r="J8" i="4" a="1"/>
  <c r="J8" i="4" s="1"/>
  <c r="D70" i="4"/>
  <c r="J69" i="4" a="1"/>
  <c r="K69" i="4" a="1"/>
  <c r="L69" i="4" a="1"/>
  <c r="M69" i="4" a="1"/>
  <c r="N69" i="4" a="1"/>
  <c r="O69" i="4" a="1"/>
  <c r="P69" i="4" a="1"/>
  <c r="Q69" i="4" a="1"/>
  <c r="R69" i="4" a="1"/>
  <c r="S69" i="4" a="1"/>
  <c r="T69" i="4" a="1"/>
  <c r="U69" i="4" a="1"/>
  <c r="V69" i="4" a="1"/>
  <c r="W69" i="4" a="1"/>
  <c r="X69" i="4" a="1"/>
  <c r="Y69" i="4" a="1"/>
  <c r="Z69" i="4" a="1"/>
  <c r="AA69" i="4" a="1"/>
  <c r="AB69" i="4" a="1"/>
  <c r="AC69" i="4" a="1"/>
  <c r="AD69" i="4" a="1"/>
  <c r="AE69" i="4" a="1"/>
  <c r="AF69" i="4" a="1"/>
  <c r="AG69" i="4" a="1"/>
  <c r="AH69" i="4" a="1"/>
  <c r="AI69" i="4" a="1"/>
  <c r="AJ69" i="4" a="1"/>
  <c r="AK69" i="4" a="1"/>
  <c r="AL69" i="4" a="1"/>
  <c r="AM69" i="4" a="1"/>
  <c r="AN69" i="4" a="1"/>
  <c r="E68" i="4" a="1"/>
  <c r="F68" i="4" a="1"/>
  <c r="G68" i="4" a="1"/>
  <c r="H68" i="4" a="1"/>
  <c r="I68" i="4" a="1"/>
  <c r="J68" i="4" a="1"/>
  <c r="K68" i="4" a="1"/>
  <c r="L68" i="4" a="1"/>
  <c r="M68" i="4" a="1"/>
  <c r="N68" i="4" a="1"/>
  <c r="O68" i="4" a="1"/>
  <c r="P68" i="4" a="1"/>
  <c r="Q68" i="4" a="1"/>
  <c r="R68" i="4" a="1"/>
  <c r="S68" i="4" a="1"/>
  <c r="T68" i="4" a="1"/>
  <c r="U68" i="4" a="1"/>
  <c r="V68" i="4" a="1"/>
  <c r="W68" i="4" a="1"/>
  <c r="X68" i="4" a="1"/>
  <c r="Y68" i="4" a="1"/>
  <c r="Z68" i="4" a="1"/>
  <c r="AA68" i="4" a="1"/>
  <c r="AB68" i="4" a="1"/>
  <c r="AC68" i="4" a="1"/>
  <c r="AD68" i="4" a="1"/>
  <c r="AE68" i="4" a="1"/>
  <c r="AF68" i="4" a="1"/>
  <c r="AG68" i="4" a="1"/>
  <c r="AH68" i="4" a="1"/>
  <c r="AI68" i="4" a="1"/>
  <c r="AJ68" i="4" a="1"/>
  <c r="AK68" i="4" a="1"/>
  <c r="AL68" i="4" a="1"/>
  <c r="AM68" i="4" a="1"/>
  <c r="AN68" i="4" a="1"/>
  <c r="AO68" i="4" a="1"/>
  <c r="AP68" i="4" a="1"/>
  <c r="AQ68" i="4" a="1"/>
  <c r="AR68" i="4" a="1"/>
  <c r="AS68" i="4" a="1"/>
  <c r="AT68" i="4" a="1"/>
  <c r="AU68" i="4" a="1"/>
  <c r="AV68" i="4" a="1"/>
  <c r="AW68" i="4" a="1"/>
  <c r="AX68" i="4" a="1"/>
  <c r="D68" i="4" a="1"/>
  <c r="AK70" i="4" l="1"/>
  <c r="AC70" i="4"/>
  <c r="V70" i="4"/>
  <c r="N70" i="4"/>
  <c r="AB70" i="4"/>
  <c r="T70" i="4"/>
  <c r="AI70" i="4"/>
  <c r="AL70" i="4"/>
  <c r="AD70" i="4"/>
  <c r="W70" i="4"/>
  <c r="O70" i="4"/>
  <c r="AJ70" i="4"/>
  <c r="U70" i="4"/>
  <c r="M70" i="4"/>
  <c r="L70" i="4"/>
  <c r="AH70" i="4"/>
  <c r="AA70" i="4"/>
  <c r="S70" i="4"/>
  <c r="K70" i="4"/>
  <c r="AG70" i="4"/>
  <c r="Z70" i="4"/>
  <c r="R70" i="4"/>
  <c r="J70" i="4"/>
  <c r="AN70" i="4"/>
  <c r="D72" i="4" s="1"/>
  <c r="AF70" i="4"/>
  <c r="Y70" i="4"/>
  <c r="Q70" i="4"/>
  <c r="AM70" i="4"/>
  <c r="AE70" i="4"/>
  <c r="X70" i="4"/>
  <c r="P70" i="4"/>
  <c r="AN99" i="26"/>
  <c r="AU86" i="8"/>
  <c r="G46" i="7"/>
  <c r="G45" i="7"/>
  <c r="J13" i="26"/>
  <c r="K13" i="26"/>
  <c r="L13" i="26"/>
  <c r="M13" i="26"/>
  <c r="N13" i="26"/>
  <c r="O13" i="26"/>
  <c r="P13" i="26"/>
  <c r="Q13" i="26"/>
  <c r="R13" i="26"/>
  <c r="S13" i="26"/>
  <c r="T13" i="26"/>
  <c r="U13" i="26"/>
  <c r="V13" i="26"/>
  <c r="W13" i="26"/>
  <c r="X13" i="26"/>
  <c r="Y13" i="26"/>
  <c r="Z13" i="26"/>
  <c r="AA13" i="26"/>
  <c r="AB13" i="26"/>
  <c r="AC13" i="26"/>
  <c r="AD13" i="26"/>
  <c r="AE13" i="26"/>
  <c r="AF13" i="26"/>
  <c r="AG13" i="26"/>
  <c r="AH13" i="26"/>
  <c r="AI13" i="26"/>
  <c r="AJ13" i="26"/>
  <c r="AK13" i="26"/>
  <c r="AL13" i="26"/>
  <c r="AM13" i="26"/>
  <c r="AN13" i="26"/>
  <c r="D73" i="4" l="1"/>
  <c r="D74" i="4" s="1"/>
  <c r="G100" i="26"/>
  <c r="F100" i="26"/>
  <c r="E100" i="26"/>
  <c r="D100" i="26"/>
  <c r="G96" i="26"/>
  <c r="G101" i="26" s="1"/>
  <c r="H13" i="26" s="1"/>
  <c r="F96" i="26"/>
  <c r="F101" i="26" s="1"/>
  <c r="G13" i="26" s="1"/>
  <c r="E96" i="26"/>
  <c r="E101" i="26" s="1"/>
  <c r="F13" i="26" s="1"/>
  <c r="D96" i="26"/>
  <c r="D101" i="26" s="1"/>
  <c r="E13" i="26" s="1"/>
  <c r="G94" i="26"/>
  <c r="F94" i="26"/>
  <c r="E94" i="26"/>
  <c r="D94" i="26"/>
  <c r="H94" i="26"/>
  <c r="H100" i="26"/>
  <c r="J100" i="26"/>
  <c r="K100" i="26"/>
  <c r="L100" i="26"/>
  <c r="M100" i="26"/>
  <c r="N100" i="26"/>
  <c r="O100" i="26"/>
  <c r="P100" i="26"/>
  <c r="Q100" i="26"/>
  <c r="R100" i="26"/>
  <c r="S100" i="26"/>
  <c r="T100" i="26"/>
  <c r="U100" i="26"/>
  <c r="V100" i="26"/>
  <c r="W100" i="26"/>
  <c r="X100" i="26"/>
  <c r="Y100" i="26"/>
  <c r="Z100" i="26"/>
  <c r="AA100" i="26"/>
  <c r="AB100" i="26"/>
  <c r="AC100" i="26"/>
  <c r="AD100" i="26"/>
  <c r="AE100" i="26"/>
  <c r="AF100" i="26"/>
  <c r="AG100" i="26"/>
  <c r="AH100" i="26"/>
  <c r="AI100" i="26"/>
  <c r="AJ100" i="26"/>
  <c r="AK100" i="26"/>
  <c r="AL100" i="26"/>
  <c r="AM100" i="26"/>
  <c r="I100" i="26"/>
  <c r="AN95" i="26"/>
  <c r="AO13" i="26"/>
  <c r="K88" i="8" l="1"/>
  <c r="L88" i="8"/>
  <c r="M88" i="8"/>
  <c r="N88" i="8"/>
  <c r="J88" i="8"/>
  <c r="K87" i="8"/>
  <c r="L87" i="8"/>
  <c r="M87" i="8"/>
  <c r="N87" i="8"/>
  <c r="J87" i="8"/>
  <c r="N86" i="8"/>
  <c r="M86" i="8"/>
  <c r="L86" i="8"/>
  <c r="K86" i="8"/>
  <c r="J86" i="8"/>
  <c r="B111" i="4" l="1"/>
  <c r="B104" i="4"/>
  <c r="B16" i="13" l="1"/>
  <c r="B52" i="4" l="1"/>
  <c r="B51" i="4"/>
  <c r="C20" i="1"/>
  <c r="F20" i="1"/>
  <c r="AN11" i="26" l="1"/>
  <c r="I11" i="26" s="1"/>
  <c r="H11" i="26" s="1"/>
  <c r="G11" i="26" s="1"/>
  <c r="F11" i="26" s="1"/>
  <c r="E11" i="26" s="1"/>
  <c r="K96" i="8"/>
  <c r="L96" i="8"/>
  <c r="M96" i="8"/>
  <c r="N96" i="8"/>
  <c r="Q96" i="8"/>
  <c r="R96" i="8"/>
  <c r="S96" i="8"/>
  <c r="T96" i="8"/>
  <c r="U96" i="8"/>
  <c r="V96" i="8"/>
  <c r="W96" i="8"/>
  <c r="X96" i="8"/>
  <c r="Y96" i="8"/>
  <c r="Z96" i="8"/>
  <c r="AA96" i="8"/>
  <c r="AB96" i="8"/>
  <c r="AC96" i="8"/>
  <c r="AD96" i="8"/>
  <c r="AE96" i="8"/>
  <c r="AF96" i="8"/>
  <c r="AG96" i="8"/>
  <c r="AH96" i="8"/>
  <c r="AI96" i="8"/>
  <c r="AJ96" i="8"/>
  <c r="AK96" i="8"/>
  <c r="AL96" i="8"/>
  <c r="AM96" i="8"/>
  <c r="AN96" i="8"/>
  <c r="AO96" i="8"/>
  <c r="AP96" i="8"/>
  <c r="AQ96" i="8"/>
  <c r="AR96" i="8"/>
  <c r="AS96" i="8"/>
  <c r="AT96" i="8"/>
  <c r="P96" i="8"/>
  <c r="F14" i="26" l="1"/>
  <c r="G14" i="26"/>
  <c r="H14" i="26"/>
  <c r="J14" i="26"/>
  <c r="K14" i="26"/>
  <c r="L14" i="26"/>
  <c r="M14" i="26"/>
  <c r="N14" i="26"/>
  <c r="O14" i="26"/>
  <c r="P14" i="26"/>
  <c r="Q14" i="26"/>
  <c r="R14" i="26"/>
  <c r="S14" i="26"/>
  <c r="T14" i="26"/>
  <c r="U14" i="26"/>
  <c r="V14" i="26"/>
  <c r="W14" i="26"/>
  <c r="X14" i="26"/>
  <c r="Y14" i="26"/>
  <c r="Z14" i="26"/>
  <c r="AA14" i="26"/>
  <c r="AB14" i="26"/>
  <c r="AC14" i="26"/>
  <c r="AD14" i="26"/>
  <c r="AE14" i="26"/>
  <c r="AF14" i="26"/>
  <c r="AG14" i="26"/>
  <c r="AH14" i="26"/>
  <c r="AI14" i="26"/>
  <c r="AJ14" i="26"/>
  <c r="AK14" i="26"/>
  <c r="AL14" i="26"/>
  <c r="AM14" i="26"/>
  <c r="AN14" i="26"/>
  <c r="E14" i="26"/>
  <c r="AO14" i="26" l="1"/>
  <c r="J6" i="26"/>
  <c r="J7" i="26" s="1"/>
  <c r="L98" i="8" l="1"/>
  <c r="M98" i="8"/>
  <c r="N98" i="8"/>
  <c r="O98" i="8"/>
  <c r="K98" i="8"/>
  <c r="I5" i="26"/>
  <c r="E40" i="4" l="1"/>
  <c r="E30" i="26"/>
  <c r="E31" i="26" s="1"/>
  <c r="F26" i="26"/>
  <c r="G26" i="26" s="1"/>
  <c r="H26" i="26" s="1"/>
  <c r="I9" i="26"/>
  <c r="I6" i="26" s="1"/>
  <c r="I7" i="26" s="1"/>
  <c r="F30" i="26" l="1"/>
  <c r="F31" i="26" s="1"/>
  <c r="H9" i="26"/>
  <c r="I26" i="26"/>
  <c r="J26" i="26" s="1"/>
  <c r="H40" i="4"/>
  <c r="I12" i="26"/>
  <c r="I8" i="26"/>
  <c r="G40" i="4"/>
  <c r="F40" i="4"/>
  <c r="I40" i="4" l="1"/>
  <c r="G30" i="26"/>
  <c r="G31" i="26" s="1"/>
  <c r="G9" i="26"/>
  <c r="H30" i="26" l="1"/>
  <c r="H31" i="26" s="1"/>
  <c r="F9" i="26"/>
  <c r="I30" i="26" l="1"/>
  <c r="I31" i="26" s="1"/>
  <c r="E9" i="26"/>
  <c r="J30" i="26" l="1"/>
  <c r="J31" i="26" s="1"/>
  <c r="G25" i="1"/>
  <c r="B57" i="1" l="1"/>
  <c r="B50" i="4"/>
  <c r="B24" i="1" l="1"/>
  <c r="B25" i="1"/>
  <c r="D25" i="13"/>
  <c r="H45" i="7" l="1"/>
  <c r="H46" i="7"/>
  <c r="B45" i="7"/>
  <c r="C45" i="7"/>
  <c r="D45" i="7"/>
  <c r="E45" i="7"/>
  <c r="F45" i="7"/>
  <c r="B46" i="7"/>
  <c r="C46" i="7"/>
  <c r="D46" i="7"/>
  <c r="E46" i="7"/>
  <c r="F46" i="7"/>
  <c r="A45" i="7"/>
  <c r="A46" i="7"/>
  <c r="AT98" i="8"/>
  <c r="AS46" i="7" s="1"/>
  <c r="P98" i="8"/>
  <c r="O46" i="7" s="1"/>
  <c r="D45" i="4" l="1"/>
  <c r="D44" i="4"/>
  <c r="C44" i="4"/>
  <c r="D50" i="4" l="1"/>
  <c r="D49" i="4"/>
  <c r="C43" i="4"/>
  <c r="D42" i="4"/>
  <c r="D107" i="4" s="1"/>
  <c r="D41" i="4"/>
  <c r="D40" i="4" l="1"/>
  <c r="C42" i="4"/>
  <c r="C41" i="4"/>
  <c r="A44" i="7" l="1"/>
  <c r="C44" i="7"/>
  <c r="D44" i="7"/>
  <c r="E44" i="7"/>
  <c r="F44" i="7"/>
  <c r="G44" i="7"/>
  <c r="H44" i="7"/>
  <c r="B44" i="7"/>
  <c r="O87" i="8"/>
  <c r="P87" i="8"/>
  <c r="Q87" i="8"/>
  <c r="R87" i="8"/>
  <c r="S87" i="8"/>
  <c r="T87" i="8"/>
  <c r="U87" i="8"/>
  <c r="V87" i="8"/>
  <c r="W87" i="8"/>
  <c r="X87" i="8"/>
  <c r="Y87" i="8"/>
  <c r="Z87" i="8"/>
  <c r="AA87" i="8"/>
  <c r="AB87" i="8"/>
  <c r="AC87" i="8"/>
  <c r="AD87" i="8"/>
  <c r="AE87" i="8"/>
  <c r="AF87" i="8"/>
  <c r="AG87" i="8"/>
  <c r="AH87" i="8"/>
  <c r="AI87" i="8"/>
  <c r="AJ87" i="8"/>
  <c r="AK87" i="8"/>
  <c r="AL87" i="8"/>
  <c r="AM87" i="8"/>
  <c r="AN87" i="8"/>
  <c r="AO87" i="8"/>
  <c r="AP87" i="8"/>
  <c r="AQ87" i="8"/>
  <c r="AR87" i="8"/>
  <c r="AS87" i="8"/>
  <c r="AT87" i="8"/>
  <c r="AM104" i="26" l="1"/>
  <c r="AC104" i="26"/>
  <c r="AD104" i="26" s="1"/>
  <c r="AE104" i="26" s="1"/>
  <c r="AF104" i="26" s="1"/>
  <c r="AG104" i="26" s="1"/>
  <c r="AH104" i="26" s="1"/>
  <c r="AI104" i="26" s="1"/>
  <c r="AJ104" i="26" s="1"/>
  <c r="AK104" i="26" s="1"/>
  <c r="AL104" i="26" s="1"/>
  <c r="S104" i="26"/>
  <c r="I104" i="26"/>
  <c r="L36" i="7"/>
  <c r="J36" i="7"/>
  <c r="I36" i="7"/>
  <c r="AN86" i="26"/>
  <c r="J104" i="26" l="1"/>
  <c r="K104" i="26" s="1"/>
  <c r="L104" i="26" s="1"/>
  <c r="M104" i="26" s="1"/>
  <c r="N104" i="26" s="1"/>
  <c r="O104" i="26" s="1"/>
  <c r="P104" i="26" s="1"/>
  <c r="Q104" i="26" s="1"/>
  <c r="R104" i="26" s="1"/>
  <c r="T104" i="26"/>
  <c r="U104" i="26" s="1"/>
  <c r="V104" i="26" s="1"/>
  <c r="W104" i="26" s="1"/>
  <c r="X104" i="26" s="1"/>
  <c r="Y104" i="26" s="1"/>
  <c r="Z104" i="26" s="1"/>
  <c r="AA104" i="26" s="1"/>
  <c r="AB104" i="26" s="1"/>
  <c r="M36" i="7"/>
  <c r="K36" i="7"/>
  <c r="AN100" i="26"/>
  <c r="J87" i="26" l="1"/>
  <c r="K87" i="26"/>
  <c r="L87" i="26"/>
  <c r="M87" i="26"/>
  <c r="N87" i="26"/>
  <c r="O87" i="26"/>
  <c r="P87" i="26"/>
  <c r="Q87" i="26"/>
  <c r="R87" i="26"/>
  <c r="S87" i="26"/>
  <c r="T87" i="26"/>
  <c r="U87" i="26"/>
  <c r="V87" i="26"/>
  <c r="W87" i="26"/>
  <c r="X87" i="26"/>
  <c r="Y87" i="26"/>
  <c r="Z87" i="26"/>
  <c r="AA87" i="26"/>
  <c r="AB87" i="26"/>
  <c r="AC87" i="26"/>
  <c r="AD87" i="26"/>
  <c r="AE87" i="26"/>
  <c r="AF87" i="26"/>
  <c r="AG87" i="26"/>
  <c r="AH87" i="26"/>
  <c r="AI87" i="26"/>
  <c r="AJ87" i="26"/>
  <c r="AK87" i="26"/>
  <c r="AL87" i="26"/>
  <c r="AM87" i="26"/>
  <c r="I87" i="26"/>
  <c r="J154" i="26"/>
  <c r="J155" i="26"/>
  <c r="J153" i="26"/>
  <c r="G156" i="26"/>
  <c r="E156" i="26"/>
  <c r="D156" i="26"/>
  <c r="D133" i="26" s="1"/>
  <c r="F155" i="26"/>
  <c r="F154" i="26"/>
  <c r="F153" i="26"/>
  <c r="F150" i="26"/>
  <c r="D130" i="26" l="1"/>
  <c r="D129" i="26"/>
  <c r="D131" i="26"/>
  <c r="D132" i="26"/>
  <c r="E133" i="26"/>
  <c r="E132" i="26" s="1"/>
  <c r="F156" i="26"/>
  <c r="F133" i="26" s="1"/>
  <c r="F131" i="26" s="1"/>
  <c r="G133" i="26"/>
  <c r="G132" i="26" s="1"/>
  <c r="AN87" i="26"/>
  <c r="F130" i="26" l="1"/>
  <c r="G131" i="26"/>
  <c r="G129" i="26"/>
  <c r="G130" i="26"/>
  <c r="E129" i="26"/>
  <c r="E131" i="26"/>
  <c r="E130" i="26"/>
  <c r="D137" i="26"/>
  <c r="D136" i="26"/>
  <c r="F129" i="26"/>
  <c r="F132" i="26"/>
  <c r="D167" i="26"/>
  <c r="D172" i="26" s="1"/>
  <c r="I172" i="26" s="1"/>
  <c r="I164" i="26"/>
  <c r="H164" i="26"/>
  <c r="I163" i="26"/>
  <c r="H163" i="26"/>
  <c r="I162" i="26"/>
  <c r="H162" i="26"/>
  <c r="I161" i="26"/>
  <c r="H161" i="26"/>
  <c r="I160" i="26"/>
  <c r="H160" i="26"/>
  <c r="F126" i="26"/>
  <c r="G124" i="26"/>
  <c r="F124" i="26"/>
  <c r="E124" i="26"/>
  <c r="D124" i="26"/>
  <c r="D139" i="26" l="1"/>
  <c r="D110" i="26"/>
  <c r="E137" i="26"/>
  <c r="E136" i="26"/>
  <c r="G137" i="26"/>
  <c r="G136" i="26"/>
  <c r="F136" i="26"/>
  <c r="F137" i="26"/>
  <c r="D138" i="26"/>
  <c r="D140" i="26" s="1"/>
  <c r="D109" i="26"/>
  <c r="F141" i="26" l="1"/>
  <c r="G138" i="26"/>
  <c r="G109" i="26"/>
  <c r="G139" i="26"/>
  <c r="G110" i="26"/>
  <c r="E109" i="26"/>
  <c r="E138" i="26"/>
  <c r="E140" i="26" s="1"/>
  <c r="E144" i="26" s="1"/>
  <c r="F139" i="26"/>
  <c r="F110" i="26"/>
  <c r="E110" i="26"/>
  <c r="E139" i="26"/>
  <c r="I90" i="26"/>
  <c r="I105" i="26" s="1"/>
  <c r="D111" i="26"/>
  <c r="D115" i="26" s="1"/>
  <c r="D113" i="26"/>
  <c r="I91" i="26"/>
  <c r="D114" i="26"/>
  <c r="I93" i="26" s="1"/>
  <c r="I102" i="26" s="1"/>
  <c r="F109" i="26"/>
  <c r="F138" i="26"/>
  <c r="E141" i="26"/>
  <c r="D141" i="26"/>
  <c r="G141" i="26"/>
  <c r="D144" i="26"/>
  <c r="D145" i="26"/>
  <c r="D146" i="26" s="1"/>
  <c r="D112" i="26" l="1"/>
  <c r="I92" i="26"/>
  <c r="I103" i="26" s="1"/>
  <c r="D116" i="26"/>
  <c r="S90" i="26"/>
  <c r="S105" i="26" s="1"/>
  <c r="E113" i="26"/>
  <c r="E111" i="26"/>
  <c r="F114" i="26"/>
  <c r="AC93" i="26" s="1"/>
  <c r="AC102" i="26" s="1"/>
  <c r="AC91" i="26"/>
  <c r="D117" i="26"/>
  <c r="I97" i="26" s="1"/>
  <c r="I89" i="26"/>
  <c r="I98" i="26" s="1"/>
  <c r="G114" i="26"/>
  <c r="AM93" i="26" s="1"/>
  <c r="AM102" i="26" s="1"/>
  <c r="AM91" i="26"/>
  <c r="G113" i="26"/>
  <c r="G111" i="26"/>
  <c r="AM90" i="26"/>
  <c r="AM105" i="26" s="1"/>
  <c r="F111" i="26"/>
  <c r="F115" i="26" s="1"/>
  <c r="AC90" i="26"/>
  <c r="AC105" i="26" s="1"/>
  <c r="F113" i="26"/>
  <c r="F140" i="26"/>
  <c r="F145" i="26" s="1"/>
  <c r="F146" i="26" s="1"/>
  <c r="S91" i="26"/>
  <c r="J91" i="26" s="1"/>
  <c r="E114" i="26"/>
  <c r="S93" i="26" s="1"/>
  <c r="S102" i="26" s="1"/>
  <c r="G140" i="26"/>
  <c r="G145" i="26" s="1"/>
  <c r="G146" i="26" s="1"/>
  <c r="E145" i="26"/>
  <c r="E146" i="26" s="1"/>
  <c r="T90" i="26" l="1"/>
  <c r="T93" i="26"/>
  <c r="AD90" i="26"/>
  <c r="F144" i="26"/>
  <c r="K91" i="26"/>
  <c r="L91" i="26" s="1"/>
  <c r="M91" i="26" s="1"/>
  <c r="N91" i="26" s="1"/>
  <c r="O91" i="26" s="1"/>
  <c r="P91" i="26" s="1"/>
  <c r="Q91" i="26" s="1"/>
  <c r="R91" i="26" s="1"/>
  <c r="G144" i="26"/>
  <c r="AC89" i="26"/>
  <c r="F117" i="26"/>
  <c r="AC97" i="26" s="1"/>
  <c r="F112" i="26"/>
  <c r="AC92" i="26"/>
  <c r="AC103" i="26" s="1"/>
  <c r="F116" i="26"/>
  <c r="I94" i="26"/>
  <c r="H96" i="26" s="1"/>
  <c r="H101" i="26" s="1"/>
  <c r="I13" i="26" s="1"/>
  <c r="S92" i="26"/>
  <c r="E116" i="26"/>
  <c r="AM92" i="26"/>
  <c r="G116" i="26"/>
  <c r="AD93" i="26"/>
  <c r="G117" i="26"/>
  <c r="AM97" i="26" s="1"/>
  <c r="AM89" i="26"/>
  <c r="AM98" i="26" s="1"/>
  <c r="G112" i="26"/>
  <c r="G115" i="26"/>
  <c r="AD91" i="26"/>
  <c r="AE91" i="26" s="1"/>
  <c r="AF91" i="26" s="1"/>
  <c r="AG91" i="26" s="1"/>
  <c r="AH91" i="26" s="1"/>
  <c r="AI91" i="26" s="1"/>
  <c r="AJ91" i="26" s="1"/>
  <c r="AK91" i="26" s="1"/>
  <c r="AL91" i="26" s="1"/>
  <c r="T91" i="26"/>
  <c r="U91" i="26" s="1"/>
  <c r="V91" i="26" s="1"/>
  <c r="W91" i="26" s="1"/>
  <c r="X91" i="26" s="1"/>
  <c r="Y91" i="26" s="1"/>
  <c r="Z91" i="26" s="1"/>
  <c r="AA91" i="26" s="1"/>
  <c r="AB91" i="26" s="1"/>
  <c r="J90" i="26"/>
  <c r="J105" i="26" s="1"/>
  <c r="E117" i="26"/>
  <c r="S97" i="26" s="1"/>
  <c r="J97" i="26" s="1"/>
  <c r="K97" i="26" s="1"/>
  <c r="L97" i="26" s="1"/>
  <c r="M97" i="26" s="1"/>
  <c r="N97" i="26" s="1"/>
  <c r="O97" i="26" s="1"/>
  <c r="P97" i="26" s="1"/>
  <c r="Q97" i="26" s="1"/>
  <c r="R97" i="26" s="1"/>
  <c r="S89" i="26"/>
  <c r="E115" i="26"/>
  <c r="E112" i="26"/>
  <c r="J93" i="26"/>
  <c r="J102" i="26" s="1"/>
  <c r="O96" i="8" l="1"/>
  <c r="I14" i="26"/>
  <c r="I96" i="26"/>
  <c r="I101" i="26" s="1"/>
  <c r="O44" i="7"/>
  <c r="AE90" i="26"/>
  <c r="AD105" i="26"/>
  <c r="T89" i="26"/>
  <c r="U89" i="26" s="1"/>
  <c r="V89" i="26" s="1"/>
  <c r="W89" i="26" s="1"/>
  <c r="X89" i="26" s="1"/>
  <c r="Y89" i="26" s="1"/>
  <c r="Z89" i="26" s="1"/>
  <c r="AA89" i="26" s="1"/>
  <c r="AB89" i="26" s="1"/>
  <c r="U90" i="26"/>
  <c r="T105" i="26"/>
  <c r="AM94" i="26"/>
  <c r="AM103" i="26"/>
  <c r="J92" i="26"/>
  <c r="J103" i="26" s="1"/>
  <c r="S103" i="26"/>
  <c r="U93" i="26"/>
  <c r="T102" i="26"/>
  <c r="AE93" i="26"/>
  <c r="AD102" i="26"/>
  <c r="T97" i="26"/>
  <c r="U97" i="26" s="1"/>
  <c r="V97" i="26" s="1"/>
  <c r="W97" i="26" s="1"/>
  <c r="X97" i="26" s="1"/>
  <c r="Y97" i="26" s="1"/>
  <c r="Z97" i="26" s="1"/>
  <c r="AA97" i="26" s="1"/>
  <c r="AB97" i="26" s="1"/>
  <c r="AD97" i="26"/>
  <c r="AE97" i="26" s="1"/>
  <c r="AF97" i="26" s="1"/>
  <c r="AG97" i="26" s="1"/>
  <c r="AH97" i="26" s="1"/>
  <c r="AI97" i="26" s="1"/>
  <c r="AJ97" i="26" s="1"/>
  <c r="AK97" i="26" s="1"/>
  <c r="AL97" i="26" s="1"/>
  <c r="J89" i="26"/>
  <c r="K90" i="26"/>
  <c r="S98" i="26"/>
  <c r="AC98" i="26"/>
  <c r="AD89" i="26"/>
  <c r="AE89" i="26" s="1"/>
  <c r="AF89" i="26" s="1"/>
  <c r="AG89" i="26" s="1"/>
  <c r="AH89" i="26" s="1"/>
  <c r="AI89" i="26" s="1"/>
  <c r="AJ89" i="26" s="1"/>
  <c r="AK89" i="26" s="1"/>
  <c r="AL89" i="26" s="1"/>
  <c r="AN91" i="26"/>
  <c r="K93" i="26"/>
  <c r="T92" i="26"/>
  <c r="T103" i="26" s="1"/>
  <c r="S94" i="26"/>
  <c r="AD92" i="26"/>
  <c r="AC94" i="26"/>
  <c r="AC96" i="26" s="1"/>
  <c r="AC101" i="26" s="1"/>
  <c r="S96" i="26" l="1"/>
  <c r="S101" i="26" s="1"/>
  <c r="AM96" i="26"/>
  <c r="AM101" i="26" s="1"/>
  <c r="V90" i="26"/>
  <c r="U105" i="26"/>
  <c r="L90" i="26"/>
  <c r="K105" i="26"/>
  <c r="AF90" i="26"/>
  <c r="AE105" i="26"/>
  <c r="Y44" i="7"/>
  <c r="AS44" i="7"/>
  <c r="I15" i="26"/>
  <c r="J94" i="26"/>
  <c r="AF93" i="26"/>
  <c r="AE102" i="26"/>
  <c r="AE92" i="26"/>
  <c r="AD103" i="26"/>
  <c r="V93" i="26"/>
  <c r="U102" i="26"/>
  <c r="L93" i="26"/>
  <c r="K102" i="26"/>
  <c r="K92" i="26"/>
  <c r="K103" i="26" s="1"/>
  <c r="AD94" i="26"/>
  <c r="AD96" i="26" s="1"/>
  <c r="AD101" i="26" s="1"/>
  <c r="U92" i="26"/>
  <c r="U103" i="26" s="1"/>
  <c r="T94" i="26"/>
  <c r="K89" i="26"/>
  <c r="L89" i="26" s="1"/>
  <c r="M89" i="26" s="1"/>
  <c r="N89" i="26" s="1"/>
  <c r="O89" i="26" s="1"/>
  <c r="P89" i="26" s="1"/>
  <c r="Q89" i="26" s="1"/>
  <c r="R89" i="26" s="1"/>
  <c r="AN97" i="26"/>
  <c r="T96" i="26" l="1"/>
  <c r="T101" i="26" s="1"/>
  <c r="J96" i="26"/>
  <c r="J101" i="26" s="1"/>
  <c r="I16" i="26"/>
  <c r="O97" i="8" s="1"/>
  <c r="I29" i="26"/>
  <c r="I42" i="4" s="1"/>
  <c r="I107" i="4" s="1"/>
  <c r="K94" i="26"/>
  <c r="P44" i="7"/>
  <c r="L92" i="26"/>
  <c r="L103" i="26" s="1"/>
  <c r="N44" i="7"/>
  <c r="I69" i="4" s="1" a="1"/>
  <c r="I70" i="4" s="1"/>
  <c r="AG90" i="26"/>
  <c r="AF105" i="26"/>
  <c r="Z44" i="7"/>
  <c r="M90" i="26"/>
  <c r="L105" i="26"/>
  <c r="Q44" i="7"/>
  <c r="AI44" i="7"/>
  <c r="W90" i="26"/>
  <c r="V105" i="26"/>
  <c r="M93" i="26"/>
  <c r="L102" i="26"/>
  <c r="W93" i="26"/>
  <c r="V102" i="26"/>
  <c r="AF92" i="26"/>
  <c r="AE103" i="26"/>
  <c r="AG93" i="26"/>
  <c r="AF102" i="26"/>
  <c r="AE94" i="26"/>
  <c r="AE96" i="26" s="1"/>
  <c r="AE101" i="26" s="1"/>
  <c r="AN89" i="26"/>
  <c r="V92" i="26"/>
  <c r="V103" i="26" s="1"/>
  <c r="U94" i="26"/>
  <c r="U96" i="26" l="1"/>
  <c r="U101" i="26" s="1"/>
  <c r="K96" i="26"/>
  <c r="K101" i="26" s="1"/>
  <c r="L94" i="26"/>
  <c r="M92" i="26"/>
  <c r="M103" i="26" s="1"/>
  <c r="AJ44" i="7"/>
  <c r="M44" i="7"/>
  <c r="H69" i="4" s="1" a="1"/>
  <c r="H70" i="4" s="1"/>
  <c r="R44" i="7"/>
  <c r="N90" i="26"/>
  <c r="M105" i="26"/>
  <c r="X90" i="26"/>
  <c r="W105" i="26"/>
  <c r="AA44" i="7"/>
  <c r="AH90" i="26"/>
  <c r="AG105" i="26"/>
  <c r="AH93" i="26"/>
  <c r="AG102" i="26"/>
  <c r="X93" i="26"/>
  <c r="W102" i="26"/>
  <c r="AG92" i="26"/>
  <c r="AF103" i="26"/>
  <c r="N93" i="26"/>
  <c r="M102" i="26"/>
  <c r="AF94" i="26"/>
  <c r="AF96" i="26" s="1"/>
  <c r="AF101" i="26" s="1"/>
  <c r="W92" i="26"/>
  <c r="W103" i="26" s="1"/>
  <c r="V94" i="26"/>
  <c r="V96" i="26" l="1"/>
  <c r="V101" i="26" s="1"/>
  <c r="M94" i="26"/>
  <c r="L96" i="26"/>
  <c r="L101" i="26" s="1"/>
  <c r="N92" i="26"/>
  <c r="N103" i="26" s="1"/>
  <c r="O90" i="26"/>
  <c r="N105" i="26"/>
  <c r="AB44" i="7"/>
  <c r="L44" i="7"/>
  <c r="G69" i="4" s="1" a="1"/>
  <c r="G70" i="4" s="1"/>
  <c r="S44" i="7"/>
  <c r="AI90" i="26"/>
  <c r="AH105" i="26"/>
  <c r="AK44" i="7"/>
  <c r="Y90" i="26"/>
  <c r="X105" i="26"/>
  <c r="Y93" i="26"/>
  <c r="X102" i="26"/>
  <c r="AH92" i="26"/>
  <c r="AG103" i="26"/>
  <c r="O93" i="26"/>
  <c r="N102" i="26"/>
  <c r="AI93" i="26"/>
  <c r="AH102" i="26"/>
  <c r="AG94" i="26"/>
  <c r="AG96" i="26" s="1"/>
  <c r="AG101" i="26" s="1"/>
  <c r="X92" i="26"/>
  <c r="X103" i="26" s="1"/>
  <c r="W94" i="26"/>
  <c r="W96" i="26" l="1"/>
  <c r="W101" i="26" s="1"/>
  <c r="N94" i="26"/>
  <c r="O92" i="26"/>
  <c r="O103" i="26" s="1"/>
  <c r="M96" i="26"/>
  <c r="M101" i="26" s="1"/>
  <c r="AC44" i="7"/>
  <c r="Z90" i="26"/>
  <c r="Y105" i="26"/>
  <c r="K44" i="7"/>
  <c r="F69" i="4" s="1" a="1"/>
  <c r="F70" i="4" s="1"/>
  <c r="T44" i="7"/>
  <c r="AL44" i="7"/>
  <c r="AJ90" i="26"/>
  <c r="AI105" i="26"/>
  <c r="P90" i="26"/>
  <c r="O105" i="26"/>
  <c r="AJ93" i="26"/>
  <c r="AI102" i="26"/>
  <c r="AI92" i="26"/>
  <c r="AH103" i="26"/>
  <c r="P93" i="26"/>
  <c r="O102" i="26"/>
  <c r="Z93" i="26"/>
  <c r="Y102" i="26"/>
  <c r="AH94" i="26"/>
  <c r="AH96" i="26" s="1"/>
  <c r="AH101" i="26" s="1"/>
  <c r="Y92" i="26"/>
  <c r="Y103" i="26" s="1"/>
  <c r="X94" i="26"/>
  <c r="O94" i="26"/>
  <c r="P92" i="26" l="1"/>
  <c r="P103" i="26" s="1"/>
  <c r="X96" i="26"/>
  <c r="X101" i="26" s="1"/>
  <c r="N96" i="26"/>
  <c r="N101" i="26" s="1"/>
  <c r="O96" i="26"/>
  <c r="O101" i="26" s="1"/>
  <c r="J44" i="7"/>
  <c r="E69" i="4" s="1" a="1"/>
  <c r="E70" i="4" s="1"/>
  <c r="AM44" i="7"/>
  <c r="Q90" i="26"/>
  <c r="P105" i="26"/>
  <c r="U44" i="7"/>
  <c r="AK90" i="26"/>
  <c r="AJ105" i="26"/>
  <c r="AD44" i="7"/>
  <c r="AA90" i="26"/>
  <c r="Z105" i="26"/>
  <c r="AA93" i="26"/>
  <c r="Z102" i="26"/>
  <c r="AJ92" i="26"/>
  <c r="AI103" i="26"/>
  <c r="Q93" i="26"/>
  <c r="P102" i="26"/>
  <c r="AK93" i="26"/>
  <c r="AJ102" i="26"/>
  <c r="AI94" i="26"/>
  <c r="AI96" i="26" s="1"/>
  <c r="AI101" i="26" s="1"/>
  <c r="Z92" i="26"/>
  <c r="Z103" i="26" s="1"/>
  <c r="Y94" i="26"/>
  <c r="Q92" i="26"/>
  <c r="Q103" i="26" s="1"/>
  <c r="P94" i="26"/>
  <c r="E81" i="26"/>
  <c r="U9" i="26"/>
  <c r="K9" i="26"/>
  <c r="E73" i="4" l="1"/>
  <c r="AI73" i="4"/>
  <c r="Z73" i="4"/>
  <c r="W73" i="4"/>
  <c r="M73" i="4"/>
  <c r="AJ73" i="4"/>
  <c r="Y73" i="4"/>
  <c r="K73" i="4"/>
  <c r="O73" i="4"/>
  <c r="P73" i="4"/>
  <c r="U73" i="4"/>
  <c r="AD73" i="4"/>
  <c r="AH73" i="4"/>
  <c r="AE73" i="4"/>
  <c r="S73" i="4"/>
  <c r="L73" i="4"/>
  <c r="AB73" i="4"/>
  <c r="X73" i="4"/>
  <c r="Q73" i="4"/>
  <c r="AL73" i="4"/>
  <c r="R73" i="4"/>
  <c r="AK73" i="4"/>
  <c r="AM73" i="4"/>
  <c r="AA73" i="4"/>
  <c r="AC73" i="4"/>
  <c r="V73" i="4"/>
  <c r="N73" i="4"/>
  <c r="T73" i="4"/>
  <c r="AN73" i="4"/>
  <c r="AF73" i="4"/>
  <c r="J73" i="4"/>
  <c r="AG73" i="4"/>
  <c r="I73" i="4"/>
  <c r="H73" i="4"/>
  <c r="G73" i="4"/>
  <c r="F73" i="4"/>
  <c r="Y96" i="26"/>
  <c r="Y101" i="26" s="1"/>
  <c r="P96" i="26"/>
  <c r="P101" i="26" s="1"/>
  <c r="L9" i="26"/>
  <c r="V9" i="26"/>
  <c r="AN44" i="7"/>
  <c r="AL90" i="26"/>
  <c r="AL105" i="26" s="1"/>
  <c r="AK105" i="26"/>
  <c r="AB90" i="26"/>
  <c r="AB105" i="26" s="1"/>
  <c r="AA105" i="26"/>
  <c r="R90" i="26"/>
  <c r="Q105" i="26"/>
  <c r="V44" i="7"/>
  <c r="AE44" i="7"/>
  <c r="AL93" i="26"/>
  <c r="AL102" i="26" s="1"/>
  <c r="AK102" i="26"/>
  <c r="R93" i="26"/>
  <c r="Q102" i="26"/>
  <c r="AK92" i="26"/>
  <c r="AJ103" i="26"/>
  <c r="AB93" i="26"/>
  <c r="AB102" i="26" s="1"/>
  <c r="AA102" i="26"/>
  <c r="AJ94" i="26"/>
  <c r="AJ96" i="26" s="1"/>
  <c r="AJ101" i="26" s="1"/>
  <c r="R92" i="26"/>
  <c r="Q94" i="26"/>
  <c r="AA92" i="26"/>
  <c r="AA103" i="26" s="1"/>
  <c r="Z94" i="26"/>
  <c r="K25" i="26"/>
  <c r="AO20" i="26"/>
  <c r="K4" i="26"/>
  <c r="L4" i="26" s="1"/>
  <c r="M4" i="26" s="1"/>
  <c r="N4" i="26" s="1"/>
  <c r="O4" i="26" s="1"/>
  <c r="P4" i="26" s="1"/>
  <c r="Q4" i="26" s="1"/>
  <c r="R4" i="26" s="1"/>
  <c r="S4" i="26" s="1"/>
  <c r="T4" i="26" s="1"/>
  <c r="U4" i="26" s="1"/>
  <c r="V4" i="26" s="1"/>
  <c r="W4" i="26" s="1"/>
  <c r="X4" i="26" s="1"/>
  <c r="Y4" i="26" s="1"/>
  <c r="Z4" i="26" s="1"/>
  <c r="AA4" i="26" s="1"/>
  <c r="AB4" i="26" s="1"/>
  <c r="AC4" i="26" s="1"/>
  <c r="AD4" i="26" s="1"/>
  <c r="AE4" i="26" s="1"/>
  <c r="AF4" i="26" s="1"/>
  <c r="AG4" i="26" s="1"/>
  <c r="AH4" i="26" s="1"/>
  <c r="AI4" i="26" s="1"/>
  <c r="AJ4" i="26" s="1"/>
  <c r="AK4" i="26" s="1"/>
  <c r="AL4" i="26" s="1"/>
  <c r="AM4" i="26" s="1"/>
  <c r="AN4" i="26" s="1"/>
  <c r="K11" i="26" s="1"/>
  <c r="L11" i="26" s="1"/>
  <c r="M11" i="26" s="1"/>
  <c r="N11" i="26" s="1"/>
  <c r="O11" i="26" s="1"/>
  <c r="P11" i="26" s="1"/>
  <c r="Q11" i="26" s="1"/>
  <c r="R11" i="26" s="1"/>
  <c r="S11" i="26" s="1"/>
  <c r="T11" i="26" s="1"/>
  <c r="U11" i="26" s="1"/>
  <c r="V11" i="26" s="1"/>
  <c r="W11" i="26" s="1"/>
  <c r="X11" i="26" s="1"/>
  <c r="Y11" i="26" s="1"/>
  <c r="Z11" i="26" s="1"/>
  <c r="AA11" i="26" s="1"/>
  <c r="AB11" i="26" s="1"/>
  <c r="AC11" i="26" s="1"/>
  <c r="AD11" i="26" s="1"/>
  <c r="AE11" i="26" s="1"/>
  <c r="AF11" i="26" s="1"/>
  <c r="AG11" i="26" s="1"/>
  <c r="AH11" i="26" s="1"/>
  <c r="AI11" i="26" s="1"/>
  <c r="AJ11" i="26" s="1"/>
  <c r="AK11" i="26" s="1"/>
  <c r="AL11" i="26" s="1"/>
  <c r="AM11" i="26" s="1"/>
  <c r="Z96" i="26" l="1"/>
  <c r="Z101" i="26" s="1"/>
  <c r="Q96" i="26"/>
  <c r="Q101" i="26" s="1"/>
  <c r="W9" i="26"/>
  <c r="W6" i="26" s="1"/>
  <c r="W7" i="26" s="1"/>
  <c r="W8" i="26" s="1"/>
  <c r="M9" i="26"/>
  <c r="M6" i="26" s="1"/>
  <c r="M7" i="26" s="1"/>
  <c r="K30" i="26"/>
  <c r="AO44" i="7"/>
  <c r="AF44" i="7"/>
  <c r="W44" i="7"/>
  <c r="R105" i="26"/>
  <c r="AN90" i="26"/>
  <c r="AO91" i="26" s="1"/>
  <c r="Q98" i="8"/>
  <c r="K26" i="26"/>
  <c r="AL92" i="26"/>
  <c r="AL103" i="26" s="1"/>
  <c r="AK103" i="26"/>
  <c r="R94" i="26"/>
  <c r="R103" i="26"/>
  <c r="R102" i="26"/>
  <c r="AN93" i="26"/>
  <c r="AN102" i="26" s="1"/>
  <c r="AK94" i="26"/>
  <c r="AK96" i="26" s="1"/>
  <c r="AK101" i="26" s="1"/>
  <c r="AB92" i="26"/>
  <c r="AA94" i="26"/>
  <c r="V6" i="26"/>
  <c r="V7" i="26" s="1"/>
  <c r="V8" i="26" s="1"/>
  <c r="AN6" i="26"/>
  <c r="AN7" i="26" s="1"/>
  <c r="E80" i="26"/>
  <c r="J12" i="26"/>
  <c r="K6" i="26"/>
  <c r="K7" i="26" s="1"/>
  <c r="L6" i="26"/>
  <c r="L7" i="26" s="1"/>
  <c r="T6" i="26"/>
  <c r="T7" i="26" s="1"/>
  <c r="U6" i="26"/>
  <c r="U7" i="26" s="1"/>
  <c r="L25" i="26"/>
  <c r="AP20" i="26"/>
  <c r="AN92" i="26" l="1"/>
  <c r="AA96" i="26"/>
  <c r="AA101" i="26" s="1"/>
  <c r="R96" i="26"/>
  <c r="R101" i="26" s="1"/>
  <c r="N9" i="26"/>
  <c r="X9" i="26"/>
  <c r="L30" i="26"/>
  <c r="AP44" i="7"/>
  <c r="X44" i="7"/>
  <c r="AG44" i="7"/>
  <c r="P46" i="7"/>
  <c r="M12" i="26"/>
  <c r="M15" i="26" s="1"/>
  <c r="R98" i="8"/>
  <c r="Q46" i="7" s="1"/>
  <c r="L26" i="26"/>
  <c r="AO93" i="26"/>
  <c r="AN103" i="26"/>
  <c r="AO103" i="26" s="1"/>
  <c r="AB94" i="26"/>
  <c r="AB103" i="26"/>
  <c r="AL94" i="26"/>
  <c r="AL96" i="26" s="1"/>
  <c r="AL101" i="26" s="1"/>
  <c r="M98" i="26"/>
  <c r="K98" i="26"/>
  <c r="U8" i="26"/>
  <c r="AN12" i="26"/>
  <c r="AN8" i="26"/>
  <c r="K12" i="26"/>
  <c r="K8" i="26"/>
  <c r="T8" i="26"/>
  <c r="L12" i="26"/>
  <c r="L8" i="26"/>
  <c r="J8" i="26"/>
  <c r="M8" i="26"/>
  <c r="J15" i="26"/>
  <c r="M25" i="26"/>
  <c r="AB96" i="26" l="1"/>
  <c r="AN15" i="26"/>
  <c r="AN16" i="26" s="1"/>
  <c r="AT97" i="8" s="1"/>
  <c r="AS45" i="7" s="1"/>
  <c r="Y9" i="26"/>
  <c r="X6" i="26"/>
  <c r="X7" i="26" s="1"/>
  <c r="X8" i="26" s="1"/>
  <c r="K15" i="26"/>
  <c r="K29" i="26" s="1"/>
  <c r="O9" i="26"/>
  <c r="N6" i="26"/>
  <c r="N7" i="26" s="1"/>
  <c r="N8" i="26" s="1"/>
  <c r="L15" i="26"/>
  <c r="L16" i="26" s="1"/>
  <c r="R97" i="8" s="1"/>
  <c r="Q45" i="7" s="1"/>
  <c r="M26" i="26"/>
  <c r="AH44" i="7"/>
  <c r="N25" i="26"/>
  <c r="M30" i="26"/>
  <c r="AQ44" i="7"/>
  <c r="J29" i="26"/>
  <c r="J42" i="4" s="1"/>
  <c r="M16" i="26"/>
  <c r="S97" i="8" s="1"/>
  <c r="R45" i="7" s="1"/>
  <c r="S98" i="8"/>
  <c r="AN94" i="26"/>
  <c r="N98" i="26"/>
  <c r="L98" i="26"/>
  <c r="O98" i="26"/>
  <c r="P98" i="26"/>
  <c r="R98" i="26"/>
  <c r="J98" i="26"/>
  <c r="X98" i="26"/>
  <c r="Q98" i="26"/>
  <c r="J16" i="26"/>
  <c r="P97" i="8" s="1"/>
  <c r="O25" i="26"/>
  <c r="AN96" i="26" l="1"/>
  <c r="AB101" i="26"/>
  <c r="AN101" i="26" s="1"/>
  <c r="J17" i="26"/>
  <c r="H27" i="26" s="1"/>
  <c r="L29" i="26"/>
  <c r="K16" i="26"/>
  <c r="Q97" i="8" s="1"/>
  <c r="P45" i="7" s="1"/>
  <c r="Z9" i="26"/>
  <c r="Y6" i="26"/>
  <c r="Y7" i="26" s="1"/>
  <c r="Y8" i="26" s="1"/>
  <c r="P9" i="26"/>
  <c r="O6" i="26"/>
  <c r="O7" i="26" s="1"/>
  <c r="O8" i="26" s="1"/>
  <c r="M29" i="26"/>
  <c r="AN105" i="26"/>
  <c r="AO100" i="26"/>
  <c r="AR44" i="7"/>
  <c r="N30" i="26"/>
  <c r="N26" i="26"/>
  <c r="R46" i="7"/>
  <c r="T98" i="8"/>
  <c r="S46" i="7" s="1"/>
  <c r="N12" i="26"/>
  <c r="T98" i="26"/>
  <c r="Z98" i="26"/>
  <c r="V98" i="26"/>
  <c r="AA98" i="26"/>
  <c r="AB98" i="26"/>
  <c r="Y98" i="26"/>
  <c r="W98" i="26"/>
  <c r="U98" i="26"/>
  <c r="P25" i="26"/>
  <c r="E27" i="26" l="1"/>
  <c r="M27" i="26"/>
  <c r="M28" i="26" s="1"/>
  <c r="F27" i="26"/>
  <c r="F28" i="26" s="1"/>
  <c r="L27" i="26"/>
  <c r="L28" i="26" s="1"/>
  <c r="K27" i="26"/>
  <c r="K28" i="26" s="1"/>
  <c r="I27" i="26"/>
  <c r="I28" i="26" s="1"/>
  <c r="G27" i="26"/>
  <c r="G28" i="26" s="1"/>
  <c r="J27" i="26"/>
  <c r="J28" i="26" s="1"/>
  <c r="Q9" i="26"/>
  <c r="P6" i="26"/>
  <c r="P7" i="26" s="1"/>
  <c r="P8" i="26" s="1"/>
  <c r="N15" i="26"/>
  <c r="AA9" i="26"/>
  <c r="Z6" i="26"/>
  <c r="Z7" i="26" s="1"/>
  <c r="Z8" i="26" s="1"/>
  <c r="O30" i="26"/>
  <c r="H41" i="4"/>
  <c r="H28" i="26"/>
  <c r="E41" i="4"/>
  <c r="O26" i="26"/>
  <c r="O27" i="26" s="1"/>
  <c r="N27" i="26"/>
  <c r="AU44" i="7"/>
  <c r="O45" i="7"/>
  <c r="U98" i="8"/>
  <c r="T46" i="7" s="1"/>
  <c r="O12" i="26"/>
  <c r="Q25" i="26"/>
  <c r="F41" i="4" l="1"/>
  <c r="G41" i="4"/>
  <c r="I41" i="4"/>
  <c r="N29" i="26"/>
  <c r="E28" i="26"/>
  <c r="E44" i="4" s="1"/>
  <c r="N16" i="26"/>
  <c r="T97" i="8" s="1"/>
  <c r="R9" i="26"/>
  <c r="Q6" i="26"/>
  <c r="Q7" i="26" s="1"/>
  <c r="Q8" i="26" s="1"/>
  <c r="O15" i="26"/>
  <c r="O16" i="26" s="1"/>
  <c r="U97" i="8" s="1"/>
  <c r="T45" i="7" s="1"/>
  <c r="AB9" i="26"/>
  <c r="AA6" i="26"/>
  <c r="AA7" i="26" s="1"/>
  <c r="AA8" i="26" s="1"/>
  <c r="P30" i="26"/>
  <c r="P26" i="26"/>
  <c r="Q26" i="26" s="1"/>
  <c r="H44" i="4"/>
  <c r="G44" i="4"/>
  <c r="N28" i="26"/>
  <c r="F44" i="4"/>
  <c r="I44" i="4"/>
  <c r="O28" i="26"/>
  <c r="V98" i="8"/>
  <c r="U46" i="7" s="1"/>
  <c r="P12" i="26"/>
  <c r="R25" i="26"/>
  <c r="O29" i="26" l="1"/>
  <c r="P27" i="26"/>
  <c r="P28" i="26" s="1"/>
  <c r="AC9" i="26"/>
  <c r="AB6" i="26"/>
  <c r="AB7" i="26" s="1"/>
  <c r="AB8" i="26" s="1"/>
  <c r="S9" i="26"/>
  <c r="R6" i="26"/>
  <c r="R7" i="26" s="1"/>
  <c r="R8" i="26" s="1"/>
  <c r="P15" i="26"/>
  <c r="P16" i="26" s="1"/>
  <c r="V97" i="8" s="1"/>
  <c r="U45" i="7" s="1"/>
  <c r="Q30" i="26"/>
  <c r="R26" i="26"/>
  <c r="Q27" i="26"/>
  <c r="S45" i="7"/>
  <c r="W98" i="8"/>
  <c r="Q12" i="26"/>
  <c r="S25" i="26"/>
  <c r="P29" i="26" l="1"/>
  <c r="S6" i="26"/>
  <c r="S7" i="26" s="1"/>
  <c r="S8" i="26" s="1"/>
  <c r="AD9" i="26"/>
  <c r="AC6" i="26"/>
  <c r="AC7" i="26" s="1"/>
  <c r="AC8" i="26" s="1"/>
  <c r="Q15" i="26"/>
  <c r="Q29" i="26" s="1"/>
  <c r="R30" i="26"/>
  <c r="Q28" i="26"/>
  <c r="S26" i="26"/>
  <c r="R27" i="26"/>
  <c r="X98" i="8"/>
  <c r="W46" i="7" s="1"/>
  <c r="R12" i="26"/>
  <c r="V46" i="7"/>
  <c r="T25" i="26"/>
  <c r="Q16" i="26" l="1"/>
  <c r="W97" i="8" s="1"/>
  <c r="R15" i="26"/>
  <c r="R29" i="26" s="1"/>
  <c r="AE9" i="26"/>
  <c r="AD6" i="26"/>
  <c r="AD7" i="26" s="1"/>
  <c r="AD8" i="26" s="1"/>
  <c r="S30" i="26"/>
  <c r="S27" i="26"/>
  <c r="T26" i="26"/>
  <c r="R28" i="26"/>
  <c r="Y98" i="8"/>
  <c r="X46" i="7" s="1"/>
  <c r="S12" i="26"/>
  <c r="AD98" i="26"/>
  <c r="AI98" i="26"/>
  <c r="U25" i="26"/>
  <c r="R16" i="26" l="1"/>
  <c r="X97" i="8" s="1"/>
  <c r="W45" i="7" s="1"/>
  <c r="S15" i="26"/>
  <c r="S16" i="26" s="1"/>
  <c r="Y97" i="8" s="1"/>
  <c r="X45" i="7" s="1"/>
  <c r="AF9" i="26"/>
  <c r="AE6" i="26"/>
  <c r="AE7" i="26" s="1"/>
  <c r="AE8" i="26" s="1"/>
  <c r="T30" i="26"/>
  <c r="T27" i="26"/>
  <c r="S28" i="26"/>
  <c r="U26" i="26"/>
  <c r="V45" i="7"/>
  <c r="Z98" i="8"/>
  <c r="T12" i="26"/>
  <c r="AL98" i="26"/>
  <c r="AJ98" i="26"/>
  <c r="AF98" i="26"/>
  <c r="AK98" i="26"/>
  <c r="AH98" i="26"/>
  <c r="AE98" i="26"/>
  <c r="AG98" i="26"/>
  <c r="V25" i="26"/>
  <c r="S29" i="26" l="1"/>
  <c r="AG9" i="26"/>
  <c r="AF6" i="26"/>
  <c r="AF7" i="26" s="1"/>
  <c r="AF8" i="26" s="1"/>
  <c r="T15" i="26"/>
  <c r="T29" i="26" s="1"/>
  <c r="U30" i="26"/>
  <c r="V30" i="26" s="1"/>
  <c r="U27" i="26"/>
  <c r="T28" i="26"/>
  <c r="V26" i="26"/>
  <c r="Y46" i="7"/>
  <c r="AA98" i="8"/>
  <c r="Z46" i="7" s="1"/>
  <c r="U12" i="26"/>
  <c r="W25" i="26"/>
  <c r="T16" i="26" l="1"/>
  <c r="Z97" i="8" s="1"/>
  <c r="AH9" i="26"/>
  <c r="AG6" i="26"/>
  <c r="AG7" i="26" s="1"/>
  <c r="AG8" i="26" s="1"/>
  <c r="U15" i="26"/>
  <c r="U29" i="26" s="1"/>
  <c r="V27" i="26"/>
  <c r="U28" i="26"/>
  <c r="W30" i="26"/>
  <c r="W26" i="26"/>
  <c r="N46" i="7"/>
  <c r="AB98" i="8"/>
  <c r="AA46" i="7" s="1"/>
  <c r="V12" i="26"/>
  <c r="X25" i="26"/>
  <c r="Y45" i="7" l="1"/>
  <c r="AI9" i="26"/>
  <c r="AH6" i="26"/>
  <c r="AH7" i="26" s="1"/>
  <c r="AH8" i="26" s="1"/>
  <c r="V15" i="26"/>
  <c r="V16" i="26" s="1"/>
  <c r="AB97" i="8" s="1"/>
  <c r="AA45" i="7" s="1"/>
  <c r="U16" i="26"/>
  <c r="AA97" i="8" s="1"/>
  <c r="Z45" i="7" s="1"/>
  <c r="W27" i="26"/>
  <c r="V28" i="26"/>
  <c r="X30" i="26"/>
  <c r="X26" i="26"/>
  <c r="N45" i="7"/>
  <c r="M46" i="7"/>
  <c r="AC98" i="8"/>
  <c r="AB46" i="7" s="1"/>
  <c r="W12" i="26"/>
  <c r="Y25" i="26"/>
  <c r="V29" i="26" l="1"/>
  <c r="W15" i="26"/>
  <c r="W16" i="26" s="1"/>
  <c r="AC97" i="8" s="1"/>
  <c r="AB45" i="7" s="1"/>
  <c r="AJ9" i="26"/>
  <c r="AI6" i="26"/>
  <c r="AI7" i="26" s="1"/>
  <c r="AI8" i="26" s="1"/>
  <c r="X27" i="26"/>
  <c r="W28" i="26"/>
  <c r="Y30" i="26"/>
  <c r="Y26" i="26"/>
  <c r="L46" i="7"/>
  <c r="AD98" i="8"/>
  <c r="AC46" i="7" s="1"/>
  <c r="X12" i="26"/>
  <c r="Z25" i="26"/>
  <c r="W29" i="26" l="1"/>
  <c r="AK9" i="26"/>
  <c r="AJ6" i="26"/>
  <c r="AJ7" i="26" s="1"/>
  <c r="AJ8" i="26" s="1"/>
  <c r="X28" i="26"/>
  <c r="Y27" i="26"/>
  <c r="Z30" i="26"/>
  <c r="Z26" i="26"/>
  <c r="X15" i="26"/>
  <c r="AE98" i="8"/>
  <c r="AD46" i="7" s="1"/>
  <c r="Y12" i="26"/>
  <c r="K46" i="7"/>
  <c r="AA25" i="26"/>
  <c r="AL9" i="26" l="1"/>
  <c r="AK6" i="26"/>
  <c r="AK7" i="26" s="1"/>
  <c r="AK8" i="26" s="1"/>
  <c r="Y15" i="26"/>
  <c r="Y16" i="26" s="1"/>
  <c r="AE97" i="8" s="1"/>
  <c r="AD45" i="7" s="1"/>
  <c r="Z27" i="26"/>
  <c r="Y28" i="26"/>
  <c r="AA30" i="26"/>
  <c r="AA26" i="26"/>
  <c r="Y29" i="26"/>
  <c r="AF98" i="8"/>
  <c r="AE46" i="7" s="1"/>
  <c r="Z12" i="26"/>
  <c r="X29" i="26"/>
  <c r="X16" i="26"/>
  <c r="AD97" i="8" s="1"/>
  <c r="AC45" i="7" s="1"/>
  <c r="J98" i="8"/>
  <c r="J46" i="7"/>
  <c r="AB25" i="26"/>
  <c r="Z15" i="26" l="1"/>
  <c r="Z16" i="26" s="1"/>
  <c r="AF97" i="8" s="1"/>
  <c r="AE45" i="7" s="1"/>
  <c r="AM9" i="26"/>
  <c r="AM6" i="26" s="1"/>
  <c r="AM7" i="26" s="1"/>
  <c r="AM8" i="26" s="1"/>
  <c r="AL6" i="26"/>
  <c r="AL7" i="26" s="1"/>
  <c r="AL8" i="26" s="1"/>
  <c r="AA27" i="26"/>
  <c r="Z28" i="26"/>
  <c r="AB30" i="26"/>
  <c r="AB26" i="26"/>
  <c r="Z29" i="26"/>
  <c r="AG98" i="8"/>
  <c r="AF46" i="7" s="1"/>
  <c r="AA12" i="26"/>
  <c r="I46" i="7"/>
  <c r="D109" i="4" s="1"/>
  <c r="AC25" i="26"/>
  <c r="AA15" i="26" l="1"/>
  <c r="AA16" i="26" s="1"/>
  <c r="AG97" i="8" s="1"/>
  <c r="AF45" i="7" s="1"/>
  <c r="AB27" i="26"/>
  <c r="AA28" i="26"/>
  <c r="AC30" i="26"/>
  <c r="AC26" i="26"/>
  <c r="AH98" i="8"/>
  <c r="AG46" i="7" s="1"/>
  <c r="AB12" i="26"/>
  <c r="AD25" i="26"/>
  <c r="AA29" i="26" l="1"/>
  <c r="AB15" i="26"/>
  <c r="AC27" i="26"/>
  <c r="AB28" i="26"/>
  <c r="AD30" i="26"/>
  <c r="AD26" i="26"/>
  <c r="AB29" i="26"/>
  <c r="AB16" i="26"/>
  <c r="AH97" i="8" s="1"/>
  <c r="AG45" i="7" s="1"/>
  <c r="AI98" i="8"/>
  <c r="AC12" i="26"/>
  <c r="AE25" i="26"/>
  <c r="AD27" i="26" l="1"/>
  <c r="AC28" i="26"/>
  <c r="AE30" i="26"/>
  <c r="AE26" i="26"/>
  <c r="AC15" i="26"/>
  <c r="AJ98" i="8"/>
  <c r="AI46" i="7" s="1"/>
  <c r="AD12" i="26"/>
  <c r="AH46" i="7"/>
  <c r="AF25" i="26"/>
  <c r="AD15" i="26" l="1"/>
  <c r="AE27" i="26"/>
  <c r="AD28" i="26"/>
  <c r="AF30" i="26"/>
  <c r="AF26" i="26"/>
  <c r="AK98" i="8"/>
  <c r="AE12" i="26"/>
  <c r="AD29" i="26"/>
  <c r="AD16" i="26"/>
  <c r="AJ97" i="8" s="1"/>
  <c r="AI45" i="7" s="1"/>
  <c r="AC16" i="26"/>
  <c r="AI97" i="8" s="1"/>
  <c r="AC29" i="26"/>
  <c r="AG25" i="26"/>
  <c r="AE15" i="26" l="1"/>
  <c r="AF27" i="26"/>
  <c r="AE28" i="26"/>
  <c r="AG30" i="26"/>
  <c r="AG26" i="26"/>
  <c r="AH45" i="7"/>
  <c r="AL98" i="8"/>
  <c r="AK46" i="7" s="1"/>
  <c r="AF12" i="26"/>
  <c r="AE16" i="26"/>
  <c r="AK97" i="8" s="1"/>
  <c r="AJ45" i="7" s="1"/>
  <c r="AE29" i="26"/>
  <c r="AJ46" i="7"/>
  <c r="AH25" i="26"/>
  <c r="AF15" i="26" l="1"/>
  <c r="AG27" i="26"/>
  <c r="AF28" i="26"/>
  <c r="AH30" i="26"/>
  <c r="AH26" i="26"/>
  <c r="AF16" i="26"/>
  <c r="AL97" i="8" s="1"/>
  <c r="AK45" i="7" s="1"/>
  <c r="AF29" i="26"/>
  <c r="AM98" i="8"/>
  <c r="AG12" i="26"/>
  <c r="AI25" i="26"/>
  <c r="AG15" i="26" l="1"/>
  <c r="AH27" i="26"/>
  <c r="AG28" i="26"/>
  <c r="AI30" i="26"/>
  <c r="AI26" i="26"/>
  <c r="AG16" i="26"/>
  <c r="AM97" i="8" s="1"/>
  <c r="AL45" i="7" s="1"/>
  <c r="AG29" i="26"/>
  <c r="AN98" i="8"/>
  <c r="AM46" i="7" s="1"/>
  <c r="AH12" i="26"/>
  <c r="AL46" i="7"/>
  <c r="AJ25" i="26"/>
  <c r="AH15" i="26" l="1"/>
  <c r="AI27" i="26"/>
  <c r="AH28" i="26"/>
  <c r="AJ30" i="26"/>
  <c r="AJ26" i="26"/>
  <c r="AO98" i="8"/>
  <c r="AN46" i="7" s="1"/>
  <c r="AI12" i="26"/>
  <c r="AH29" i="26"/>
  <c r="AH16" i="26"/>
  <c r="AN97" i="8" s="1"/>
  <c r="AM45" i="7" s="1"/>
  <c r="AK25" i="26"/>
  <c r="AI15" i="26" l="1"/>
  <c r="AJ27" i="26"/>
  <c r="AI28" i="26"/>
  <c r="AK30" i="26"/>
  <c r="AK26" i="26"/>
  <c r="AI29" i="26"/>
  <c r="AI16" i="26"/>
  <c r="AO97" i="8" s="1"/>
  <c r="AN45" i="7" s="1"/>
  <c r="AP98" i="8"/>
  <c r="AO46" i="7" s="1"/>
  <c r="AJ12" i="26"/>
  <c r="AL25" i="26"/>
  <c r="AJ15" i="26" l="1"/>
  <c r="AK27" i="26"/>
  <c r="AK40" i="4"/>
  <c r="AJ28" i="26"/>
  <c r="AL30" i="26"/>
  <c r="AL26" i="26"/>
  <c r="AQ98" i="8"/>
  <c r="AP46" i="7" s="1"/>
  <c r="AK12" i="26"/>
  <c r="AK15" i="26" s="1"/>
  <c r="AJ16" i="26"/>
  <c r="AP97" i="8" s="1"/>
  <c r="AO45" i="7" s="1"/>
  <c r="AJ29" i="26"/>
  <c r="AM25" i="26"/>
  <c r="R44" i="4" l="1"/>
  <c r="AH40" i="4"/>
  <c r="J40" i="4"/>
  <c r="AL27" i="26"/>
  <c r="AL40" i="4"/>
  <c r="AK28" i="26"/>
  <c r="AK44" i="4" s="1"/>
  <c r="AK41" i="4"/>
  <c r="AM30" i="26"/>
  <c r="AM31" i="26" s="1"/>
  <c r="AM26" i="26"/>
  <c r="AK29" i="26"/>
  <c r="AK16" i="26"/>
  <c r="AQ97" i="8" s="1"/>
  <c r="AP45" i="7" s="1"/>
  <c r="AR98" i="8"/>
  <c r="AQ46" i="7" s="1"/>
  <c r="AL12" i="26"/>
  <c r="AL15" i="26" s="1"/>
  <c r="AN25" i="26"/>
  <c r="Q31" i="26" s="1"/>
  <c r="N31" i="26" l="1"/>
  <c r="L42" i="4"/>
  <c r="L107" i="4" s="1"/>
  <c r="AD42" i="4"/>
  <c r="AD107" i="4" s="1"/>
  <c r="AF31" i="26"/>
  <c r="AJ40" i="4"/>
  <c r="AG42" i="4"/>
  <c r="AG107" i="4" s="1"/>
  <c r="Y31" i="26"/>
  <c r="AD41" i="4"/>
  <c r="T31" i="26"/>
  <c r="K41" i="4"/>
  <c r="U41" i="4"/>
  <c r="AB40" i="4"/>
  <c r="AD31" i="26"/>
  <c r="AI40" i="4"/>
  <c r="AJ42" i="4"/>
  <c r="AJ107" i="4" s="1"/>
  <c r="AF42" i="4"/>
  <c r="AF107" i="4" s="1"/>
  <c r="L41" i="4"/>
  <c r="T41" i="4"/>
  <c r="AH42" i="4"/>
  <c r="AH107" i="4" s="1"/>
  <c r="K42" i="4"/>
  <c r="K107" i="4" s="1"/>
  <c r="X31" i="26"/>
  <c r="AC42" i="4"/>
  <c r="AC107" i="4" s="1"/>
  <c r="T42" i="4"/>
  <c r="T107" i="4" s="1"/>
  <c r="T44" i="4"/>
  <c r="S42" i="4"/>
  <c r="S107" i="4" s="1"/>
  <c r="S41" i="4"/>
  <c r="Z31" i="26"/>
  <c r="O42" i="4"/>
  <c r="O107" i="4" s="1"/>
  <c r="X40" i="4"/>
  <c r="M42" i="4"/>
  <c r="M107" i="4" s="1"/>
  <c r="U40" i="4"/>
  <c r="K31" i="26"/>
  <c r="AJ31" i="26"/>
  <c r="V31" i="26"/>
  <c r="U44" i="4"/>
  <c r="W41" i="4"/>
  <c r="AD44" i="4"/>
  <c r="J107" i="4"/>
  <c r="J41" i="4"/>
  <c r="V44" i="4"/>
  <c r="AI44" i="4"/>
  <c r="V41" i="4"/>
  <c r="AC44" i="4"/>
  <c r="U31" i="26"/>
  <c r="N40" i="4"/>
  <c r="Z42" i="4"/>
  <c r="Z107" i="4" s="1"/>
  <c r="AG31" i="26"/>
  <c r="M41" i="4"/>
  <c r="Z40" i="4"/>
  <c r="W44" i="4"/>
  <c r="AI41" i="4"/>
  <c r="Y41" i="4"/>
  <c r="AE42" i="4"/>
  <c r="AE107" i="4" s="1"/>
  <c r="P44" i="4"/>
  <c r="AF40" i="4"/>
  <c r="M40" i="4"/>
  <c r="T40" i="4"/>
  <c r="K40" i="4"/>
  <c r="R31" i="26"/>
  <c r="R42" i="4"/>
  <c r="R107" i="4" s="1"/>
  <c r="AC31" i="26"/>
  <c r="AA41" i="4"/>
  <c r="L44" i="4"/>
  <c r="O41" i="4"/>
  <c r="X41" i="4"/>
  <c r="U42" i="4"/>
  <c r="U107" i="4" s="1"/>
  <c r="AJ41" i="4"/>
  <c r="AI31" i="26"/>
  <c r="S44" i="4"/>
  <c r="Y44" i="4"/>
  <c r="Z41" i="4"/>
  <c r="X44" i="4"/>
  <c r="AB44" i="4"/>
  <c r="AC40" i="4"/>
  <c r="P42" i="4"/>
  <c r="P107" i="4" s="1"/>
  <c r="L40" i="4"/>
  <c r="AH41" i="4"/>
  <c r="S31" i="26"/>
  <c r="Q40" i="4"/>
  <c r="N44" i="4"/>
  <c r="AH31" i="26"/>
  <c r="V40" i="4"/>
  <c r="AC41" i="4"/>
  <c r="Y42" i="4"/>
  <c r="Y107" i="4" s="1"/>
  <c r="AG44" i="4"/>
  <c r="AE31" i="26"/>
  <c r="AE44" i="4"/>
  <c r="Z44" i="4"/>
  <c r="Q41" i="4"/>
  <c r="AE40" i="4"/>
  <c r="AK31" i="26"/>
  <c r="AA31" i="26"/>
  <c r="W42" i="4"/>
  <c r="W107" i="4" s="1"/>
  <c r="N41" i="4"/>
  <c r="O31" i="26"/>
  <c r="AA42" i="4"/>
  <c r="AA107" i="4" s="1"/>
  <c r="Q44" i="4"/>
  <c r="AI42" i="4"/>
  <c r="AI107" i="4" s="1"/>
  <c r="AG41" i="4"/>
  <c r="AB31" i="26"/>
  <c r="J44" i="4"/>
  <c r="X42" i="4"/>
  <c r="X107" i="4" s="1"/>
  <c r="P31" i="26"/>
  <c r="AA44" i="4"/>
  <c r="R40" i="4"/>
  <c r="P40" i="4"/>
  <c r="O44" i="4"/>
  <c r="AA40" i="4"/>
  <c r="Y40" i="4"/>
  <c r="N42" i="4"/>
  <c r="N107" i="4" s="1"/>
  <c r="O40" i="4"/>
  <c r="AH44" i="4"/>
  <c r="K44" i="4"/>
  <c r="AE41" i="4"/>
  <c r="M31" i="26"/>
  <c r="AB41" i="4"/>
  <c r="AG40" i="4"/>
  <c r="P41" i="4"/>
  <c r="AB42" i="4"/>
  <c r="AB107" i="4" s="1"/>
  <c r="M44" i="4"/>
  <c r="R41" i="4"/>
  <c r="Q42" i="4"/>
  <c r="Q107" i="4" s="1"/>
  <c r="AD40" i="4"/>
  <c r="V42" i="4"/>
  <c r="V107" i="4" s="1"/>
  <c r="AJ44" i="4"/>
  <c r="S40" i="4"/>
  <c r="AF41" i="4"/>
  <c r="W40" i="4"/>
  <c r="W31" i="26"/>
  <c r="AL31" i="26"/>
  <c r="L31" i="26"/>
  <c r="AF44" i="4"/>
  <c r="AK42" i="4"/>
  <c r="AK107" i="4" s="1"/>
  <c r="AM27" i="26"/>
  <c r="AM40" i="4"/>
  <c r="AL28" i="26"/>
  <c r="AL44" i="4" s="1"/>
  <c r="AL41" i="4"/>
  <c r="AN30" i="26"/>
  <c r="AN31" i="26" s="1"/>
  <c r="AN26" i="26"/>
  <c r="AN40" i="4" s="1"/>
  <c r="AL29" i="26"/>
  <c r="AL16" i="26"/>
  <c r="AR97" i="8" s="1"/>
  <c r="AQ45" i="7" s="1"/>
  <c r="AM12" i="26"/>
  <c r="AO12" i="26" s="1"/>
  <c r="AS98" i="8"/>
  <c r="AL42" i="4" l="1"/>
  <c r="AL107" i="4" s="1"/>
  <c r="AM28" i="26"/>
  <c r="AM44" i="4" s="1"/>
  <c r="AM41" i="4"/>
  <c r="AN29" i="26"/>
  <c r="AN27" i="26"/>
  <c r="AN41" i="4" s="1"/>
  <c r="AM15" i="26"/>
  <c r="AO15" i="26" s="1"/>
  <c r="AR46" i="7"/>
  <c r="AU98" i="8"/>
  <c r="I98" i="8"/>
  <c r="AN42" i="4" l="1"/>
  <c r="AN107" i="4" s="1"/>
  <c r="AN28" i="26"/>
  <c r="AN44" i="4" s="1"/>
  <c r="AU46" i="7"/>
  <c r="AT46" i="7"/>
  <c r="AM29" i="26"/>
  <c r="AM16" i="26"/>
  <c r="AP15" i="26"/>
  <c r="AM42" i="4" l="1"/>
  <c r="AM107" i="4" s="1"/>
  <c r="AS97" i="8"/>
  <c r="AO16" i="26"/>
  <c r="AR45" i="7" l="1"/>
  <c r="AU97" i="8"/>
  <c r="AU45" i="7" l="1"/>
  <c r="J85" i="8"/>
  <c r="K85" i="8"/>
  <c r="L85" i="8"/>
  <c r="M85" i="8"/>
  <c r="N85" i="8"/>
  <c r="J84" i="8"/>
  <c r="K84" i="8"/>
  <c r="L84" i="8"/>
  <c r="M84" i="8"/>
  <c r="N84" i="8"/>
  <c r="J83" i="8"/>
  <c r="K83" i="8"/>
  <c r="L83" i="8"/>
  <c r="M83" i="8"/>
  <c r="N83" i="8"/>
  <c r="Z66" i="4" l="1"/>
  <c r="AA66" i="4"/>
  <c r="AB66" i="4"/>
  <c r="AC66" i="4"/>
  <c r="AD66" i="4"/>
  <c r="AE66" i="4"/>
  <c r="AF66" i="4"/>
  <c r="AG66" i="4"/>
  <c r="AH66" i="4"/>
  <c r="AI66" i="4"/>
  <c r="AJ66" i="4"/>
  <c r="AK66" i="4"/>
  <c r="AL66" i="4"/>
  <c r="AM66" i="4"/>
  <c r="AN66" i="4"/>
  <c r="AO70" i="4"/>
  <c r="AP70" i="4"/>
  <c r="AQ70" i="4"/>
  <c r="AR70" i="4"/>
  <c r="AS70" i="4"/>
  <c r="AT70" i="4"/>
  <c r="AU70" i="4"/>
  <c r="AV70" i="4"/>
  <c r="AW70" i="4"/>
  <c r="AX70" i="4"/>
  <c r="E66" i="4"/>
  <c r="F66" i="4"/>
  <c r="G66" i="4"/>
  <c r="H66" i="4"/>
  <c r="I66" i="4"/>
  <c r="J66" i="4"/>
  <c r="K66" i="4"/>
  <c r="L66" i="4"/>
  <c r="M66" i="4"/>
  <c r="N66" i="4"/>
  <c r="O66" i="4"/>
  <c r="P66" i="4"/>
  <c r="Q66" i="4"/>
  <c r="R66" i="4"/>
  <c r="S66" i="4"/>
  <c r="T66" i="4"/>
  <c r="U66" i="4"/>
  <c r="V66" i="4"/>
  <c r="W66" i="4"/>
  <c r="X66" i="4"/>
  <c r="Y66" i="4"/>
  <c r="AO66" i="4"/>
  <c r="AP66" i="4"/>
  <c r="AQ66" i="4"/>
  <c r="AR66" i="4"/>
  <c r="AS66" i="4"/>
  <c r="AT66" i="4"/>
  <c r="AU66" i="4"/>
  <c r="AV66" i="4"/>
  <c r="AW66" i="4"/>
  <c r="AX66" i="4"/>
  <c r="D66" i="4"/>
  <c r="C74" i="4"/>
  <c r="B74" i="4" s="1"/>
  <c r="C72" i="4"/>
  <c r="C68" i="4"/>
  <c r="B22" i="1"/>
  <c r="J21" i="5"/>
  <c r="J22" i="5" s="1"/>
  <c r="J23" i="5" s="1"/>
  <c r="J25" i="5" s="1"/>
  <c r="J26" i="5" s="1"/>
  <c r="J27" i="5" s="1"/>
  <c r="C75" i="4" l="1"/>
  <c r="G38" i="7" l="1"/>
  <c r="G41" i="7" s="1"/>
  <c r="G40" i="7"/>
  <c r="G43" i="7" s="1"/>
  <c r="G39" i="7"/>
  <c r="G42" i="7" s="1"/>
  <c r="G27" i="7"/>
  <c r="G31" i="7"/>
  <c r="E23" i="1" l="1"/>
  <c r="C23" i="1"/>
  <c r="C203" i="18" l="1"/>
  <c r="B203" i="18"/>
  <c r="B220" i="18"/>
  <c r="D203" i="18"/>
  <c r="E203" i="18"/>
  <c r="F203" i="18"/>
  <c r="AT95" i="8" l="1"/>
  <c r="AJ95" i="8"/>
  <c r="AP95" i="8" s="1"/>
  <c r="Z95" i="8"/>
  <c r="AG95" i="8" s="1"/>
  <c r="P95" i="8"/>
  <c r="O95" i="8"/>
  <c r="X95" i="8" s="1"/>
  <c r="K45" i="8"/>
  <c r="O94" i="8" s="1"/>
  <c r="K42" i="8"/>
  <c r="O91" i="8" s="1"/>
  <c r="I27" i="7"/>
  <c r="B31" i="7"/>
  <c r="C31" i="7"/>
  <c r="D31" i="7"/>
  <c r="E31" i="7"/>
  <c r="F31" i="7"/>
  <c r="H31" i="7"/>
  <c r="A31" i="7"/>
  <c r="AL79" i="8"/>
  <c r="AK31" i="7" s="1"/>
  <c r="R46" i="8"/>
  <c r="AT79" i="8" s="1"/>
  <c r="AS31" i="7" s="1"/>
  <c r="P46" i="8"/>
  <c r="AJ79" i="8" s="1"/>
  <c r="AI31" i="7" s="1"/>
  <c r="N46" i="8"/>
  <c r="Z79" i="8" s="1"/>
  <c r="Y31" i="7" s="1"/>
  <c r="L46" i="8"/>
  <c r="P79" i="8" s="1"/>
  <c r="O31" i="7" s="1"/>
  <c r="K46" i="8"/>
  <c r="O79" i="8" s="1"/>
  <c r="N31" i="7" s="1"/>
  <c r="E47" i="7"/>
  <c r="F47" i="7"/>
  <c r="G47" i="7"/>
  <c r="H47" i="7"/>
  <c r="H30" i="7"/>
  <c r="B30" i="7"/>
  <c r="C30" i="7"/>
  <c r="D30" i="7"/>
  <c r="E30" i="7"/>
  <c r="B29" i="7"/>
  <c r="C29" i="7"/>
  <c r="D29" i="7"/>
  <c r="E29" i="7"/>
  <c r="F29" i="7"/>
  <c r="H29" i="7"/>
  <c r="A29" i="7"/>
  <c r="A30" i="7"/>
  <c r="B28" i="7"/>
  <c r="C28" i="7"/>
  <c r="D28" i="7"/>
  <c r="E28" i="7"/>
  <c r="H28" i="7"/>
  <c r="A28" i="7"/>
  <c r="S159" i="9"/>
  <c r="R33" i="8" s="1"/>
  <c r="AT82" i="8" s="1"/>
  <c r="AS30" i="7" s="1"/>
  <c r="O159" i="9"/>
  <c r="I33" i="8" s="1"/>
  <c r="I82" i="8" s="1"/>
  <c r="R136" i="9"/>
  <c r="M32" i="8"/>
  <c r="U81" i="8" s="1"/>
  <c r="N32" i="8"/>
  <c r="Z81" i="8" s="1"/>
  <c r="O32" i="8"/>
  <c r="AE81" i="8" s="1"/>
  <c r="P32" i="8"/>
  <c r="AJ81" i="8" s="1"/>
  <c r="Q32" i="8"/>
  <c r="AO81" i="8" s="1"/>
  <c r="R32" i="8"/>
  <c r="AT81" i="8" s="1"/>
  <c r="S32" i="8"/>
  <c r="AY81" i="8" s="1"/>
  <c r="T32" i="8"/>
  <c r="BD81" i="8" s="1"/>
  <c r="BC29" i="7" s="1"/>
  <c r="J32" i="8"/>
  <c r="J81" i="8" s="1"/>
  <c r="M31" i="8"/>
  <c r="U80" i="8" s="1"/>
  <c r="T28" i="7" s="1"/>
  <c r="N31" i="8"/>
  <c r="Z80" i="8" s="1"/>
  <c r="Y28" i="7" s="1"/>
  <c r="O31" i="8"/>
  <c r="AE80" i="8" s="1"/>
  <c r="AD28" i="7" s="1"/>
  <c r="P31" i="8"/>
  <c r="AJ80" i="8" s="1"/>
  <c r="AI28" i="7" s="1"/>
  <c r="Q31" i="8"/>
  <c r="AO80" i="8" s="1"/>
  <c r="AN28" i="7" s="1"/>
  <c r="R31" i="8"/>
  <c r="AT80" i="8" s="1"/>
  <c r="AS28" i="7" s="1"/>
  <c r="S31" i="8"/>
  <c r="AY80" i="8" s="1"/>
  <c r="AX28" i="7" s="1"/>
  <c r="T31" i="8"/>
  <c r="BD80" i="8" s="1"/>
  <c r="BC28" i="7" s="1"/>
  <c r="J31" i="8"/>
  <c r="J80" i="8" s="1"/>
  <c r="I28" i="7" s="1"/>
  <c r="L45" i="8"/>
  <c r="P94" i="8" s="1"/>
  <c r="O43" i="7" s="1"/>
  <c r="N45" i="8"/>
  <c r="Z94" i="8" s="1"/>
  <c r="AA94" i="8" s="1"/>
  <c r="P45" i="8"/>
  <c r="AJ94" i="8" s="1"/>
  <c r="R45" i="8"/>
  <c r="AT94" i="8" s="1"/>
  <c r="L43" i="8"/>
  <c r="P92" i="8" s="1"/>
  <c r="O41" i="7" s="1"/>
  <c r="N43" i="8"/>
  <c r="Z92" i="8" s="1"/>
  <c r="Y41" i="7" s="1"/>
  <c r="P43" i="8"/>
  <c r="AJ92" i="8" s="1"/>
  <c r="AI41" i="7" s="1"/>
  <c r="R43" i="8"/>
  <c r="AT92" i="8" s="1"/>
  <c r="AS41" i="7" s="1"/>
  <c r="K43" i="8"/>
  <c r="O92" i="8" s="1"/>
  <c r="L42" i="8"/>
  <c r="P91" i="8" s="1"/>
  <c r="O40" i="7" s="1"/>
  <c r="N42" i="8"/>
  <c r="Z91" i="8" s="1"/>
  <c r="P42" i="8"/>
  <c r="AJ91" i="8" s="1"/>
  <c r="R42" i="8"/>
  <c r="AT91" i="8" s="1"/>
  <c r="AS40" i="7" s="1"/>
  <c r="R40" i="8"/>
  <c r="AT89" i="8" s="1"/>
  <c r="L40" i="8"/>
  <c r="P89" i="8" s="1"/>
  <c r="O38" i="7" s="1"/>
  <c r="N40" i="8"/>
  <c r="Z89" i="8" s="1"/>
  <c r="Y38" i="7" s="1"/>
  <c r="P40" i="8"/>
  <c r="AJ89" i="8" s="1"/>
  <c r="AI38" i="7" s="1"/>
  <c r="K40" i="8"/>
  <c r="O89" i="8" s="1"/>
  <c r="N38" i="7" s="1"/>
  <c r="L81" i="8"/>
  <c r="K29" i="7" s="1"/>
  <c r="H37" i="7"/>
  <c r="E37" i="7"/>
  <c r="D37" i="7"/>
  <c r="C37" i="7"/>
  <c r="B37" i="7"/>
  <c r="H36" i="7"/>
  <c r="F36" i="7"/>
  <c r="E36" i="7"/>
  <c r="D36" i="7"/>
  <c r="C36" i="7"/>
  <c r="B36" i="7"/>
  <c r="H35" i="7"/>
  <c r="F35" i="7"/>
  <c r="E35" i="7"/>
  <c r="D35" i="7"/>
  <c r="C35" i="7"/>
  <c r="B35" i="7"/>
  <c r="L39" i="8"/>
  <c r="P88" i="8" s="1"/>
  <c r="N39" i="8"/>
  <c r="Z88" i="8" s="1"/>
  <c r="P39" i="8"/>
  <c r="AJ88" i="8" s="1"/>
  <c r="R39" i="8"/>
  <c r="AT88" i="8" s="1"/>
  <c r="K39" i="8"/>
  <c r="O88" i="8" s="1"/>
  <c r="Q88" i="8" s="1"/>
  <c r="L37" i="8"/>
  <c r="P86" i="8" s="1"/>
  <c r="O35" i="7" s="1"/>
  <c r="N37" i="8"/>
  <c r="Z86" i="8" s="1"/>
  <c r="AA86" i="8" s="1"/>
  <c r="P37" i="8"/>
  <c r="AJ86" i="8" s="1"/>
  <c r="R37" i="8"/>
  <c r="AT86" i="8" s="1"/>
  <c r="K37" i="8"/>
  <c r="O86" i="8" s="1"/>
  <c r="C34" i="7"/>
  <c r="D34" i="7"/>
  <c r="E34" i="7"/>
  <c r="H34" i="7"/>
  <c r="C33" i="7"/>
  <c r="D33" i="7"/>
  <c r="E33" i="7"/>
  <c r="F33" i="7"/>
  <c r="H33" i="7"/>
  <c r="B33" i="7"/>
  <c r="B34" i="7"/>
  <c r="C32" i="7"/>
  <c r="D32" i="7"/>
  <c r="E32" i="7"/>
  <c r="F32" i="7"/>
  <c r="H32" i="7"/>
  <c r="B32" i="7"/>
  <c r="L36" i="8"/>
  <c r="P85" i="8" s="1"/>
  <c r="N36" i="8"/>
  <c r="Z85" i="8" s="1"/>
  <c r="Y34" i="7" s="1"/>
  <c r="P36" i="8"/>
  <c r="AJ85" i="8" s="1"/>
  <c r="R36" i="8"/>
  <c r="AT85" i="8" s="1"/>
  <c r="AS34" i="7" s="1"/>
  <c r="K36" i="8"/>
  <c r="O85" i="8" s="1"/>
  <c r="N34" i="8"/>
  <c r="Z83" i="8" s="1"/>
  <c r="P34" i="8"/>
  <c r="AJ83" i="8" s="1"/>
  <c r="R34" i="8"/>
  <c r="AT83" i="8" s="1"/>
  <c r="L34" i="8"/>
  <c r="P83" i="8" s="1"/>
  <c r="O32" i="7" s="1"/>
  <c r="K34" i="8"/>
  <c r="O83" i="8" s="1"/>
  <c r="Q83" i="8" s="1"/>
  <c r="C13" i="1"/>
  <c r="AO34" i="4"/>
  <c r="AP34" i="4"/>
  <c r="AQ34" i="4"/>
  <c r="AR34" i="4"/>
  <c r="AS34" i="4"/>
  <c r="AT34" i="4"/>
  <c r="AU34" i="4"/>
  <c r="AV34" i="4"/>
  <c r="AW34" i="4"/>
  <c r="AX34" i="4"/>
  <c r="C12" i="7"/>
  <c r="B102" i="4"/>
  <c r="F35" i="1"/>
  <c r="B105" i="4"/>
  <c r="B101" i="4"/>
  <c r="F106" i="1"/>
  <c r="F105" i="1"/>
  <c r="B62" i="4"/>
  <c r="B34" i="4"/>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57" i="7"/>
  <c r="F17" i="5"/>
  <c r="I62" i="4"/>
  <c r="J62" i="4"/>
  <c r="K62" i="4"/>
  <c r="L62" i="4"/>
  <c r="M62" i="4"/>
  <c r="N62" i="4"/>
  <c r="O62" i="4"/>
  <c r="P62" i="4"/>
  <c r="Q62" i="4"/>
  <c r="R62" i="4"/>
  <c r="S62" i="4"/>
  <c r="T62" i="4"/>
  <c r="U62" i="4"/>
  <c r="V62" i="4"/>
  <c r="W62" i="4"/>
  <c r="X62" i="4"/>
  <c r="Y62" i="4"/>
  <c r="E62" i="4"/>
  <c r="F62" i="4"/>
  <c r="G62" i="4"/>
  <c r="H62" i="4"/>
  <c r="D62" i="4"/>
  <c r="B31" i="1"/>
  <c r="E17" i="13"/>
  <c r="C17" i="13"/>
  <c r="E16" i="13"/>
  <c r="C16" i="13"/>
  <c r="E15" i="13"/>
  <c r="C15" i="13"/>
  <c r="F104" i="1"/>
  <c r="J94" i="1"/>
  <c r="G99" i="1"/>
  <c r="AN39"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D39" i="4"/>
  <c r="E39" i="4"/>
  <c r="F39" i="4"/>
  <c r="G39" i="4"/>
  <c r="H39" i="4"/>
  <c r="I39" i="4"/>
  <c r="J39" i="4"/>
  <c r="C14" i="13"/>
  <c r="E13" i="13"/>
  <c r="C13" i="13"/>
  <c r="E12" i="13"/>
  <c r="C12" i="13"/>
  <c r="C14" i="1"/>
  <c r="C15" i="1"/>
  <c r="C16" i="1"/>
  <c r="C21" i="1"/>
  <c r="C17" i="1"/>
  <c r="C22" i="1"/>
  <c r="C18" i="1"/>
  <c r="C19" i="1"/>
  <c r="O5" i="5"/>
  <c r="D54" i="1"/>
  <c r="F53" i="1"/>
  <c r="D53" i="1"/>
  <c r="F51" i="8"/>
  <c r="F3" i="7" s="1"/>
  <c r="F52" i="8"/>
  <c r="F4" i="7" s="1"/>
  <c r="F53" i="8"/>
  <c r="F5" i="7" s="1"/>
  <c r="F54" i="8"/>
  <c r="F6" i="7" s="1"/>
  <c r="F55" i="8"/>
  <c r="F7" i="7" s="1"/>
  <c r="F56" i="8"/>
  <c r="F57" i="8"/>
  <c r="F9" i="7" s="1"/>
  <c r="F58" i="8"/>
  <c r="F10" i="7" s="1"/>
  <c r="F59" i="8"/>
  <c r="F60" i="8"/>
  <c r="F11" i="7" s="1"/>
  <c r="F61" i="8"/>
  <c r="F12" i="7" s="1"/>
  <c r="F62" i="8"/>
  <c r="F13" i="7" s="1"/>
  <c r="F63" i="8"/>
  <c r="F64" i="8"/>
  <c r="F15" i="7" s="1"/>
  <c r="F65" i="8"/>
  <c r="F16" i="7" s="1"/>
  <c r="F66" i="8"/>
  <c r="F17" i="7" s="1"/>
  <c r="F67" i="8"/>
  <c r="F68" i="8"/>
  <c r="F69" i="8"/>
  <c r="F70" i="8"/>
  <c r="F71" i="8"/>
  <c r="F22" i="7" s="1"/>
  <c r="F72" i="8"/>
  <c r="F73" i="8"/>
  <c r="F74" i="8"/>
  <c r="F75" i="8"/>
  <c r="F76" i="8"/>
  <c r="F26" i="7" s="1"/>
  <c r="F77" i="8"/>
  <c r="F27" i="7" s="1"/>
  <c r="F78" i="8"/>
  <c r="F50" i="8"/>
  <c r="F2" i="7" s="1"/>
  <c r="A27" i="7"/>
  <c r="A26" i="7"/>
  <c r="D26" i="7"/>
  <c r="H23" i="7"/>
  <c r="H22" i="7"/>
  <c r="H21" i="7"/>
  <c r="H20" i="7"/>
  <c r="H19" i="7"/>
  <c r="H18" i="7"/>
  <c r="H17" i="7"/>
  <c r="H16" i="7"/>
  <c r="H15" i="7"/>
  <c r="H14" i="7"/>
  <c r="H13" i="7"/>
  <c r="H12" i="7"/>
  <c r="H11" i="7"/>
  <c r="A57" i="7"/>
  <c r="A56" i="7"/>
  <c r="H8" i="7"/>
  <c r="H7" i="7"/>
  <c r="A54" i="7" s="1"/>
  <c r="H6" i="7"/>
  <c r="H5" i="7"/>
  <c r="A52" i="7" s="1"/>
  <c r="H4" i="7"/>
  <c r="A51" i="7" s="1"/>
  <c r="H3" i="7"/>
  <c r="H2" i="7"/>
  <c r="A49" i="7" s="1"/>
  <c r="G22" i="7"/>
  <c r="G21" i="7"/>
  <c r="G20" i="7"/>
  <c r="G19" i="7"/>
  <c r="G34" i="7" s="1"/>
  <c r="G18" i="7"/>
  <c r="G37" i="7" s="1"/>
  <c r="G17" i="7"/>
  <c r="G16" i="7"/>
  <c r="G15" i="7"/>
  <c r="G14" i="7"/>
  <c r="G13" i="7"/>
  <c r="G12" i="7"/>
  <c r="G33" i="7" s="1"/>
  <c r="G11" i="7"/>
  <c r="G36" i="7" s="1"/>
  <c r="G10" i="7"/>
  <c r="G9" i="7"/>
  <c r="G8" i="7"/>
  <c r="G7" i="7"/>
  <c r="G6" i="7"/>
  <c r="G5" i="7"/>
  <c r="G4" i="7"/>
  <c r="G32" i="7" s="1"/>
  <c r="G3" i="7"/>
  <c r="G35" i="7" s="1"/>
  <c r="G2" i="7"/>
  <c r="F14" i="7"/>
  <c r="E27" i="7"/>
  <c r="E26" i="7"/>
  <c r="E25" i="7"/>
  <c r="E24" i="7"/>
  <c r="E23" i="7"/>
  <c r="E22" i="7"/>
  <c r="E21" i="7"/>
  <c r="E20" i="7"/>
  <c r="E19" i="7"/>
  <c r="E18" i="7"/>
  <c r="E17" i="7"/>
  <c r="E16" i="7"/>
  <c r="E15" i="7"/>
  <c r="E14" i="7"/>
  <c r="E13" i="7"/>
  <c r="E12" i="7"/>
  <c r="E11" i="7"/>
  <c r="E10" i="7"/>
  <c r="E9" i="7"/>
  <c r="E8" i="7"/>
  <c r="E7" i="7"/>
  <c r="E6" i="7"/>
  <c r="E5" i="7"/>
  <c r="E4" i="7"/>
  <c r="E3" i="7"/>
  <c r="E2" i="7"/>
  <c r="D24" i="7"/>
  <c r="D23" i="7"/>
  <c r="D22" i="7"/>
  <c r="D21" i="7"/>
  <c r="D20" i="7"/>
  <c r="D19" i="7"/>
  <c r="D18" i="7"/>
  <c r="D17" i="7"/>
  <c r="D16" i="7"/>
  <c r="D15" i="7"/>
  <c r="D14" i="7"/>
  <c r="D13" i="7"/>
  <c r="D12" i="7"/>
  <c r="D11" i="7"/>
  <c r="D9" i="7"/>
  <c r="D8" i="7"/>
  <c r="D7" i="7"/>
  <c r="D6" i="7"/>
  <c r="D5" i="7"/>
  <c r="D4" i="7"/>
  <c r="D3" i="7"/>
  <c r="D2" i="7"/>
  <c r="C26" i="7"/>
  <c r="C25" i="7"/>
  <c r="C24" i="7"/>
  <c r="C23" i="7"/>
  <c r="C22" i="7"/>
  <c r="C21" i="7"/>
  <c r="C20" i="7"/>
  <c r="C19" i="7"/>
  <c r="C18" i="7"/>
  <c r="C17" i="7"/>
  <c r="C16" i="7"/>
  <c r="C15" i="7"/>
  <c r="C14" i="7"/>
  <c r="C13" i="7"/>
  <c r="C8" i="7"/>
  <c r="C7" i="7"/>
  <c r="C6" i="7"/>
  <c r="C5" i="7"/>
  <c r="C4" i="7"/>
  <c r="C3" i="7"/>
  <c r="C2" i="7"/>
  <c r="B26" i="7"/>
  <c r="B24" i="7"/>
  <c r="B23" i="7"/>
  <c r="B22" i="7"/>
  <c r="B21" i="7"/>
  <c r="B20" i="7"/>
  <c r="B19" i="7"/>
  <c r="B18" i="7"/>
  <c r="B17" i="7"/>
  <c r="B16" i="7"/>
  <c r="B15" i="7"/>
  <c r="B14" i="7"/>
  <c r="B13" i="7"/>
  <c r="B11" i="7"/>
  <c r="B9" i="7"/>
  <c r="B8" i="7"/>
  <c r="B7" i="7"/>
  <c r="B6" i="7"/>
  <c r="B5" i="7"/>
  <c r="B4" i="7"/>
  <c r="B3" i="7"/>
  <c r="B2" i="7"/>
  <c r="A3" i="7"/>
  <c r="A4" i="7"/>
  <c r="A5" i="7"/>
  <c r="A6" i="7"/>
  <c r="A7" i="7"/>
  <c r="A8" i="7"/>
  <c r="A9" i="7"/>
  <c r="A10" i="7"/>
  <c r="A11" i="7"/>
  <c r="A12" i="7"/>
  <c r="A13" i="7"/>
  <c r="A14" i="7"/>
  <c r="A15" i="7"/>
  <c r="A16" i="7"/>
  <c r="A17" i="7"/>
  <c r="A18" i="7"/>
  <c r="A19" i="7"/>
  <c r="A20" i="7"/>
  <c r="A21" i="7"/>
  <c r="A22" i="7"/>
  <c r="A23" i="7"/>
  <c r="A24" i="7"/>
  <c r="A25" i="7"/>
  <c r="A2" i="7"/>
  <c r="A53" i="7"/>
  <c r="M23" i="8"/>
  <c r="U71" i="8" s="1"/>
  <c r="N23" i="8"/>
  <c r="Z71" i="8" s="1"/>
  <c r="O23" i="8"/>
  <c r="AE71" i="8" s="1"/>
  <c r="P23" i="8"/>
  <c r="AJ71" i="8" s="1"/>
  <c r="AI22" i="7" s="1"/>
  <c r="Q23" i="8"/>
  <c r="AO71" i="8" s="1"/>
  <c r="R23" i="8"/>
  <c r="AT71" i="8" s="1"/>
  <c r="S23" i="8"/>
  <c r="AY71" i="8" s="1"/>
  <c r="T23" i="8"/>
  <c r="BD71" i="8" s="1"/>
  <c r="J23" i="8"/>
  <c r="J71" i="8" s="1"/>
  <c r="R24" i="8"/>
  <c r="AT72" i="8" s="1"/>
  <c r="Q24" i="8"/>
  <c r="AO72" i="8" s="1"/>
  <c r="AN23" i="7" s="1"/>
  <c r="P24" i="8"/>
  <c r="AJ72" i="8" s="1"/>
  <c r="O24" i="8"/>
  <c r="AE72" i="8" s="1"/>
  <c r="N24" i="8"/>
  <c r="Z72" i="8" s="1"/>
  <c r="M24" i="8"/>
  <c r="U72" i="8" s="1"/>
  <c r="T23" i="7" s="1"/>
  <c r="P136" i="9"/>
  <c r="Q136" i="9"/>
  <c r="J24" i="8"/>
  <c r="J72" i="8" s="1"/>
  <c r="J91" i="8" s="1"/>
  <c r="S136" i="9"/>
  <c r="O136" i="9"/>
  <c r="Q138" i="9" s="1"/>
  <c r="S138" i="9"/>
  <c r="R138" i="9"/>
  <c r="T7" i="8"/>
  <c r="BD55" i="8" s="1"/>
  <c r="S7" i="8"/>
  <c r="R7" i="8"/>
  <c r="AT55" i="8" s="1"/>
  <c r="Q7" i="8"/>
  <c r="AO55" i="8" s="1"/>
  <c r="P7" i="8"/>
  <c r="AJ55" i="8" s="1"/>
  <c r="AI7" i="7" s="1"/>
  <c r="O7" i="8"/>
  <c r="AE55" i="8" s="1"/>
  <c r="AD7" i="7" s="1"/>
  <c r="N7" i="8"/>
  <c r="M7" i="8"/>
  <c r="U55" i="8" s="1"/>
  <c r="T7" i="7" s="1"/>
  <c r="T6" i="8"/>
  <c r="BD54" i="8" s="1"/>
  <c r="BC6" i="7" s="1"/>
  <c r="S6" i="8"/>
  <c r="AY54" i="8" s="1"/>
  <c r="R6" i="8"/>
  <c r="AT54" i="8" s="1"/>
  <c r="Q6" i="8"/>
  <c r="AO54" i="8" s="1"/>
  <c r="P6" i="8"/>
  <c r="AJ54" i="8" s="1"/>
  <c r="O6" i="8"/>
  <c r="AE54" i="8" s="1"/>
  <c r="AD6" i="7" s="1"/>
  <c r="N6" i="8"/>
  <c r="Z54" i="8" s="1"/>
  <c r="M6" i="8"/>
  <c r="T5" i="8"/>
  <c r="BD53" i="8" s="1"/>
  <c r="BC5" i="7" s="1"/>
  <c r="S5" i="8"/>
  <c r="R5" i="8"/>
  <c r="AT53" i="8" s="1"/>
  <c r="Q5" i="8"/>
  <c r="AO53" i="8" s="1"/>
  <c r="P5" i="8"/>
  <c r="AJ53" i="8" s="1"/>
  <c r="O5" i="8"/>
  <c r="AE53" i="8" s="1"/>
  <c r="AD5" i="7" s="1"/>
  <c r="N5" i="8"/>
  <c r="Z53" i="8" s="1"/>
  <c r="M5" i="8"/>
  <c r="T4" i="8"/>
  <c r="BD52" i="8" s="1"/>
  <c r="BC4" i="7" s="1"/>
  <c r="S4" i="8"/>
  <c r="AY52" i="8" s="1"/>
  <c r="R4" i="8"/>
  <c r="AT52" i="8" s="1"/>
  <c r="Q4" i="8"/>
  <c r="AO52" i="8" s="1"/>
  <c r="P4" i="8"/>
  <c r="AJ52" i="8" s="1"/>
  <c r="O4" i="8"/>
  <c r="AE52" i="8" s="1"/>
  <c r="AD4" i="7" s="1"/>
  <c r="N4" i="8"/>
  <c r="Z52" i="8" s="1"/>
  <c r="M4" i="8"/>
  <c r="U52" i="8" s="1"/>
  <c r="T3" i="8"/>
  <c r="BD51" i="8" s="1"/>
  <c r="S3" i="8"/>
  <c r="AY51" i="8" s="1"/>
  <c r="AX3" i="7" s="1"/>
  <c r="R3" i="8"/>
  <c r="AT51" i="8" s="1"/>
  <c r="Q3" i="8"/>
  <c r="AO51" i="8" s="1"/>
  <c r="P3" i="8"/>
  <c r="AJ51" i="8" s="1"/>
  <c r="O3" i="8"/>
  <c r="AE51" i="8" s="1"/>
  <c r="AD3" i="7" s="1"/>
  <c r="N3" i="8"/>
  <c r="Z51" i="8" s="1"/>
  <c r="M3" i="8"/>
  <c r="U51" i="8" s="1"/>
  <c r="J6" i="8"/>
  <c r="J54" i="8" s="1"/>
  <c r="J5" i="8"/>
  <c r="J53" i="8" s="1"/>
  <c r="J4" i="8"/>
  <c r="J52" i="8" s="1"/>
  <c r="J7" i="8"/>
  <c r="J55" i="8" s="1"/>
  <c r="P55" i="8" s="1"/>
  <c r="O7" i="7" s="1"/>
  <c r="BD66" i="8"/>
  <c r="BC17" i="7" s="1"/>
  <c r="AY66" i="8"/>
  <c r="AT66" i="8"/>
  <c r="AO66" i="8"/>
  <c r="AJ66" i="8"/>
  <c r="AI17" i="7" s="1"/>
  <c r="AE66" i="8"/>
  <c r="Z66" i="8"/>
  <c r="U66" i="8"/>
  <c r="T17" i="7" s="1"/>
  <c r="J66" i="8"/>
  <c r="M26" i="8"/>
  <c r="U74" i="8" s="1"/>
  <c r="N26" i="8"/>
  <c r="Z74" i="8" s="1"/>
  <c r="O26" i="8"/>
  <c r="AE74" i="8" s="1"/>
  <c r="P26" i="8"/>
  <c r="AJ74" i="8" s="1"/>
  <c r="Q26" i="8"/>
  <c r="AO74" i="8" s="1"/>
  <c r="R26" i="8"/>
  <c r="AT74" i="8" s="1"/>
  <c r="S26" i="8"/>
  <c r="AY74" i="8" s="1"/>
  <c r="T26" i="8"/>
  <c r="BD74" i="8" s="1"/>
  <c r="M27" i="8"/>
  <c r="U75" i="8" s="1"/>
  <c r="N27" i="8"/>
  <c r="Z75" i="8" s="1"/>
  <c r="O27" i="8"/>
  <c r="AE75" i="8" s="1"/>
  <c r="P27" i="8"/>
  <c r="AJ75" i="8" s="1"/>
  <c r="Q27" i="8"/>
  <c r="AO75" i="8" s="1"/>
  <c r="R27" i="8"/>
  <c r="AT75" i="8" s="1"/>
  <c r="S27" i="8"/>
  <c r="AY75" i="8" s="1"/>
  <c r="T27" i="8"/>
  <c r="BD75" i="8" s="1"/>
  <c r="J27" i="8"/>
  <c r="J75" i="8" s="1"/>
  <c r="J26" i="8"/>
  <c r="J74" i="8" s="1"/>
  <c r="M25" i="8"/>
  <c r="U73" i="8" s="1"/>
  <c r="T24" i="7" s="1"/>
  <c r="N25" i="8"/>
  <c r="Z73" i="8" s="1"/>
  <c r="O25" i="8"/>
  <c r="AE73" i="8" s="1"/>
  <c r="P25" i="8"/>
  <c r="AJ73" i="8" s="1"/>
  <c r="Q25" i="8"/>
  <c r="AO73" i="8" s="1"/>
  <c r="R25" i="8"/>
  <c r="AT73" i="8" s="1"/>
  <c r="S25" i="8"/>
  <c r="AY73" i="8" s="1"/>
  <c r="T25" i="8"/>
  <c r="BD73" i="8" s="1"/>
  <c r="BC24" i="7" s="1"/>
  <c r="J25" i="8"/>
  <c r="J73" i="8" s="1"/>
  <c r="N73" i="8" s="1"/>
  <c r="M24" i="7" s="1"/>
  <c r="S71" i="8"/>
  <c r="R22" i="7" s="1"/>
  <c r="M12" i="8"/>
  <c r="U60" i="8" s="1"/>
  <c r="N12" i="8"/>
  <c r="Z60" i="8" s="1"/>
  <c r="AB60" i="8" s="1"/>
  <c r="AA11" i="7" s="1"/>
  <c r="O12" i="8"/>
  <c r="AE60" i="8" s="1"/>
  <c r="P12" i="8"/>
  <c r="AJ60" i="8" s="1"/>
  <c r="Q12" i="8"/>
  <c r="AO60" i="8" s="1"/>
  <c r="AN11" i="7" s="1"/>
  <c r="R12" i="8"/>
  <c r="S12" i="8"/>
  <c r="AY60" i="8" s="1"/>
  <c r="T12" i="8"/>
  <c r="BD60" i="8" s="1"/>
  <c r="M13" i="8"/>
  <c r="N13" i="8"/>
  <c r="Z61" i="8" s="1"/>
  <c r="O13" i="8"/>
  <c r="AE61" i="8" s="1"/>
  <c r="P13" i="8"/>
  <c r="AJ61" i="8" s="1"/>
  <c r="Q13" i="8"/>
  <c r="R13" i="8"/>
  <c r="AT61" i="8" s="1"/>
  <c r="S13" i="8"/>
  <c r="AY61" i="8" s="1"/>
  <c r="T13" i="8"/>
  <c r="BD61" i="8" s="1"/>
  <c r="BC12" i="7" s="1"/>
  <c r="M14" i="8"/>
  <c r="U62" i="8" s="1"/>
  <c r="T13" i="7" s="1"/>
  <c r="N14" i="8"/>
  <c r="Z62" i="8" s="1"/>
  <c r="Y13" i="7" s="1"/>
  <c r="O14" i="8"/>
  <c r="AE62" i="8" s="1"/>
  <c r="AD13" i="7" s="1"/>
  <c r="P14" i="8"/>
  <c r="AJ62" i="8" s="1"/>
  <c r="Q14" i="8"/>
  <c r="AO62" i="8" s="1"/>
  <c r="AN13" i="7" s="1"/>
  <c r="R14" i="8"/>
  <c r="AT62" i="8" s="1"/>
  <c r="S14" i="8"/>
  <c r="AY62" i="8" s="1"/>
  <c r="AX13" i="7" s="1"/>
  <c r="T14" i="8"/>
  <c r="BD62" i="8" s="1"/>
  <c r="M15" i="8"/>
  <c r="U63" i="8" s="1"/>
  <c r="N15" i="8"/>
  <c r="Z63" i="8" s="1"/>
  <c r="Y14" i="7" s="1"/>
  <c r="O15" i="8"/>
  <c r="AE63" i="8" s="1"/>
  <c r="P15" i="8"/>
  <c r="AJ63" i="8" s="1"/>
  <c r="Q15" i="8"/>
  <c r="AO63" i="8" s="1"/>
  <c r="AN14" i="7" s="1"/>
  <c r="R15" i="8"/>
  <c r="AT63" i="8" s="1"/>
  <c r="AS14" i="7" s="1"/>
  <c r="S15" i="8"/>
  <c r="T15" i="8"/>
  <c r="BD63" i="8" s="1"/>
  <c r="BC14" i="7" s="1"/>
  <c r="M17" i="8"/>
  <c r="U65" i="8" s="1"/>
  <c r="N17" i="8"/>
  <c r="Z65" i="8" s="1"/>
  <c r="Z90" i="8" s="1"/>
  <c r="O17" i="8"/>
  <c r="AE65" i="8" s="1"/>
  <c r="P17" i="8"/>
  <c r="AJ65" i="8" s="1"/>
  <c r="AJ90" i="8" s="1"/>
  <c r="Q17" i="8"/>
  <c r="AO65" i="8" s="1"/>
  <c r="R17" i="8"/>
  <c r="AT65" i="8" s="1"/>
  <c r="AS16" i="7" s="1"/>
  <c r="S17" i="8"/>
  <c r="AY65" i="8" s="1"/>
  <c r="T17" i="8"/>
  <c r="BD65" i="8" s="1"/>
  <c r="M19" i="8"/>
  <c r="U67" i="8" s="1"/>
  <c r="T18" i="7" s="1"/>
  <c r="N19" i="8"/>
  <c r="Z67" i="8" s="1"/>
  <c r="O19" i="8"/>
  <c r="AE67" i="8" s="1"/>
  <c r="AD18" i="7" s="1"/>
  <c r="P19" i="8"/>
  <c r="AJ67" i="8" s="1"/>
  <c r="AI18" i="7" s="1"/>
  <c r="Q19" i="8"/>
  <c r="AO67" i="8" s="1"/>
  <c r="R19" i="8"/>
  <c r="AT67" i="8" s="1"/>
  <c r="S19" i="8"/>
  <c r="AY67" i="8" s="1"/>
  <c r="T19" i="8"/>
  <c r="BD67" i="8" s="1"/>
  <c r="M20" i="8"/>
  <c r="U68" i="8" s="1"/>
  <c r="N20" i="8"/>
  <c r="Z68" i="8" s="1"/>
  <c r="O20" i="8"/>
  <c r="AE68" i="8" s="1"/>
  <c r="AD19" i="7" s="1"/>
  <c r="P20" i="8"/>
  <c r="AJ68" i="8" s="1"/>
  <c r="Q20" i="8"/>
  <c r="AO68" i="8" s="1"/>
  <c r="R20" i="8"/>
  <c r="AT68" i="8" s="1"/>
  <c r="S20" i="8"/>
  <c r="AY68" i="8" s="1"/>
  <c r="T20" i="8"/>
  <c r="BD68" i="8" s="1"/>
  <c r="BC19" i="7" s="1"/>
  <c r="M21" i="8"/>
  <c r="U69" i="8" s="1"/>
  <c r="N21" i="8"/>
  <c r="Z69" i="8" s="1"/>
  <c r="Y20" i="7" s="1"/>
  <c r="O21" i="8"/>
  <c r="AE69" i="8" s="1"/>
  <c r="P21" i="8"/>
  <c r="AJ69" i="8" s="1"/>
  <c r="AF69" i="8" s="1"/>
  <c r="AE20" i="7" s="1"/>
  <c r="Q21" i="8"/>
  <c r="AO69" i="8" s="1"/>
  <c r="R21" i="8"/>
  <c r="AT69" i="8" s="1"/>
  <c r="AS20" i="7" s="1"/>
  <c r="S21" i="8"/>
  <c r="AY69" i="8" s="1"/>
  <c r="T21" i="8"/>
  <c r="BD69" i="8" s="1"/>
  <c r="M22" i="8"/>
  <c r="U70" i="8" s="1"/>
  <c r="Q70" i="8" s="1"/>
  <c r="P21" i="7" s="1"/>
  <c r="N22" i="8"/>
  <c r="Z70" i="8" s="1"/>
  <c r="Y21" i="7" s="1"/>
  <c r="O22" i="8"/>
  <c r="AE70" i="8" s="1"/>
  <c r="P22" i="8"/>
  <c r="AJ70" i="8" s="1"/>
  <c r="AF70" i="8" s="1"/>
  <c r="AE21" i="7" s="1"/>
  <c r="Q22" i="8"/>
  <c r="AO70" i="8" s="1"/>
  <c r="R22" i="8"/>
  <c r="AT70" i="8" s="1"/>
  <c r="S22" i="8"/>
  <c r="AY70" i="8" s="1"/>
  <c r="T22" i="8"/>
  <c r="BD70" i="8" s="1"/>
  <c r="J17" i="8"/>
  <c r="J65" i="8" s="1"/>
  <c r="J90" i="8" s="1"/>
  <c r="J15" i="8"/>
  <c r="J63" i="8" s="1"/>
  <c r="I14" i="7" s="1"/>
  <c r="J14" i="8"/>
  <c r="J62" i="8" s="1"/>
  <c r="J13" i="8"/>
  <c r="J61" i="8" s="1"/>
  <c r="J12" i="8"/>
  <c r="J22" i="8"/>
  <c r="J70" i="8" s="1"/>
  <c r="J21" i="8"/>
  <c r="J69" i="8" s="1"/>
  <c r="J20" i="8"/>
  <c r="J68" i="8" s="1"/>
  <c r="J19" i="8"/>
  <c r="J67" i="8" s="1"/>
  <c r="M67" i="8" s="1"/>
  <c r="L18" i="7" s="1"/>
  <c r="M8" i="8"/>
  <c r="U56" i="8" s="1"/>
  <c r="N8" i="8"/>
  <c r="Z56" i="8" s="1"/>
  <c r="O8" i="8"/>
  <c r="AE56" i="8" s="1"/>
  <c r="P8" i="8"/>
  <c r="AJ56" i="8" s="1"/>
  <c r="Q8" i="8"/>
  <c r="AO56" i="8" s="1"/>
  <c r="R8" i="8"/>
  <c r="AT56" i="8" s="1"/>
  <c r="S8" i="8"/>
  <c r="AY56" i="8" s="1"/>
  <c r="AX8" i="7" s="1"/>
  <c r="T8" i="8"/>
  <c r="BD56" i="8" s="1"/>
  <c r="BC56" i="8" s="1"/>
  <c r="BB8" i="7" s="1"/>
  <c r="M9" i="8"/>
  <c r="U57" i="8" s="1"/>
  <c r="N9" i="8"/>
  <c r="Z57" i="8" s="1"/>
  <c r="O9" i="8"/>
  <c r="AE57" i="8" s="1"/>
  <c r="P9" i="8"/>
  <c r="AJ57" i="8" s="1"/>
  <c r="Q9" i="8"/>
  <c r="AO57" i="8" s="1"/>
  <c r="AN57" i="8" s="1"/>
  <c r="AM9" i="7" s="1"/>
  <c r="R9" i="8"/>
  <c r="AT57" i="8" s="1"/>
  <c r="S9" i="8"/>
  <c r="AY57" i="8" s="1"/>
  <c r="T9" i="8"/>
  <c r="BD57" i="8" s="1"/>
  <c r="BC9" i="7" s="1"/>
  <c r="M10" i="8"/>
  <c r="U58" i="8" s="1"/>
  <c r="N10" i="8"/>
  <c r="Z58" i="8" s="1"/>
  <c r="O10" i="8"/>
  <c r="AE58" i="8" s="1"/>
  <c r="P10" i="8"/>
  <c r="AJ58" i="8" s="1"/>
  <c r="Q10" i="8"/>
  <c r="AO58" i="8" s="1"/>
  <c r="R10" i="8"/>
  <c r="AT58" i="8" s="1"/>
  <c r="S10" i="8"/>
  <c r="AY58" i="8" s="1"/>
  <c r="T10" i="8"/>
  <c r="BD58" i="8" s="1"/>
  <c r="M11" i="8"/>
  <c r="U59" i="8" s="1"/>
  <c r="N11" i="8"/>
  <c r="Z59" i="8" s="1"/>
  <c r="O11" i="8"/>
  <c r="AE59" i="8" s="1"/>
  <c r="P11" i="8"/>
  <c r="AJ59" i="8" s="1"/>
  <c r="Q11" i="8"/>
  <c r="AO59" i="8" s="1"/>
  <c r="AN59" i="8" s="1"/>
  <c r="R11" i="8"/>
  <c r="AT59" i="8" s="1"/>
  <c r="S11" i="8"/>
  <c r="AY59" i="8" s="1"/>
  <c r="T11" i="8"/>
  <c r="BD59" i="8" s="1"/>
  <c r="J11" i="8"/>
  <c r="J59" i="8" s="1"/>
  <c r="K59" i="8" s="1"/>
  <c r="J10" i="8"/>
  <c r="J58" i="8" s="1"/>
  <c r="J9" i="8"/>
  <c r="J57" i="8" s="1"/>
  <c r="J76" i="8" s="1"/>
  <c r="J79" i="8" s="1"/>
  <c r="I31" i="7" s="1"/>
  <c r="J8" i="8"/>
  <c r="J56" i="8" s="1"/>
  <c r="Z55" i="8"/>
  <c r="AY55" i="8"/>
  <c r="U53" i="8"/>
  <c r="AY53" i="8"/>
  <c r="AX5" i="7" s="1"/>
  <c r="U54" i="8"/>
  <c r="W54" i="8" s="1"/>
  <c r="V6" i="7" s="1"/>
  <c r="J3" i="8"/>
  <c r="J51" i="8" s="1"/>
  <c r="M2" i="8"/>
  <c r="N2" i="8"/>
  <c r="Z50" i="8" s="1"/>
  <c r="Y2" i="7" s="1"/>
  <c r="O2" i="8"/>
  <c r="P2" i="8"/>
  <c r="Q2" i="8"/>
  <c r="AO50" i="8" s="1"/>
  <c r="R2" i="8"/>
  <c r="AT50" i="8" s="1"/>
  <c r="S2" i="8"/>
  <c r="AY50" i="8" s="1"/>
  <c r="AX2" i="7" s="1"/>
  <c r="T2" i="8"/>
  <c r="BD50" i="8" s="1"/>
  <c r="J2" i="8"/>
  <c r="I21" i="7"/>
  <c r="Z77" i="8"/>
  <c r="X55" i="8"/>
  <c r="W7" i="7" s="1"/>
  <c r="AD65" i="8"/>
  <c r="AK59" i="8"/>
  <c r="AL59" i="8"/>
  <c r="AM59" i="8"/>
  <c r="AN58" i="8"/>
  <c r="AK57" i="8"/>
  <c r="AL57" i="8"/>
  <c r="AK9" i="7" s="1"/>
  <c r="AM57" i="8"/>
  <c r="AL9" i="7" s="1"/>
  <c r="O4" i="5"/>
  <c r="O2" i="5"/>
  <c r="B94" i="4"/>
  <c r="B87" i="4"/>
  <c r="C97" i="4"/>
  <c r="B97" i="4" s="1"/>
  <c r="C96" i="4"/>
  <c r="B96" i="4" s="1"/>
  <c r="C90" i="4"/>
  <c r="B90" i="4" s="1"/>
  <c r="C89" i="4"/>
  <c r="B89" i="4" s="1"/>
  <c r="C49" i="4"/>
  <c r="B49" i="4" s="1"/>
  <c r="C33" i="4"/>
  <c r="C34" i="4"/>
  <c r="C31" i="4"/>
  <c r="C13" i="4"/>
  <c r="C12" i="4"/>
  <c r="C57" i="7"/>
  <c r="AJ9" i="7"/>
  <c r="K3" i="5"/>
  <c r="K4" i="5" s="1"/>
  <c r="K5" i="5" s="1"/>
  <c r="K6" i="5" s="1"/>
  <c r="K7" i="5" s="1"/>
  <c r="K8" i="5" s="1"/>
  <c r="K9" i="5" s="1"/>
  <c r="K10" i="5" s="1"/>
  <c r="K11" i="5" s="1"/>
  <c r="O3" i="5"/>
  <c r="H14" i="5"/>
  <c r="H15" i="5"/>
  <c r="B95" i="4"/>
  <c r="B88" i="4"/>
  <c r="B33" i="4"/>
  <c r="AR87" i="4"/>
  <c r="AV87" i="4"/>
  <c r="AO87" i="4"/>
  <c r="AS87" i="4"/>
  <c r="AW87" i="4"/>
  <c r="AP87" i="4"/>
  <c r="AT87" i="4"/>
  <c r="AX87" i="4"/>
  <c r="AQ87" i="4"/>
  <c r="AU87" i="4"/>
  <c r="AQ88" i="4"/>
  <c r="AU88" i="4"/>
  <c r="AT88" i="4"/>
  <c r="AR88" i="4"/>
  <c r="AV88" i="4"/>
  <c r="AO88" i="4"/>
  <c r="AW88" i="4"/>
  <c r="AX88" i="4"/>
  <c r="AS88" i="4"/>
  <c r="AP88" i="4"/>
  <c r="E15" i="1"/>
  <c r="E14" i="1"/>
  <c r="E19" i="1"/>
  <c r="E18" i="1"/>
  <c r="E22" i="1"/>
  <c r="E17" i="1"/>
  <c r="E21" i="1"/>
  <c r="E16" i="1"/>
  <c r="K94" i="1" l="1"/>
  <c r="P60" i="4"/>
  <c r="X60" i="4"/>
  <c r="F60" i="4"/>
  <c r="S60" i="4"/>
  <c r="K60" i="4"/>
  <c r="Y60" i="4"/>
  <c r="Q60" i="4"/>
  <c r="E60" i="4"/>
  <c r="I60" i="4"/>
  <c r="H60" i="4"/>
  <c r="U60" i="4"/>
  <c r="M60" i="4"/>
  <c r="R60" i="4"/>
  <c r="J60" i="4"/>
  <c r="W60" i="4"/>
  <c r="O60" i="4"/>
  <c r="D60" i="4"/>
  <c r="V60" i="4"/>
  <c r="N60" i="4"/>
  <c r="G60" i="4"/>
  <c r="T60" i="4"/>
  <c r="L60" i="4"/>
  <c r="AD79" i="4" a="1"/>
  <c r="P79" i="4" a="1"/>
  <c r="AF79" i="4" a="1"/>
  <c r="AN79" i="4" a="1"/>
  <c r="I79" i="4" a="1"/>
  <c r="AG79" i="4" a="1"/>
  <c r="D79" i="4" a="1"/>
  <c r="J79" i="4" a="1"/>
  <c r="S79" i="4" a="1"/>
  <c r="T79" i="4" a="1"/>
  <c r="B106" i="4"/>
  <c r="J103" i="1"/>
  <c r="I94" i="8"/>
  <c r="AF82" i="8"/>
  <c r="AE30" i="7" s="1"/>
  <c r="AG82" i="8"/>
  <c r="AF30" i="7" s="1"/>
  <c r="O82" i="8"/>
  <c r="N30" i="7" s="1"/>
  <c r="AE82" i="8"/>
  <c r="AD30" i="7" s="1"/>
  <c r="AA82" i="8"/>
  <c r="Z30" i="7" s="1"/>
  <c r="AA83" i="8"/>
  <c r="AT93" i="8"/>
  <c r="O67" i="8"/>
  <c r="Q85" i="8"/>
  <c r="AO93" i="8"/>
  <c r="T67" i="8"/>
  <c r="S18" i="7" s="1"/>
  <c r="AD60" i="8"/>
  <c r="AC11" i="7" s="1"/>
  <c r="Y11" i="7"/>
  <c r="K56" i="8"/>
  <c r="J8" i="7" s="1"/>
  <c r="AK58" i="8"/>
  <c r="AQ67" i="8"/>
  <c r="AP18" i="7" s="1"/>
  <c r="AO90" i="8"/>
  <c r="AJ93" i="8"/>
  <c r="X74" i="8"/>
  <c r="P138" i="9"/>
  <c r="AK85" i="8"/>
  <c r="AH80" i="8"/>
  <c r="AG28" i="7" s="1"/>
  <c r="Q92" i="8"/>
  <c r="P41" i="7" s="1"/>
  <c r="AB62" i="8"/>
  <c r="AA13" i="7" s="1"/>
  <c r="AN52" i="8"/>
  <c r="AM4" i="7" s="1"/>
  <c r="AN54" i="8"/>
  <c r="AM6" i="7" s="1"/>
  <c r="Z93" i="8"/>
  <c r="AV74" i="8"/>
  <c r="J95" i="8"/>
  <c r="AK83" i="8"/>
  <c r="Q86" i="8"/>
  <c r="AO95" i="8"/>
  <c r="K91" i="8"/>
  <c r="Q91" i="8"/>
  <c r="N40" i="7"/>
  <c r="K94" i="8"/>
  <c r="Q94" i="8"/>
  <c r="K95" i="8"/>
  <c r="L95" i="8"/>
  <c r="M95" i="8"/>
  <c r="N95" i="8"/>
  <c r="Y37" i="7"/>
  <c r="AA88" i="8"/>
  <c r="J94" i="8"/>
  <c r="R91" i="8"/>
  <c r="Q40" i="7" s="1"/>
  <c r="AA92" i="8"/>
  <c r="Z41" i="7" s="1"/>
  <c r="AF95" i="8"/>
  <c r="W95" i="8"/>
  <c r="AI82" i="8"/>
  <c r="AH30" i="7" s="1"/>
  <c r="AN95" i="8"/>
  <c r="AE95" i="8"/>
  <c r="AE93" i="8" s="1"/>
  <c r="AD42" i="7" s="1"/>
  <c r="V95" i="8"/>
  <c r="AG53" i="8"/>
  <c r="AF5" i="7" s="1"/>
  <c r="K69" i="8"/>
  <c r="J20" i="7" s="1"/>
  <c r="V92" i="8"/>
  <c r="U41" i="7" s="1"/>
  <c r="N41" i="7"/>
  <c r="AM95" i="8"/>
  <c r="AD95" i="8"/>
  <c r="U95" i="8"/>
  <c r="U90" i="8" s="1"/>
  <c r="K67" i="8"/>
  <c r="J18" i="7" s="1"/>
  <c r="AA85" i="8"/>
  <c r="AK95" i="8"/>
  <c r="AL95" i="8"/>
  <c r="AC95" i="8"/>
  <c r="T95" i="8"/>
  <c r="L67" i="8"/>
  <c r="K18" i="7" s="1"/>
  <c r="K80" i="8"/>
  <c r="J28" i="7" s="1"/>
  <c r="AS95" i="8"/>
  <c r="AA95" i="8"/>
  <c r="AB95" i="8"/>
  <c r="S95" i="8"/>
  <c r="J93" i="8"/>
  <c r="AW67" i="8"/>
  <c r="AV18" i="7" s="1"/>
  <c r="AC16" i="7"/>
  <c r="S67" i="8"/>
  <c r="R18" i="7" s="1"/>
  <c r="R67" i="8"/>
  <c r="Q18" i="7" s="1"/>
  <c r="AL58" i="8"/>
  <c r="L56" i="8"/>
  <c r="K8" i="7" s="1"/>
  <c r="N55" i="8"/>
  <c r="M7" i="7" s="1"/>
  <c r="AE76" i="8"/>
  <c r="AD26" i="7" s="1"/>
  <c r="I12" i="7"/>
  <c r="AS89" i="8"/>
  <c r="AR38" i="7" s="1"/>
  <c r="AS38" i="7"/>
  <c r="K81" i="8"/>
  <c r="AK89" i="8"/>
  <c r="AJ38" i="7" s="1"/>
  <c r="AR95" i="8"/>
  <c r="AI95" i="8"/>
  <c r="Q95" i="8"/>
  <c r="R95" i="8"/>
  <c r="AT90" i="8"/>
  <c r="P67" i="8"/>
  <c r="K55" i="8"/>
  <c r="J7" i="7" s="1"/>
  <c r="Q67" i="8"/>
  <c r="P18" i="7" s="1"/>
  <c r="AM58" i="8"/>
  <c r="T62" i="8"/>
  <c r="S13" i="7" s="1"/>
  <c r="AC65" i="8"/>
  <c r="AW73" i="8"/>
  <c r="AV24" i="7" s="1"/>
  <c r="O138" i="9"/>
  <c r="K82" i="8"/>
  <c r="Q89" i="8"/>
  <c r="P38" i="7" s="1"/>
  <c r="AA89" i="8"/>
  <c r="Z38" i="7" s="1"/>
  <c r="AQ95" i="8"/>
  <c r="AH95" i="8"/>
  <c r="Y95" i="8"/>
  <c r="AS12" i="7"/>
  <c r="N67" i="8"/>
  <c r="M18" i="7" s="1"/>
  <c r="X67" i="8"/>
  <c r="W18" i="7" s="1"/>
  <c r="Y26" i="4" a="1"/>
  <c r="Y26" i="4" s="1"/>
  <c r="AA91" i="8"/>
  <c r="C60" i="4"/>
  <c r="C62" i="4"/>
  <c r="B60" i="4"/>
  <c r="B31" i="4"/>
  <c r="B54" i="1"/>
  <c r="F95" i="1" s="1"/>
  <c r="F5" i="13"/>
  <c r="T57" i="8"/>
  <c r="S9" i="7" s="1"/>
  <c r="U76" i="8"/>
  <c r="T26" i="7" s="1"/>
  <c r="O26" i="4" s="1" a="1"/>
  <c r="O26" i="4" s="1"/>
  <c r="AS21" i="7"/>
  <c r="AW70" i="8"/>
  <c r="AV21" i="7" s="1"/>
  <c r="AP69" i="8"/>
  <c r="AO20" i="7" s="1"/>
  <c r="AT78" i="8"/>
  <c r="AG70" i="8"/>
  <c r="AF21" i="7" s="1"/>
  <c r="AH63" i="8"/>
  <c r="AG14" i="7" s="1"/>
  <c r="AI66" i="8"/>
  <c r="AH17" i="7" s="1"/>
  <c r="AS69" i="8"/>
  <c r="AR20" i="7" s="1"/>
  <c r="AQ69" i="8"/>
  <c r="AP20" i="7" s="1"/>
  <c r="AU67" i="8"/>
  <c r="AT18" i="7" s="1"/>
  <c r="AS66" i="8"/>
  <c r="AR17" i="7" s="1"/>
  <c r="AR69" i="8"/>
  <c r="AQ20" i="7" s="1"/>
  <c r="T91" i="8"/>
  <c r="S40" i="7" s="1"/>
  <c r="AO76" i="8"/>
  <c r="AN26" i="7" s="1"/>
  <c r="AP67" i="8"/>
  <c r="AO18" i="7" s="1"/>
  <c r="BC2" i="7"/>
  <c r="AZ50" i="8"/>
  <c r="AY2" i="7" s="1"/>
  <c r="BC50" i="8"/>
  <c r="BB2" i="7" s="1"/>
  <c r="BB50" i="8"/>
  <c r="BA2" i="7" s="1"/>
  <c r="BA50" i="8"/>
  <c r="AZ2" i="7" s="1"/>
  <c r="M54" i="8"/>
  <c r="L6" i="7" s="1"/>
  <c r="T54" i="8"/>
  <c r="S6" i="7" s="1"/>
  <c r="R54" i="8"/>
  <c r="Q6" i="7" s="1"/>
  <c r="O54" i="8"/>
  <c r="N6" i="7" s="1"/>
  <c r="K54" i="8"/>
  <c r="J6" i="7" s="1"/>
  <c r="P54" i="8"/>
  <c r="O6" i="7" s="1"/>
  <c r="B53" i="7" s="1"/>
  <c r="L54" i="8"/>
  <c r="K6" i="7" s="1"/>
  <c r="BC3" i="7"/>
  <c r="AZ51" i="8"/>
  <c r="AY3" i="7" s="1"/>
  <c r="BA51" i="8"/>
  <c r="AZ3" i="7" s="1"/>
  <c r="BB55" i="8"/>
  <c r="BA7" i="7" s="1"/>
  <c r="BC7" i="7"/>
  <c r="AS23" i="7"/>
  <c r="AS39" i="7"/>
  <c r="AN8" i="7"/>
  <c r="AP56" i="8"/>
  <c r="AO8" i="7" s="1"/>
  <c r="AR56" i="8"/>
  <c r="AQ8" i="7" s="1"/>
  <c r="AB51" i="8"/>
  <c r="AA3" i="7" s="1"/>
  <c r="V51" i="8"/>
  <c r="U3" i="7" s="1"/>
  <c r="W51" i="8"/>
  <c r="V3" i="7" s="1"/>
  <c r="AD53" i="8"/>
  <c r="AC5" i="7" s="1"/>
  <c r="Y5" i="7"/>
  <c r="AC53" i="8"/>
  <c r="AB5" i="7" s="1"/>
  <c r="AC54" i="8"/>
  <c r="AB6" i="7" s="1"/>
  <c r="Y54" i="8"/>
  <c r="X6" i="7" s="1"/>
  <c r="Y6" i="7"/>
  <c r="AD54" i="8"/>
  <c r="AC6" i="7" s="1"/>
  <c r="K52" i="8"/>
  <c r="J4" i="7" s="1"/>
  <c r="AS2" i="7"/>
  <c r="AU50" i="8"/>
  <c r="AT2" i="7" s="1"/>
  <c r="AW50" i="8"/>
  <c r="AV2" i="7" s="1"/>
  <c r="AX50" i="8"/>
  <c r="AW2" i="7" s="1"/>
  <c r="AV50" i="8"/>
  <c r="AU2" i="7" s="1"/>
  <c r="AI8" i="7"/>
  <c r="AL56" i="8"/>
  <c r="AK8" i="7" s="1"/>
  <c r="AM56" i="8"/>
  <c r="AL8" i="7" s="1"/>
  <c r="AK56" i="8"/>
  <c r="AJ8" i="7" s="1"/>
  <c r="AN56" i="8"/>
  <c r="AM8" i="7" s="1"/>
  <c r="AP65" i="8"/>
  <c r="AQ65" i="8"/>
  <c r="AS65" i="8"/>
  <c r="AR65" i="8"/>
  <c r="AF51" i="8"/>
  <c r="AE3" i="7" s="1"/>
  <c r="AA65" i="8"/>
  <c r="AV70" i="8"/>
  <c r="AU21" i="7" s="1"/>
  <c r="W57" i="8"/>
  <c r="V9" i="7" s="1"/>
  <c r="T9" i="7"/>
  <c r="BA71" i="8"/>
  <c r="AZ22" i="7" s="1"/>
  <c r="AM73" i="8"/>
  <c r="AL24" i="7" s="1"/>
  <c r="AE94" i="8"/>
  <c r="AD43" i="7" s="1"/>
  <c r="P70" i="8"/>
  <c r="O21" i="7" s="1"/>
  <c r="V57" i="8"/>
  <c r="U9" i="7" s="1"/>
  <c r="J16" i="8"/>
  <c r="J64" i="8" s="1"/>
  <c r="I15" i="7" s="1"/>
  <c r="W69" i="8"/>
  <c r="V20" i="7" s="1"/>
  <c r="X70" i="8"/>
  <c r="W21" i="7" s="1"/>
  <c r="S70" i="8"/>
  <c r="R21" i="7" s="1"/>
  <c r="Y57" i="8"/>
  <c r="X9" i="7" s="1"/>
  <c r="BB62" i="8"/>
  <c r="BA13" i="7" s="1"/>
  <c r="AN62" i="8"/>
  <c r="AM13" i="7" s="1"/>
  <c r="AR57" i="8"/>
  <c r="AQ9" i="7" s="1"/>
  <c r="X73" i="8"/>
  <c r="W24" i="7" s="1"/>
  <c r="V69" i="8"/>
  <c r="U20" i="7" s="1"/>
  <c r="O70" i="8"/>
  <c r="N21" i="7" s="1"/>
  <c r="X57" i="8"/>
  <c r="W9" i="7" s="1"/>
  <c r="AI70" i="8"/>
  <c r="AH21" i="7" s="1"/>
  <c r="AQ70" i="8"/>
  <c r="AP21" i="7" s="1"/>
  <c r="AO77" i="8"/>
  <c r="AG51" i="8"/>
  <c r="AF3" i="7" s="1"/>
  <c r="AI53" i="8"/>
  <c r="AH5" i="7" s="1"/>
  <c r="AI54" i="8"/>
  <c r="AH6" i="7" s="1"/>
  <c r="Y39" i="7"/>
  <c r="AR62" i="8"/>
  <c r="AQ13" i="7" s="1"/>
  <c r="Y69" i="8"/>
  <c r="X20" i="7" s="1"/>
  <c r="K70" i="8"/>
  <c r="J21" i="7" s="1"/>
  <c r="AS59" i="8"/>
  <c r="AH70" i="8"/>
  <c r="AG21" i="7" s="1"/>
  <c r="P57" i="8"/>
  <c r="O9" i="7" s="1"/>
  <c r="AZ62" i="8"/>
  <c r="AY13" i="7" s="1"/>
  <c r="X66" i="8"/>
  <c r="W17" i="7" s="1"/>
  <c r="X69" i="8"/>
  <c r="W20" i="7" s="1"/>
  <c r="L74" i="8"/>
  <c r="AD70" i="8"/>
  <c r="AC21" i="7" s="1"/>
  <c r="AX73" i="8"/>
  <c r="AW24" i="7" s="1"/>
  <c r="AV57" i="8"/>
  <c r="AU9" i="7" s="1"/>
  <c r="BB57" i="8"/>
  <c r="BA9" i="7" s="1"/>
  <c r="AX20" i="7"/>
  <c r="AW69" i="8"/>
  <c r="AV20" i="7" s="1"/>
  <c r="AX69" i="8"/>
  <c r="AW20" i="7" s="1"/>
  <c r="Y68" i="8"/>
  <c r="X19" i="7" s="1"/>
  <c r="AI12" i="7"/>
  <c r="AN2" i="7"/>
  <c r="AQ50" i="8"/>
  <c r="AP2" i="7" s="1"/>
  <c r="AR50" i="8"/>
  <c r="AQ2" i="7" s="1"/>
  <c r="AP50" i="8"/>
  <c r="AO2" i="7" s="1"/>
  <c r="AS50" i="8"/>
  <c r="AR2" i="7" s="1"/>
  <c r="AD12" i="7"/>
  <c r="AF61" i="8"/>
  <c r="AC83" i="8"/>
  <c r="AB32" i="7" s="1"/>
  <c r="T16" i="7"/>
  <c r="S65" i="8"/>
  <c r="T14" i="7"/>
  <c r="N63" i="8"/>
  <c r="M14" i="7" s="1"/>
  <c r="V63" i="8"/>
  <c r="U14" i="7" s="1"/>
  <c r="Y63" i="8"/>
  <c r="X14" i="7" s="1"/>
  <c r="W63" i="8"/>
  <c r="V14" i="7" s="1"/>
  <c r="K63" i="8"/>
  <c r="J14" i="7" s="1"/>
  <c r="M63" i="8"/>
  <c r="L14" i="7" s="1"/>
  <c r="X63" i="8"/>
  <c r="W14" i="7" s="1"/>
  <c r="Y12" i="7"/>
  <c r="AB61" i="8"/>
  <c r="AC61" i="8"/>
  <c r="AA61" i="8"/>
  <c r="AD61" i="8"/>
  <c r="AS22" i="7"/>
  <c r="AU71" i="8"/>
  <c r="AT22" i="7" s="1"/>
  <c r="AR71" i="8"/>
  <c r="AQ22" i="7" s="1"/>
  <c r="AB83" i="8"/>
  <c r="AA32" i="7" s="1"/>
  <c r="P32" i="7"/>
  <c r="U83" i="8"/>
  <c r="T32" i="7" s="1"/>
  <c r="O10" i="4" s="1" a="1"/>
  <c r="O10" i="4" s="1"/>
  <c r="AI16" i="7"/>
  <c r="AF65" i="8"/>
  <c r="AG65" i="8"/>
  <c r="AI65" i="8"/>
  <c r="AQ68" i="8"/>
  <c r="AP19" i="7" s="1"/>
  <c r="AR68" i="8"/>
  <c r="AQ19" i="7" s="1"/>
  <c r="V60" i="8"/>
  <c r="U11" i="7" s="1"/>
  <c r="W60" i="8"/>
  <c r="V11" i="7" s="1"/>
  <c r="Y60" i="8"/>
  <c r="X11" i="7" s="1"/>
  <c r="BA59" i="8"/>
  <c r="AW59" i="8"/>
  <c r="AL68" i="8"/>
  <c r="AK19" i="7" s="1"/>
  <c r="AG68" i="8"/>
  <c r="AF19" i="7" s="1"/>
  <c r="U86" i="8"/>
  <c r="T35" i="7" s="1"/>
  <c r="M51" i="8"/>
  <c r="L3" i="7" s="1"/>
  <c r="I3" i="7"/>
  <c r="C50" i="7" s="1"/>
  <c r="Q51" i="8"/>
  <c r="P3" i="7" s="1"/>
  <c r="N51" i="8"/>
  <c r="M3" i="7" s="1"/>
  <c r="L51" i="8"/>
  <c r="K3" i="7" s="1"/>
  <c r="P51" i="8"/>
  <c r="O3" i="7" s="1"/>
  <c r="B50" i="7" s="1"/>
  <c r="M72" i="8"/>
  <c r="L23" i="7" s="1"/>
  <c r="N72" i="8"/>
  <c r="M23" i="7" s="1"/>
  <c r="K72" i="8"/>
  <c r="J23" i="7" s="1"/>
  <c r="M32" i="7"/>
  <c r="X68" i="8"/>
  <c r="W19" i="7" s="1"/>
  <c r="AA68" i="8"/>
  <c r="Z19" i="7" s="1"/>
  <c r="AC68" i="8"/>
  <c r="AB19" i="7" s="1"/>
  <c r="AB68" i="8"/>
  <c r="AA19" i="7" s="1"/>
  <c r="AD68" i="8"/>
  <c r="AC19" i="7" s="1"/>
  <c r="V58" i="8"/>
  <c r="M58" i="8"/>
  <c r="AD56" i="8"/>
  <c r="AC8" i="7" s="1"/>
  <c r="AN94" i="8"/>
  <c r="AM43" i="7" s="1"/>
  <c r="W62" i="8"/>
  <c r="V13" i="7" s="1"/>
  <c r="W68" i="8"/>
  <c r="V19" i="7" s="1"/>
  <c r="AL55" i="8"/>
  <c r="AK7" i="7" s="1"/>
  <c r="AH51" i="8"/>
  <c r="AG3" i="7" s="1"/>
  <c r="AH53" i="8"/>
  <c r="AG5" i="7" s="1"/>
  <c r="O52" i="8"/>
  <c r="N4" i="7" s="1"/>
  <c r="AB59" i="8"/>
  <c r="AC75" i="8"/>
  <c r="AP71" i="8"/>
  <c r="AO22" i="7" s="1"/>
  <c r="W83" i="8"/>
  <c r="V32" i="7" s="1"/>
  <c r="R85" i="8"/>
  <c r="Q34" i="7" s="1"/>
  <c r="AL92" i="8"/>
  <c r="AK41" i="7" s="1"/>
  <c r="AB94" i="8"/>
  <c r="AA43" i="7" s="1"/>
  <c r="V62" i="8"/>
  <c r="U13" i="7" s="1"/>
  <c r="AP63" i="8"/>
  <c r="AO14" i="7" s="1"/>
  <c r="W67" i="8"/>
  <c r="V18" i="7" s="1"/>
  <c r="J60" i="8"/>
  <c r="T60" i="8" s="1"/>
  <c r="S11" i="7" s="1"/>
  <c r="AK55" i="8"/>
  <c r="AJ7" i="7" s="1"/>
  <c r="AI51" i="8"/>
  <c r="AH3" i="7" s="1"/>
  <c r="AC70" i="8"/>
  <c r="AB21" i="7" s="1"/>
  <c r="W53" i="8"/>
  <c r="V5" i="7" s="1"/>
  <c r="AH55" i="8"/>
  <c r="AG7" i="7" s="1"/>
  <c r="O59" i="8"/>
  <c r="BC69" i="8"/>
  <c r="BB20" i="7" s="1"/>
  <c r="BC67" i="8"/>
  <c r="BB18" i="7" s="1"/>
  <c r="AD74" i="8"/>
  <c r="Y62" i="8"/>
  <c r="X13" i="7" s="1"/>
  <c r="AS63" i="8"/>
  <c r="AR14" i="7" s="1"/>
  <c r="V67" i="8"/>
  <c r="U18" i="7" s="1"/>
  <c r="AN55" i="8"/>
  <c r="AM7" i="7" s="1"/>
  <c r="AF53" i="8"/>
  <c r="AE5" i="7" s="1"/>
  <c r="T52" i="8"/>
  <c r="S4" i="7" s="1"/>
  <c r="N16" i="8"/>
  <c r="Z64" i="8" s="1"/>
  <c r="Y3" i="7"/>
  <c r="L73" i="8"/>
  <c r="K24" i="7" s="1"/>
  <c r="AB66" i="8"/>
  <c r="AA17" i="7" s="1"/>
  <c r="BC52" i="8"/>
  <c r="BB4" i="7" s="1"/>
  <c r="AZ54" i="8"/>
  <c r="AY6" i="7" s="1"/>
  <c r="X83" i="8"/>
  <c r="W32" i="7" s="1"/>
  <c r="AO89" i="8"/>
  <c r="AN38" i="7" s="1"/>
  <c r="X62" i="8"/>
  <c r="W13" i="7" s="1"/>
  <c r="AQ63" i="8"/>
  <c r="AP14" i="7" s="1"/>
  <c r="Y67" i="8"/>
  <c r="X18" i="7" s="1"/>
  <c r="AH54" i="8"/>
  <c r="AG6" i="7" s="1"/>
  <c r="AA67" i="8"/>
  <c r="Z18" i="7" s="1"/>
  <c r="AB70" i="8"/>
  <c r="AA21" i="7" s="1"/>
  <c r="AU56" i="8"/>
  <c r="AT8" i="7" s="1"/>
  <c r="AG55" i="8"/>
  <c r="AF7" i="7" s="1"/>
  <c r="AR92" i="8"/>
  <c r="AQ41" i="7" s="1"/>
  <c r="S80" i="8"/>
  <c r="R28" i="7" s="1"/>
  <c r="AR63" i="8"/>
  <c r="AQ14" i="7" s="1"/>
  <c r="Y70" i="8"/>
  <c r="X21" i="7" s="1"/>
  <c r="AM55" i="8"/>
  <c r="AL7" i="7" s="1"/>
  <c r="AF52" i="8"/>
  <c r="AE4" i="7" s="1"/>
  <c r="AG54" i="8"/>
  <c r="AF6" i="7" s="1"/>
  <c r="M52" i="8"/>
  <c r="L4" i="7" s="1"/>
  <c r="AA62" i="8"/>
  <c r="Z13" i="7" s="1"/>
  <c r="AU57" i="8"/>
  <c r="AT9" i="7" s="1"/>
  <c r="AC51" i="8"/>
  <c r="AB3" i="7" s="1"/>
  <c r="I4" i="7"/>
  <c r="C51" i="7" s="1"/>
  <c r="AN65" i="8"/>
  <c r="AM62" i="8"/>
  <c r="AL13" i="7" s="1"/>
  <c r="T81" i="8"/>
  <c r="W70" i="8"/>
  <c r="V21" i="7" s="1"/>
  <c r="AI52" i="8"/>
  <c r="AH4" i="7" s="1"/>
  <c r="AF54" i="8"/>
  <c r="AE6" i="7" s="1"/>
  <c r="P52" i="8"/>
  <c r="O4" i="7" s="1"/>
  <c r="B51" i="7" s="1"/>
  <c r="AD62" i="8"/>
  <c r="AC13" i="7" s="1"/>
  <c r="AM51" i="8"/>
  <c r="AL3" i="7" s="1"/>
  <c r="AW57" i="8"/>
  <c r="AL63" i="8"/>
  <c r="AK14" i="7" s="1"/>
  <c r="AT76" i="8"/>
  <c r="AS26" i="7" s="1"/>
  <c r="AD21" i="7"/>
  <c r="S74" i="8"/>
  <c r="W66" i="8"/>
  <c r="V17" i="7" s="1"/>
  <c r="V70" i="8"/>
  <c r="U21" i="7" s="1"/>
  <c r="AC62" i="8"/>
  <c r="AB13" i="7" s="1"/>
  <c r="AA70" i="8"/>
  <c r="Z21" i="7" s="1"/>
  <c r="BC62" i="8"/>
  <c r="BB13" i="7" s="1"/>
  <c r="BC13" i="7"/>
  <c r="AA75" i="8"/>
  <c r="Y17" i="7"/>
  <c r="I8" i="7"/>
  <c r="C55" i="7" s="1"/>
  <c r="J89" i="8"/>
  <c r="M56" i="8"/>
  <c r="L8" i="7" s="1"/>
  <c r="AV53" i="8"/>
  <c r="AU5" i="7" s="1"/>
  <c r="AU53" i="8"/>
  <c r="AT5" i="7" s="1"/>
  <c r="AS5" i="7"/>
  <c r="AX12" i="7"/>
  <c r="AZ61" i="8"/>
  <c r="AY12" i="7" s="1"/>
  <c r="AU61" i="8"/>
  <c r="AT12" i="7" s="1"/>
  <c r="BB61" i="8"/>
  <c r="BA12" i="7" s="1"/>
  <c r="BA61" i="8"/>
  <c r="AZ12" i="7" s="1"/>
  <c r="BC61" i="8"/>
  <c r="BB12" i="7" s="1"/>
  <c r="P60" i="8"/>
  <c r="W65" i="8"/>
  <c r="AR67" i="8"/>
  <c r="AQ18" i="7" s="1"/>
  <c r="O65" i="8"/>
  <c r="S56" i="8"/>
  <c r="R8" i="7" s="1"/>
  <c r="Q56" i="8"/>
  <c r="P8" i="7" s="1"/>
  <c r="BA52" i="8"/>
  <c r="AZ4" i="7" s="1"/>
  <c r="AD67" i="8"/>
  <c r="AF67" i="8"/>
  <c r="AE18" i="7" s="1"/>
  <c r="P62" i="8"/>
  <c r="O13" i="7" s="1"/>
  <c r="AA52" i="8"/>
  <c r="Z4" i="7" s="1"/>
  <c r="W52" i="8"/>
  <c r="V4" i="7" s="1"/>
  <c r="Y4" i="7"/>
  <c r="AD52" i="8"/>
  <c r="AC4" i="7" s="1"/>
  <c r="AR59" i="8"/>
  <c r="AO78" i="8"/>
  <c r="AQ59" i="8"/>
  <c r="AP59" i="8"/>
  <c r="AR58" i="8"/>
  <c r="AD8" i="7"/>
  <c r="AG56" i="8"/>
  <c r="AF8" i="7" s="1"/>
  <c r="AH56" i="8"/>
  <c r="AG8" i="7" s="1"/>
  <c r="AI56" i="8"/>
  <c r="AH8" i="7" s="1"/>
  <c r="AU69" i="8"/>
  <c r="AT20" i="7" s="1"/>
  <c r="AV69" i="8"/>
  <c r="AU20" i="7" s="1"/>
  <c r="AC60" i="8"/>
  <c r="AB11" i="7" s="1"/>
  <c r="AA60" i="8"/>
  <c r="Z11" i="7" s="1"/>
  <c r="AD11" i="7"/>
  <c r="AU75" i="8"/>
  <c r="AW75" i="8"/>
  <c r="AW78" i="8" s="1"/>
  <c r="AS17" i="7"/>
  <c r="AV66" i="8"/>
  <c r="AU17" i="7" s="1"/>
  <c r="AR66" i="8"/>
  <c r="AQ17" i="7" s="1"/>
  <c r="AW66" i="8"/>
  <c r="AV17" i="7" s="1"/>
  <c r="V89" i="8"/>
  <c r="U38" i="7" s="1"/>
  <c r="AG89" i="8"/>
  <c r="AF38" i="7" s="1"/>
  <c r="W89" i="8"/>
  <c r="V38" i="7" s="1"/>
  <c r="AZ80" i="8"/>
  <c r="AY28" i="7" s="1"/>
  <c r="BB80" i="8"/>
  <c r="BA28" i="7" s="1"/>
  <c r="AM79" i="8"/>
  <c r="AL31" i="7" s="1"/>
  <c r="AN79" i="8"/>
  <c r="AM31" i="7" s="1"/>
  <c r="AH79" i="4" s="1" a="1"/>
  <c r="AO79" i="8"/>
  <c r="AN31" i="7" s="1"/>
  <c r="AI79" i="4" s="1" a="1"/>
  <c r="AP79" i="8"/>
  <c r="AO31" i="7" s="1"/>
  <c r="AJ79" i="4" s="1" a="1"/>
  <c r="AQ79" i="8"/>
  <c r="AP31" i="7" s="1"/>
  <c r="AK79" i="4" s="1" a="1"/>
  <c r="AR79" i="8"/>
  <c r="AQ31" i="7" s="1"/>
  <c r="AL79" i="4" s="1" a="1"/>
  <c r="AS79" i="8"/>
  <c r="AR31" i="7" s="1"/>
  <c r="AM79" i="4" s="1" a="1"/>
  <c r="AL70" i="8"/>
  <c r="AK21" i="7" s="1"/>
  <c r="AN21" i="7"/>
  <c r="AN70" i="8"/>
  <c r="AM21" i="7" s="1"/>
  <c r="AB79" i="8"/>
  <c r="AA31" i="7" s="1"/>
  <c r="V79" i="4" s="1" a="1"/>
  <c r="AA79" i="8"/>
  <c r="Z31" i="7" s="1"/>
  <c r="U79" i="4" s="1" a="1"/>
  <c r="AC79" i="8"/>
  <c r="AB31" i="7" s="1"/>
  <c r="W79" i="4" s="1" a="1"/>
  <c r="AD79" i="8"/>
  <c r="AC31" i="7" s="1"/>
  <c r="X79" i="4" s="1" a="1"/>
  <c r="AE79" i="8"/>
  <c r="AD31" i="7" s="1"/>
  <c r="Y79" i="4" s="1" a="1"/>
  <c r="AF79" i="8"/>
  <c r="AE31" i="7" s="1"/>
  <c r="Z79" i="4" s="1" a="1"/>
  <c r="AG79" i="8"/>
  <c r="AF31" i="7" s="1"/>
  <c r="AA79" i="4" s="1" a="1"/>
  <c r="AH79" i="8"/>
  <c r="AG31" i="7" s="1"/>
  <c r="AB79" i="4" s="1" a="1"/>
  <c r="V65" i="8"/>
  <c r="AP70" i="8"/>
  <c r="AO21" i="7" s="1"/>
  <c r="N65" i="8"/>
  <c r="M16" i="7" s="1"/>
  <c r="N18" i="7"/>
  <c r="P56" i="8"/>
  <c r="BF56" i="8" s="1"/>
  <c r="BB51" i="8"/>
  <c r="BA3" i="7" s="1"/>
  <c r="AZ52" i="8"/>
  <c r="AY4" i="7" s="1"/>
  <c r="BC53" i="8"/>
  <c r="BB5" i="7" s="1"/>
  <c r="X59" i="8"/>
  <c r="AU55" i="8"/>
  <c r="AT7" i="7" s="1"/>
  <c r="AV55" i="8"/>
  <c r="AU7" i="7" s="1"/>
  <c r="AX55" i="8"/>
  <c r="AW7" i="7" s="1"/>
  <c r="AZ55" i="8"/>
  <c r="AY7" i="7" s="1"/>
  <c r="AJ78" i="8"/>
  <c r="AF59" i="8"/>
  <c r="AN69" i="8"/>
  <c r="AM20" i="7" s="1"/>
  <c r="AK69" i="8"/>
  <c r="AJ20" i="7" s="1"/>
  <c r="AN20" i="7"/>
  <c r="AL69" i="8"/>
  <c r="AK20" i="7" s="1"/>
  <c r="AP75" i="8"/>
  <c r="AQ75" i="8"/>
  <c r="AR83" i="8"/>
  <c r="AQ32" i="7" s="1"/>
  <c r="AS32" i="7"/>
  <c r="AS43" i="7"/>
  <c r="AR94" i="8"/>
  <c r="AQ43" i="7" s="1"/>
  <c r="AV80" i="8"/>
  <c r="AU28" i="7" s="1"/>
  <c r="Y65" i="8"/>
  <c r="AS70" i="8"/>
  <c r="AR21" i="7" s="1"/>
  <c r="K65" i="8"/>
  <c r="J16" i="7" s="1"/>
  <c r="R56" i="8"/>
  <c r="Q8" i="7" s="1"/>
  <c r="T56" i="8"/>
  <c r="S8" i="7" s="1"/>
  <c r="BC51" i="8"/>
  <c r="BB3" i="7" s="1"/>
  <c r="BA53" i="8"/>
  <c r="AZ5" i="7" s="1"/>
  <c r="AK70" i="8"/>
  <c r="AJ21" i="7" s="1"/>
  <c r="AX51" i="8"/>
  <c r="AW3" i="7" s="1"/>
  <c r="AS3" i="7"/>
  <c r="AW51" i="8"/>
  <c r="AV3" i="7" s="1"/>
  <c r="AU51" i="8"/>
  <c r="AT3" i="7" s="1"/>
  <c r="AH58" i="8"/>
  <c r="AB58" i="8"/>
  <c r="AF58" i="8"/>
  <c r="AD58" i="8"/>
  <c r="AE77" i="8"/>
  <c r="AI58" i="8"/>
  <c r="T19" i="7"/>
  <c r="P68" i="8"/>
  <c r="M68" i="8"/>
  <c r="L19" i="7" s="1"/>
  <c r="AH67" i="8"/>
  <c r="AG18" i="7" s="1"/>
  <c r="AG67" i="8"/>
  <c r="AF18" i="7" s="1"/>
  <c r="AI67" i="8"/>
  <c r="AH18" i="7" s="1"/>
  <c r="BC11" i="7"/>
  <c r="AZ60" i="8"/>
  <c r="AY11" i="7" s="1"/>
  <c r="AN75" i="8"/>
  <c r="AN78" i="8" s="1"/>
  <c r="AK75" i="8"/>
  <c r="AK78" i="8" s="1"/>
  <c r="AI75" i="8"/>
  <c r="AL75" i="8"/>
  <c r="AL78" i="8" s="1"/>
  <c r="AM83" i="8"/>
  <c r="AL32" i="7" s="1"/>
  <c r="S88" i="8"/>
  <c r="R37" i="7" s="1"/>
  <c r="T88" i="8"/>
  <c r="S37" i="7" s="1"/>
  <c r="X88" i="8"/>
  <c r="W37" i="7" s="1"/>
  <c r="Y88" i="8"/>
  <c r="X37" i="7" s="1"/>
  <c r="AN80" i="8"/>
  <c r="AM28" i="7" s="1"/>
  <c r="AP80" i="8"/>
  <c r="AO28" i="7" s="1"/>
  <c r="AR80" i="8"/>
  <c r="AQ28" i="7" s="1"/>
  <c r="AV65" i="8"/>
  <c r="AU16" i="7" s="1"/>
  <c r="AZ65" i="8"/>
  <c r="AY16" i="7" s="1"/>
  <c r="AW65" i="8"/>
  <c r="AV16" i="7" s="1"/>
  <c r="AU65" i="8"/>
  <c r="AT16" i="7" s="1"/>
  <c r="AX65" i="8"/>
  <c r="AW16" i="7" s="1"/>
  <c r="X65" i="8"/>
  <c r="V68" i="8"/>
  <c r="U19" i="7" s="1"/>
  <c r="AR70" i="8"/>
  <c r="AQ21" i="7" s="1"/>
  <c r="Q65" i="8"/>
  <c r="O56" i="8"/>
  <c r="N8" i="7" s="1"/>
  <c r="AH52" i="8"/>
  <c r="AG4" i="7" s="1"/>
  <c r="BB53" i="8"/>
  <c r="BA5" i="7" s="1"/>
  <c r="BA54" i="8"/>
  <c r="AZ6" i="7" s="1"/>
  <c r="AX61" i="8"/>
  <c r="AW12" i="7" s="1"/>
  <c r="BB69" i="8"/>
  <c r="BA20" i="7" s="1"/>
  <c r="Y53" i="8"/>
  <c r="X5" i="7" s="1"/>
  <c r="O68" i="8"/>
  <c r="N19" i="7" s="1"/>
  <c r="P16" i="8"/>
  <c r="AJ64" i="8" s="1"/>
  <c r="AI15" i="7" s="1"/>
  <c r="P53" i="8"/>
  <c r="BF53" i="8" s="1"/>
  <c r="AP57" i="8"/>
  <c r="AO9" i="7" s="1"/>
  <c r="AQ57" i="8"/>
  <c r="AP9" i="7" s="1"/>
  <c r="AS57" i="8"/>
  <c r="AR9" i="7" s="1"/>
  <c r="AN9" i="7"/>
  <c r="AX21" i="7"/>
  <c r="AU70" i="8"/>
  <c r="AT21" i="7" s="1"/>
  <c r="AX70" i="8"/>
  <c r="AW21" i="7" s="1"/>
  <c r="AH69" i="8"/>
  <c r="AG20" i="7" s="1"/>
  <c r="AD20" i="7"/>
  <c r="AG69" i="8"/>
  <c r="AF20" i="7" s="1"/>
  <c r="AA69" i="8"/>
  <c r="Z20" i="7" s="1"/>
  <c r="AI69" i="8"/>
  <c r="AH20" i="7" s="1"/>
  <c r="AB69" i="8"/>
  <c r="AA20" i="7" s="1"/>
  <c r="AC69" i="8"/>
  <c r="AB20" i="7" s="1"/>
  <c r="AD69" i="8"/>
  <c r="AC20" i="7" s="1"/>
  <c r="AI19" i="7"/>
  <c r="AI68" i="8"/>
  <c r="AH19" i="7" s="1"/>
  <c r="AF68" i="8"/>
  <c r="AE19" i="7" s="1"/>
  <c r="AK68" i="8"/>
  <c r="AJ19" i="7" s="1"/>
  <c r="AB67" i="8"/>
  <c r="AA18" i="7" s="1"/>
  <c r="Y18" i="7"/>
  <c r="AC67" i="8"/>
  <c r="AB18" i="7" s="1"/>
  <c r="BC60" i="8"/>
  <c r="BB11" i="7" s="1"/>
  <c r="AG92" i="8"/>
  <c r="AF41" i="7" s="1"/>
  <c r="AK92" i="8"/>
  <c r="AJ41" i="7" s="1"/>
  <c r="AD92" i="8"/>
  <c r="AC41" i="7" s="1"/>
  <c r="AI92" i="8"/>
  <c r="AH41" i="7" s="1"/>
  <c r="AE92" i="8"/>
  <c r="AD41" i="7" s="1"/>
  <c r="AM92" i="8"/>
  <c r="AL41" i="7" s="1"/>
  <c r="AP81" i="8"/>
  <c r="AK81" i="8"/>
  <c r="AM81" i="8"/>
  <c r="AL29" i="7" s="1"/>
  <c r="X79" i="8"/>
  <c r="W31" i="7" s="1"/>
  <c r="R79" i="4" s="1" a="1"/>
  <c r="BB52" i="8"/>
  <c r="BA4" i="7" s="1"/>
  <c r="AX4" i="7"/>
  <c r="J43" i="7"/>
  <c r="P43" i="7"/>
  <c r="S94" i="8"/>
  <c r="R43" i="7" s="1"/>
  <c r="P65" i="8"/>
  <c r="M65" i="8"/>
  <c r="L16" i="7" s="1"/>
  <c r="AG52" i="8"/>
  <c r="AF4" i="7" s="1"/>
  <c r="AW61" i="8"/>
  <c r="AV12" i="7" s="1"/>
  <c r="BB60" i="8"/>
  <c r="BA11" i="7" s="1"/>
  <c r="U78" i="8"/>
  <c r="R59" i="8"/>
  <c r="Y59" i="8"/>
  <c r="T59" i="8"/>
  <c r="L59" i="8"/>
  <c r="W59" i="8"/>
  <c r="Q59" i="8"/>
  <c r="S59" i="8"/>
  <c r="M59" i="8"/>
  <c r="P59" i="8"/>
  <c r="BF59" i="8" s="1"/>
  <c r="N59" i="8"/>
  <c r="U77" i="8"/>
  <c r="X58" i="8"/>
  <c r="X77" i="8" s="1"/>
  <c r="Y58" i="8"/>
  <c r="W58" i="8"/>
  <c r="AI9" i="7"/>
  <c r="AJ76" i="8"/>
  <c r="AI26" i="7" s="1"/>
  <c r="AD26" i="4" s="1" a="1"/>
  <c r="AD26" i="4" s="1"/>
  <c r="T8" i="7"/>
  <c r="X56" i="8"/>
  <c r="W8" i="7" s="1"/>
  <c r="W56" i="8"/>
  <c r="V8" i="7" s="1"/>
  <c r="AN63" i="8"/>
  <c r="AM14" i="7" s="1"/>
  <c r="AM63" i="8"/>
  <c r="AL14" i="7" s="1"/>
  <c r="AQ74" i="8"/>
  <c r="AP74" i="8"/>
  <c r="AI79" i="8"/>
  <c r="AH31" i="7" s="1"/>
  <c r="AC79" i="4" s="1" a="1"/>
  <c r="BF51" i="8"/>
  <c r="AN67" i="8"/>
  <c r="AM18" i="7" s="1"/>
  <c r="AK67" i="8"/>
  <c r="AJ18" i="7" s="1"/>
  <c r="AM67" i="8"/>
  <c r="AL18" i="7" s="1"/>
  <c r="X75" i="8"/>
  <c r="W75" i="8"/>
  <c r="V75" i="8"/>
  <c r="R65" i="8"/>
  <c r="K57" i="8"/>
  <c r="J9" i="7" s="1"/>
  <c r="M57" i="8"/>
  <c r="L9" i="7" s="1"/>
  <c r="BB54" i="8"/>
  <c r="BA6" i="7" s="1"/>
  <c r="AX6" i="7"/>
  <c r="AW54" i="8"/>
  <c r="AV6" i="7" s="1"/>
  <c r="AS67" i="8"/>
  <c r="AR18" i="7" s="1"/>
  <c r="L65" i="8"/>
  <c r="K16" i="7" s="1"/>
  <c r="T65" i="8"/>
  <c r="N56" i="8"/>
  <c r="M8" i="7" s="1"/>
  <c r="AZ53" i="8"/>
  <c r="AY5" i="7" s="1"/>
  <c r="BC54" i="8"/>
  <c r="BB6" i="7" s="1"/>
  <c r="AV61" i="8"/>
  <c r="AU12" i="7" s="1"/>
  <c r="Y55" i="8"/>
  <c r="X7" i="7" s="1"/>
  <c r="AA55" i="8"/>
  <c r="Z7" i="7" s="1"/>
  <c r="W55" i="8"/>
  <c r="V7" i="7" s="1"/>
  <c r="AD55" i="8"/>
  <c r="AC7" i="7" s="1"/>
  <c r="V55" i="8"/>
  <c r="U7" i="7" s="1"/>
  <c r="AI57" i="8"/>
  <c r="AH9" i="7" s="1"/>
  <c r="I18" i="7"/>
  <c r="M62" i="8"/>
  <c r="L13" i="7" s="1"/>
  <c r="O62" i="8"/>
  <c r="N13" i="7" s="1"/>
  <c r="Q62" i="8"/>
  <c r="P13" i="7" s="1"/>
  <c r="S62" i="8"/>
  <c r="R13" i="7" s="1"/>
  <c r="L62" i="8"/>
  <c r="K13" i="7" s="1"/>
  <c r="N62" i="8"/>
  <c r="M13" i="7" s="1"/>
  <c r="AF71" i="8"/>
  <c r="AE22" i="7" s="1"/>
  <c r="AG71" i="8"/>
  <c r="AF22" i="7" s="1"/>
  <c r="AH71" i="8"/>
  <c r="AG22" i="7" s="1"/>
  <c r="Q75" i="8"/>
  <c r="J78" i="8"/>
  <c r="I7" i="7"/>
  <c r="S55" i="8"/>
  <c r="R7" i="7" s="1"/>
  <c r="M55" i="8"/>
  <c r="L7" i="7" s="1"/>
  <c r="R55" i="8"/>
  <c r="Q7" i="7" s="1"/>
  <c r="T55" i="8"/>
  <c r="S7" i="7" s="1"/>
  <c r="L55" i="8"/>
  <c r="K7" i="7" s="1"/>
  <c r="O55" i="8"/>
  <c r="N7" i="7" s="1"/>
  <c r="Q55" i="8"/>
  <c r="P7" i="7" s="1"/>
  <c r="AS51" i="8"/>
  <c r="AR3" i="7" s="1"/>
  <c r="AR51" i="8"/>
  <c r="AQ3" i="7" s="1"/>
  <c r="AL51" i="8"/>
  <c r="AK3" i="7" s="1"/>
  <c r="AP52" i="8"/>
  <c r="AO4" i="7" s="1"/>
  <c r="AK52" i="8"/>
  <c r="AJ4" i="7" s="1"/>
  <c r="AR53" i="8"/>
  <c r="AQ5" i="7" s="1"/>
  <c r="AK53" i="8"/>
  <c r="AJ5" i="7" s="1"/>
  <c r="AL53" i="8"/>
  <c r="AK5" i="7" s="1"/>
  <c r="AQ53" i="8"/>
  <c r="AP5" i="7" s="1"/>
  <c r="AL54" i="8"/>
  <c r="AK6" i="7" s="1"/>
  <c r="AR54" i="8"/>
  <c r="AQ6" i="7" s="1"/>
  <c r="AP54" i="8"/>
  <c r="AO6" i="7" s="1"/>
  <c r="AR55" i="8"/>
  <c r="AQ7" i="7" s="1"/>
  <c r="AP55" i="8"/>
  <c r="AO7" i="7" s="1"/>
  <c r="AN7" i="7"/>
  <c r="AH72" i="8"/>
  <c r="AG23" i="7" s="1"/>
  <c r="AG72" i="8"/>
  <c r="AF23" i="7" s="1"/>
  <c r="AI37" i="7"/>
  <c r="AQ88" i="8"/>
  <c r="AP37" i="7" s="1"/>
  <c r="AB88" i="8"/>
  <c r="AA37" i="7" s="1"/>
  <c r="AC88" i="8"/>
  <c r="AB37" i="7" s="1"/>
  <c r="AD88" i="8"/>
  <c r="AC37" i="7" s="1"/>
  <c r="T80" i="8"/>
  <c r="S28" i="7" s="1"/>
  <c r="M80" i="8"/>
  <c r="L28" i="7" s="1"/>
  <c r="Q80" i="8"/>
  <c r="P28" i="7" s="1"/>
  <c r="P80" i="8"/>
  <c r="O28" i="7" s="1"/>
  <c r="R80" i="8"/>
  <c r="Q28" i="7" s="1"/>
  <c r="Y79" i="8"/>
  <c r="X31" i="7" s="1"/>
  <c r="R79" i="8"/>
  <c r="Q31" i="7" s="1"/>
  <c r="L79" i="4" s="1" a="1"/>
  <c r="S79" i="8"/>
  <c r="R31" i="7" s="1"/>
  <c r="M79" i="4" s="1" a="1"/>
  <c r="Q79" i="8"/>
  <c r="P31" i="7" s="1"/>
  <c r="K79" i="4" s="1" a="1"/>
  <c r="T79" i="8"/>
  <c r="S31" i="7" s="1"/>
  <c r="N79" i="4" s="1" a="1"/>
  <c r="U79" i="8"/>
  <c r="T31" i="7" s="1"/>
  <c r="O79" i="4" s="1" a="1"/>
  <c r="V79" i="8"/>
  <c r="U31" i="7" s="1"/>
  <c r="W79" i="8"/>
  <c r="V31" i="7" s="1"/>
  <c r="Q79" i="4" s="1" a="1"/>
  <c r="AK79" i="8"/>
  <c r="AJ31" i="7" s="1"/>
  <c r="AE79" i="4" s="1" a="1"/>
  <c r="O63" i="8"/>
  <c r="N14" i="7" s="1"/>
  <c r="Q63" i="8"/>
  <c r="P14" i="7" s="1"/>
  <c r="BA60" i="8"/>
  <c r="AZ11" i="7" s="1"/>
  <c r="AG62" i="8"/>
  <c r="AF13" i="7" s="1"/>
  <c r="L69" i="8"/>
  <c r="K20" i="7" s="1"/>
  <c r="AV56" i="8"/>
  <c r="AU8" i="7" s="1"/>
  <c r="AV59" i="8"/>
  <c r="AX11" i="7"/>
  <c r="T73" i="8"/>
  <c r="S24" i="7" s="1"/>
  <c r="AX22" i="7"/>
  <c r="Y24" i="7"/>
  <c r="L72" i="8"/>
  <c r="K23" i="7" s="1"/>
  <c r="T72" i="8"/>
  <c r="S23" i="7" s="1"/>
  <c r="AL83" i="8"/>
  <c r="AK32" i="7" s="1"/>
  <c r="W85" i="8"/>
  <c r="V34" i="7" s="1"/>
  <c r="BD77" i="8"/>
  <c r="P34" i="7"/>
  <c r="S63" i="8"/>
  <c r="R14" i="7" s="1"/>
  <c r="T63" i="8"/>
  <c r="S14" i="7" s="1"/>
  <c r="AH62" i="8"/>
  <c r="AG13" i="7" s="1"/>
  <c r="P69" i="8"/>
  <c r="O20" i="7" s="1"/>
  <c r="AA54" i="8"/>
  <c r="Z6" i="7" s="1"/>
  <c r="AH68" i="8"/>
  <c r="AG19" i="7" s="1"/>
  <c r="Y36" i="7"/>
  <c r="AL71" i="8"/>
  <c r="AK22" i="7" s="1"/>
  <c r="AX71" i="8"/>
  <c r="AW22" i="7" s="1"/>
  <c r="M74" i="8"/>
  <c r="AH66" i="8"/>
  <c r="AG17" i="7" s="1"/>
  <c r="N34" i="7"/>
  <c r="T69" i="8"/>
  <c r="S20" i="7" s="1"/>
  <c r="AV71" i="8"/>
  <c r="AU22" i="7" s="1"/>
  <c r="R74" i="8"/>
  <c r="AO83" i="8"/>
  <c r="AN32" i="7" s="1"/>
  <c r="AS86" i="8"/>
  <c r="AR35" i="7" s="1"/>
  <c r="AM94" i="8"/>
  <c r="AL43" i="7" s="1"/>
  <c r="L63" i="8"/>
  <c r="K14" i="7" s="1"/>
  <c r="AI61" i="8"/>
  <c r="AF62" i="8"/>
  <c r="AE13" i="7" s="1"/>
  <c r="AA56" i="8"/>
  <c r="Z8" i="7" s="1"/>
  <c r="BD76" i="8"/>
  <c r="BC26" i="7" s="1"/>
  <c r="AX26" i="4" s="1" a="1"/>
  <c r="AX26" i="4" s="1"/>
  <c r="AV52" i="8"/>
  <c r="AU4" i="7" s="1"/>
  <c r="Z76" i="8"/>
  <c r="Y26" i="7" s="1"/>
  <c r="Y19" i="7"/>
  <c r="AF75" i="8"/>
  <c r="AU74" i="8"/>
  <c r="AE83" i="8"/>
  <c r="AD32" i="7" s="1"/>
  <c r="AN86" i="8"/>
  <c r="AM35" i="7" s="1"/>
  <c r="P63" i="8"/>
  <c r="O14" i="7" s="1"/>
  <c r="AG61" i="8"/>
  <c r="AD59" i="8"/>
  <c r="AL62" i="8"/>
  <c r="AK13" i="7" s="1"/>
  <c r="AM68" i="8"/>
  <c r="AL19" i="7" s="1"/>
  <c r="K74" i="8"/>
  <c r="AQ66" i="8"/>
  <c r="AP17" i="7" s="1"/>
  <c r="AI32" i="7"/>
  <c r="AD10" i="4" s="1" a="1"/>
  <c r="AD10" i="4" s="1"/>
  <c r="AJ32" i="7"/>
  <c r="AD83" i="8"/>
  <c r="AC32" i="7" s="1"/>
  <c r="AI35" i="7"/>
  <c r="AR86" i="8"/>
  <c r="AQ35" i="7" s="1"/>
  <c r="R63" i="8"/>
  <c r="Q14" i="7" s="1"/>
  <c r="AH61" i="8"/>
  <c r="AI62" i="8"/>
  <c r="AH13" i="7" s="1"/>
  <c r="AB53" i="8"/>
  <c r="AA5" i="7" s="1"/>
  <c r="AM71" i="8"/>
  <c r="AL22" i="7" s="1"/>
  <c r="O74" i="8"/>
  <c r="N74" i="8"/>
  <c r="AQ83" i="8"/>
  <c r="AP32" i="7" s="1"/>
  <c r="AP86" i="8"/>
  <c r="AO35" i="7" s="1"/>
  <c r="M94" i="8"/>
  <c r="L43" i="7" s="1"/>
  <c r="A55" i="7"/>
  <c r="AS13" i="7"/>
  <c r="AX62" i="8"/>
  <c r="AW13" i="7" s="1"/>
  <c r="AV62" i="8"/>
  <c r="AU13" i="7" s="1"/>
  <c r="AQ62" i="8"/>
  <c r="AP13" i="7" s="1"/>
  <c r="AW62" i="8"/>
  <c r="AV13" i="7" s="1"/>
  <c r="AU62" i="8"/>
  <c r="AT13" i="7" s="1"/>
  <c r="AZ75" i="8"/>
  <c r="BB75" i="8"/>
  <c r="BD78" i="8"/>
  <c r="M53" i="8"/>
  <c r="L5" i="7" s="1"/>
  <c r="N53" i="8"/>
  <c r="M5" i="7" s="1"/>
  <c r="Q53" i="8"/>
  <c r="P5" i="7" s="1"/>
  <c r="O53" i="8"/>
  <c r="N5" i="7" s="1"/>
  <c r="R53" i="8"/>
  <c r="Q5" i="7" s="1"/>
  <c r="T53" i="8"/>
  <c r="S5" i="7" s="1"/>
  <c r="S53" i="8"/>
  <c r="R5" i="7" s="1"/>
  <c r="K53" i="8"/>
  <c r="J5" i="7" s="1"/>
  <c r="L53" i="8"/>
  <c r="K5" i="7" s="1"/>
  <c r="I5" i="7"/>
  <c r="C52" i="7" s="1"/>
  <c r="AX58" i="8"/>
  <c r="AV58" i="8"/>
  <c r="AV77" i="8" s="1"/>
  <c r="AW58" i="8"/>
  <c r="AT77" i="8"/>
  <c r="AU58" i="8"/>
  <c r="AU77" i="8" s="1"/>
  <c r="AQ58" i="8"/>
  <c r="AP58" i="8"/>
  <c r="AS58" i="8"/>
  <c r="BC8" i="7"/>
  <c r="BA56" i="8"/>
  <c r="AZ8" i="7" s="1"/>
  <c r="BB56" i="8"/>
  <c r="BA8" i="7" s="1"/>
  <c r="AO61" i="8"/>
  <c r="Q16" i="8"/>
  <c r="AO64" i="8" s="1"/>
  <c r="AI36" i="7"/>
  <c r="AK60" i="8"/>
  <c r="AI60" i="8"/>
  <c r="AI11" i="7"/>
  <c r="AL60" i="8"/>
  <c r="AF60" i="8"/>
  <c r="AH60" i="8"/>
  <c r="AG60" i="8"/>
  <c r="AN60" i="8"/>
  <c r="AM60" i="8"/>
  <c r="AE50" i="8"/>
  <c r="Y2" i="8"/>
  <c r="Y3" i="8" s="1"/>
  <c r="AN74" i="8"/>
  <c r="AN77" i="8" s="1"/>
  <c r="AM74" i="8"/>
  <c r="AM77" i="8" s="1"/>
  <c r="AL74" i="8"/>
  <c r="AL77" i="8" s="1"/>
  <c r="AK74" i="8"/>
  <c r="AK77" i="8" s="1"/>
  <c r="AJ77" i="8"/>
  <c r="AI74" i="8"/>
  <c r="BF67" i="8"/>
  <c r="O18" i="7"/>
  <c r="AD14" i="7"/>
  <c r="AF63" i="8"/>
  <c r="AE14" i="7" s="1"/>
  <c r="AD63" i="8"/>
  <c r="AC14" i="7" s="1"/>
  <c r="AG63" i="8"/>
  <c r="AF14" i="7" s="1"/>
  <c r="AB63" i="8"/>
  <c r="AA14" i="7" s="1"/>
  <c r="AA63" i="8"/>
  <c r="Z14" i="7" s="1"/>
  <c r="AI63" i="8"/>
  <c r="AH14" i="7" s="1"/>
  <c r="AC63" i="8"/>
  <c r="AB14" i="7" s="1"/>
  <c r="AT60" i="8"/>
  <c r="R16" i="8"/>
  <c r="AT64" i="8" s="1"/>
  <c r="T11" i="7"/>
  <c r="X60" i="8"/>
  <c r="AS62" i="8"/>
  <c r="AR13" i="7" s="1"/>
  <c r="AU52" i="8"/>
  <c r="AT4" i="7" s="1"/>
  <c r="AS4" i="7"/>
  <c r="AW52" i="8"/>
  <c r="AV4" i="7" s="1"/>
  <c r="AX52" i="8"/>
  <c r="AW4" i="7" s="1"/>
  <c r="AQ52" i="8"/>
  <c r="AP4" i="7" s="1"/>
  <c r="K58" i="8"/>
  <c r="Q58" i="8"/>
  <c r="N58" i="8"/>
  <c r="J77" i="8"/>
  <c r="S58" i="8"/>
  <c r="S77" i="8" s="1"/>
  <c r="L58" i="8"/>
  <c r="P58" i="8"/>
  <c r="O58" i="8"/>
  <c r="T58" i="8"/>
  <c r="R58" i="8"/>
  <c r="BC21" i="7"/>
  <c r="BA70" i="8"/>
  <c r="AZ21" i="7" s="1"/>
  <c r="BB70" i="8"/>
  <c r="BA21" i="7" s="1"/>
  <c r="AZ70" i="8"/>
  <c r="AY21" i="7" s="1"/>
  <c r="BC70" i="8"/>
  <c r="BB21" i="7" s="1"/>
  <c r="AS19" i="7"/>
  <c r="AU68" i="8"/>
  <c r="AT19" i="7" s="1"/>
  <c r="AV68" i="8"/>
  <c r="AU19" i="7" s="1"/>
  <c r="AS68" i="8"/>
  <c r="AR19" i="7" s="1"/>
  <c r="AW68" i="8"/>
  <c r="AV19" i="7" s="1"/>
  <c r="AP68" i="8"/>
  <c r="AO19" i="7" s="1"/>
  <c r="AX68" i="8"/>
  <c r="AW19" i="7" s="1"/>
  <c r="AP62" i="8"/>
  <c r="AO13" i="7" s="1"/>
  <c r="AU54" i="8"/>
  <c r="AT6" i="7" s="1"/>
  <c r="AS6" i="7"/>
  <c r="AV54" i="8"/>
  <c r="AU6" i="7" s="1"/>
  <c r="AX54" i="8"/>
  <c r="AW6" i="7" s="1"/>
  <c r="I33" i="7"/>
  <c r="BC73" i="8"/>
  <c r="BB24" i="7" s="1"/>
  <c r="AF73" i="8"/>
  <c r="AE24" i="7" s="1"/>
  <c r="AG73" i="8"/>
  <c r="AF24" i="7" s="1"/>
  <c r="AB73" i="8"/>
  <c r="AA24" i="7" s="1"/>
  <c r="AI73" i="8"/>
  <c r="AC73" i="8"/>
  <c r="AB24" i="7" s="1"/>
  <c r="AD73" i="8"/>
  <c r="AC24" i="7" s="1"/>
  <c r="AD24" i="7"/>
  <c r="AH73" i="8"/>
  <c r="AG24" i="7" s="1"/>
  <c r="AJ50" i="8"/>
  <c r="Z2" i="8"/>
  <c r="Z3" i="8" s="1"/>
  <c r="AN6" i="7"/>
  <c r="AS54" i="8"/>
  <c r="AR6" i="7" s="1"/>
  <c r="AY77" i="8"/>
  <c r="BC58" i="8"/>
  <c r="AZ58" i="8"/>
  <c r="BB58" i="8"/>
  <c r="BA58" i="8"/>
  <c r="BC16" i="7"/>
  <c r="BC65" i="8"/>
  <c r="BB16" i="7" s="1"/>
  <c r="Y16" i="7"/>
  <c r="AB65" i="8"/>
  <c r="I17" i="7"/>
  <c r="R66" i="8"/>
  <c r="Q17" i="7" s="1"/>
  <c r="S66" i="8"/>
  <c r="R17" i="7" s="1"/>
  <c r="O66" i="8"/>
  <c r="N17" i="7" s="1"/>
  <c r="K66" i="8"/>
  <c r="J17" i="7" s="1"/>
  <c r="P66" i="8"/>
  <c r="O17" i="7" s="1"/>
  <c r="N66" i="8"/>
  <c r="M17" i="7" s="1"/>
  <c r="Q66" i="8"/>
  <c r="P17" i="7" s="1"/>
  <c r="T66" i="8"/>
  <c r="S17" i="7" s="1"/>
  <c r="L66" i="8"/>
  <c r="K17" i="7" s="1"/>
  <c r="M66" i="8"/>
  <c r="L17" i="7" s="1"/>
  <c r="AI3" i="7"/>
  <c r="AK51" i="8"/>
  <c r="AJ3" i="7" s="1"/>
  <c r="AN51" i="8"/>
  <c r="AM3" i="7" s="1"/>
  <c r="AI4" i="7"/>
  <c r="AL52" i="8"/>
  <c r="AK4" i="7" s="1"/>
  <c r="AM52" i="8"/>
  <c r="AL4" i="7" s="1"/>
  <c r="AI5" i="7"/>
  <c r="AM53" i="8"/>
  <c r="AL5" i="7" s="1"/>
  <c r="AN53" i="8"/>
  <c r="AM5" i="7" s="1"/>
  <c r="AI6" i="7"/>
  <c r="AK54" i="8"/>
  <c r="AJ6" i="7" s="1"/>
  <c r="AM54" i="8"/>
  <c r="AL6" i="7" s="1"/>
  <c r="AD72" i="8"/>
  <c r="AA72" i="8"/>
  <c r="Z23" i="7" s="1"/>
  <c r="AB72" i="8"/>
  <c r="AA23" i="7" s="1"/>
  <c r="X72" i="8"/>
  <c r="Y23" i="7"/>
  <c r="AC72" i="8"/>
  <c r="Y72" i="8"/>
  <c r="W72" i="8"/>
  <c r="V72" i="8"/>
  <c r="U23" i="7" s="1"/>
  <c r="Y15" i="7"/>
  <c r="AG59" i="8"/>
  <c r="AH59" i="8"/>
  <c r="AI59" i="8"/>
  <c r="AE78" i="8"/>
  <c r="I19" i="7"/>
  <c r="S68" i="8"/>
  <c r="R19" i="7" s="1"/>
  <c r="L68" i="8"/>
  <c r="K19" i="7" s="1"/>
  <c r="K68" i="8"/>
  <c r="J19" i="7" s="1"/>
  <c r="T68" i="8"/>
  <c r="S19" i="7" s="1"/>
  <c r="Q68" i="8"/>
  <c r="P19" i="7" s="1"/>
  <c r="N68" i="8"/>
  <c r="M19" i="7" s="1"/>
  <c r="R68" i="8"/>
  <c r="Q19" i="7" s="1"/>
  <c r="BC18" i="7"/>
  <c r="AZ67" i="8"/>
  <c r="AY18" i="7" s="1"/>
  <c r="AQ54" i="8"/>
  <c r="AP6" i="7" s="1"/>
  <c r="AA2" i="8"/>
  <c r="AA3" i="8" s="1"/>
  <c r="AC2" i="8"/>
  <c r="AC3" i="8" s="1"/>
  <c r="J50" i="8"/>
  <c r="AD2" i="8"/>
  <c r="AD3" i="8" s="1"/>
  <c r="X2" i="8"/>
  <c r="X3" i="8" s="1"/>
  <c r="U50" i="8"/>
  <c r="W2" i="8"/>
  <c r="W3" i="8" s="1"/>
  <c r="BC55" i="8"/>
  <c r="BB7" i="7" s="1"/>
  <c r="AX7" i="7"/>
  <c r="BA55" i="8"/>
  <c r="AZ7" i="7" s="1"/>
  <c r="BC59" i="8"/>
  <c r="AZ59" i="8"/>
  <c r="AY78" i="8"/>
  <c r="BB59" i="8"/>
  <c r="AU59" i="8"/>
  <c r="AC56" i="8"/>
  <c r="AB8" i="7" s="1"/>
  <c r="AB56" i="8"/>
  <c r="AA8" i="7" s="1"/>
  <c r="V56" i="8"/>
  <c r="U8" i="7" s="1"/>
  <c r="Y8" i="7"/>
  <c r="Y56" i="8"/>
  <c r="X8" i="7" s="1"/>
  <c r="T20" i="7"/>
  <c r="O69" i="8"/>
  <c r="N20" i="7" s="1"/>
  <c r="Q69" i="8"/>
  <c r="P20" i="7" s="1"/>
  <c r="R69" i="8"/>
  <c r="Q20" i="7" s="1"/>
  <c r="AN16" i="7"/>
  <c r="AL65" i="8"/>
  <c r="BF68" i="8"/>
  <c r="O19" i="7"/>
  <c r="AG57" i="8"/>
  <c r="AD9" i="7"/>
  <c r="AB57" i="8"/>
  <c r="AF57" i="8"/>
  <c r="AC57" i="8"/>
  <c r="AH57" i="8"/>
  <c r="AD57" i="8"/>
  <c r="AS8" i="7"/>
  <c r="AW56" i="8"/>
  <c r="AV8" i="7" s="1"/>
  <c r="AX56" i="8"/>
  <c r="AW8" i="7" s="1"/>
  <c r="AQ56" i="8"/>
  <c r="AP8" i="7" s="1"/>
  <c r="AS56" i="8"/>
  <c r="AR8" i="7" s="1"/>
  <c r="T21" i="7"/>
  <c r="N70" i="8"/>
  <c r="M21" i="7" s="1"/>
  <c r="L70" i="8"/>
  <c r="K21" i="7" s="1"/>
  <c r="M70" i="8"/>
  <c r="L21" i="7" s="1"/>
  <c r="R70" i="8"/>
  <c r="Q21" i="7" s="1"/>
  <c r="AS18" i="7"/>
  <c r="AV67" i="8"/>
  <c r="AU18" i="7" s="1"/>
  <c r="AX67" i="8"/>
  <c r="AW18" i="7" s="1"/>
  <c r="I39" i="7"/>
  <c r="I16" i="7"/>
  <c r="BC20" i="7"/>
  <c r="BA69" i="8"/>
  <c r="AZ20" i="7" s="1"/>
  <c r="AZ69" i="8"/>
  <c r="AY20" i="7" s="1"/>
  <c r="T3" i="7"/>
  <c r="X51" i="8"/>
  <c r="W3" i="7" s="1"/>
  <c r="T51" i="8"/>
  <c r="S3" i="7" s="1"/>
  <c r="K51" i="8"/>
  <c r="J3" i="7" s="1"/>
  <c r="S51" i="8"/>
  <c r="R3" i="7" s="1"/>
  <c r="Y51" i="8"/>
  <c r="X3" i="7" s="1"/>
  <c r="R51" i="8"/>
  <c r="Q3" i="7" s="1"/>
  <c r="O51" i="8"/>
  <c r="T4" i="7"/>
  <c r="V52" i="8"/>
  <c r="U4" i="7" s="1"/>
  <c r="Y52" i="8"/>
  <c r="X4" i="7" s="1"/>
  <c r="Q52" i="8"/>
  <c r="P4" i="7" s="1"/>
  <c r="R52" i="8"/>
  <c r="Q4" i="7" s="1"/>
  <c r="X52" i="8"/>
  <c r="W4" i="7" s="1"/>
  <c r="S52" i="8"/>
  <c r="R4" i="7" s="1"/>
  <c r="L52" i="8"/>
  <c r="K4" i="7" s="1"/>
  <c r="N52" i="8"/>
  <c r="M4" i="7" s="1"/>
  <c r="AN4" i="7"/>
  <c r="AS52" i="8"/>
  <c r="AR4" i="7" s="1"/>
  <c r="AS7" i="7"/>
  <c r="AW55" i="8"/>
  <c r="AV7" i="7" s="1"/>
  <c r="R57" i="8"/>
  <c r="L57" i="8"/>
  <c r="I9" i="7"/>
  <c r="Q57" i="8"/>
  <c r="AC59" i="8"/>
  <c r="AC78" i="8" s="1"/>
  <c r="AA59" i="8"/>
  <c r="AA78" i="8" s="1"/>
  <c r="Z78" i="8"/>
  <c r="BB68" i="8"/>
  <c r="BA19" i="7" s="1"/>
  <c r="AX19" i="7"/>
  <c r="AZ68" i="8"/>
  <c r="AY19" i="7" s="1"/>
  <c r="AX18" i="7"/>
  <c r="BA67" i="8"/>
  <c r="AZ18" i="7" s="1"/>
  <c r="AX16" i="7"/>
  <c r="BB65" i="8"/>
  <c r="BA16" i="7" s="1"/>
  <c r="AY63" i="8"/>
  <c r="S16" i="8"/>
  <c r="AY64" i="8" s="1"/>
  <c r="AB71" i="8"/>
  <c r="AA22" i="7" s="1"/>
  <c r="Y22" i="7"/>
  <c r="AC71" i="8"/>
  <c r="AB22" i="7" s="1"/>
  <c r="AA71" i="8"/>
  <c r="Z22" i="7" s="1"/>
  <c r="AD71" i="8"/>
  <c r="AC22" i="7" s="1"/>
  <c r="BA75" i="8"/>
  <c r="AS55" i="8"/>
  <c r="AR7" i="7" s="1"/>
  <c r="BF55" i="8"/>
  <c r="BA62" i="8"/>
  <c r="AZ13" i="7" s="1"/>
  <c r="BA65" i="8"/>
  <c r="AZ16" i="7" s="1"/>
  <c r="BC68" i="8"/>
  <c r="BB19" i="7" s="1"/>
  <c r="AG58" i="8"/>
  <c r="AB54" i="8"/>
  <c r="AA6" i="7" s="1"/>
  <c r="I6" i="7"/>
  <c r="C53" i="7" s="1"/>
  <c r="S54" i="8"/>
  <c r="R6" i="7" s="1"/>
  <c r="Q54" i="8"/>
  <c r="P6" i="7" s="1"/>
  <c r="N54" i="8"/>
  <c r="M6" i="7" s="1"/>
  <c r="T5" i="7"/>
  <c r="V53" i="8"/>
  <c r="U5" i="7" s="1"/>
  <c r="AX59" i="8"/>
  <c r="AZ56" i="8"/>
  <c r="AY8" i="7" s="1"/>
  <c r="I13" i="7"/>
  <c r="R62" i="8"/>
  <c r="Q13" i="7" s="1"/>
  <c r="K62" i="8"/>
  <c r="J13" i="7" s="1"/>
  <c r="AI21" i="7"/>
  <c r="AM70" i="8"/>
  <c r="AL21" i="7" s="1"/>
  <c r="AI20" i="7"/>
  <c r="AM69" i="8"/>
  <c r="AL20" i="7" s="1"/>
  <c r="U61" i="8"/>
  <c r="M16" i="8"/>
  <c r="U64" i="8" s="1"/>
  <c r="P73" i="8"/>
  <c r="M73" i="8"/>
  <c r="O73" i="8"/>
  <c r="N24" i="7" s="1"/>
  <c r="Q73" i="8"/>
  <c r="P24" i="7" s="1"/>
  <c r="R73" i="8"/>
  <c r="Q24" i="7" s="1"/>
  <c r="I24" i="7"/>
  <c r="K73" i="8"/>
  <c r="AD51" i="8"/>
  <c r="AC3" i="7" s="1"/>
  <c r="AV51" i="8"/>
  <c r="AU3" i="7" s="1"/>
  <c r="BC57" i="8"/>
  <c r="AX9" i="7"/>
  <c r="AY76" i="8"/>
  <c r="AX26" i="7" s="1"/>
  <c r="AS26" i="4" s="1" a="1"/>
  <c r="AS26" i="4" s="1"/>
  <c r="AZ57" i="8"/>
  <c r="I20" i="7"/>
  <c r="M69" i="8"/>
  <c r="L20" i="7" s="1"/>
  <c r="N69" i="8"/>
  <c r="M20" i="7" s="1"/>
  <c r="S69" i="8"/>
  <c r="R20" i="7" s="1"/>
  <c r="AN19" i="7"/>
  <c r="AN68" i="8"/>
  <c r="AM19" i="7" s="1"/>
  <c r="AN18" i="7"/>
  <c r="AL67" i="8"/>
  <c r="AK18" i="7" s="1"/>
  <c r="AZ73" i="8"/>
  <c r="AY24" i="7" s="1"/>
  <c r="AX24" i="7"/>
  <c r="BA73" i="8"/>
  <c r="AZ24" i="7" s="1"/>
  <c r="BB73" i="8"/>
  <c r="V73" i="8"/>
  <c r="Y73" i="8"/>
  <c r="W73" i="8"/>
  <c r="AH74" i="8"/>
  <c r="X53" i="8"/>
  <c r="W5" i="7" s="1"/>
  <c r="S57" i="8"/>
  <c r="AA51" i="8"/>
  <c r="Z3" i="7" s="1"/>
  <c r="AX53" i="8"/>
  <c r="AW5" i="7" s="1"/>
  <c r="AN5" i="7"/>
  <c r="AS53" i="8"/>
  <c r="AR5" i="7" s="1"/>
  <c r="AN3" i="7"/>
  <c r="AP51" i="8"/>
  <c r="AO3" i="7" s="1"/>
  <c r="AF55" i="8"/>
  <c r="AE7" i="7" s="1"/>
  <c r="AA57" i="8"/>
  <c r="Y9" i="7"/>
  <c r="AK65" i="8"/>
  <c r="AI39" i="7"/>
  <c r="AM65" i="8"/>
  <c r="V71" i="8"/>
  <c r="U22" i="7" s="1"/>
  <c r="AU73" i="8"/>
  <c r="AV73" i="8"/>
  <c r="AS24" i="7"/>
  <c r="T71" i="8"/>
  <c r="S22" i="7" s="1"/>
  <c r="O71" i="8"/>
  <c r="N22" i="7" s="1"/>
  <c r="P71" i="8"/>
  <c r="O22" i="7" s="1"/>
  <c r="Q71" i="8"/>
  <c r="P22" i="7" s="1"/>
  <c r="I22" i="7"/>
  <c r="L71" i="8"/>
  <c r="K22" i="7" s="1"/>
  <c r="K71" i="8"/>
  <c r="J22" i="7" s="1"/>
  <c r="N71" i="8"/>
  <c r="M22" i="7" s="1"/>
  <c r="R71" i="8"/>
  <c r="Q22" i="7" s="1"/>
  <c r="T22" i="7"/>
  <c r="W71" i="8"/>
  <c r="V22" i="7" s="1"/>
  <c r="X71" i="8"/>
  <c r="W22" i="7" s="1"/>
  <c r="Y71" i="8"/>
  <c r="X22" i="7" s="1"/>
  <c r="V59" i="8"/>
  <c r="V78" i="8" s="1"/>
  <c r="AQ55" i="8"/>
  <c r="AP7" i="7" s="1"/>
  <c r="BB67" i="8"/>
  <c r="BA18" i="7" s="1"/>
  <c r="AB55" i="8"/>
  <c r="AA7" i="7" s="1"/>
  <c r="AQ51" i="8"/>
  <c r="AP3" i="7" s="1"/>
  <c r="AP53" i="8"/>
  <c r="AO5" i="7" s="1"/>
  <c r="X54" i="8"/>
  <c r="W6" i="7" s="1"/>
  <c r="O57" i="8"/>
  <c r="AI55" i="8"/>
  <c r="AH7" i="7" s="1"/>
  <c r="AC52" i="8"/>
  <c r="AB4" i="7" s="1"/>
  <c r="AW53" i="8"/>
  <c r="AV5" i="7" s="1"/>
  <c r="T16" i="8"/>
  <c r="BD64" i="8" s="1"/>
  <c r="BC15" i="7" s="1"/>
  <c r="AB2" i="8"/>
  <c r="AB3" i="8" s="1"/>
  <c r="T6" i="7"/>
  <c r="V54" i="8"/>
  <c r="U6" i="7" s="1"/>
  <c r="Y7" i="7"/>
  <c r="AC55" i="8"/>
  <c r="AB7" i="7" s="1"/>
  <c r="AS9" i="7"/>
  <c r="AX57" i="8"/>
  <c r="T70" i="8"/>
  <c r="S21" i="7" s="1"/>
  <c r="AI13" i="7"/>
  <c r="AK62" i="8"/>
  <c r="AJ13" i="7" s="1"/>
  <c r="AR73" i="8"/>
  <c r="AQ73" i="8"/>
  <c r="AN24" i="7"/>
  <c r="AS73" i="8"/>
  <c r="AP73" i="8"/>
  <c r="O75" i="8"/>
  <c r="K75" i="8"/>
  <c r="K78" i="8" s="1"/>
  <c r="N75" i="8"/>
  <c r="N78" i="8" s="1"/>
  <c r="R75" i="8"/>
  <c r="S75" i="8"/>
  <c r="S78" i="8" s="1"/>
  <c r="L75" i="8"/>
  <c r="P75" i="8"/>
  <c r="P78" i="8" s="1"/>
  <c r="T75" i="8"/>
  <c r="M75" i="8"/>
  <c r="BC71" i="8"/>
  <c r="BB22" i="7" s="1"/>
  <c r="BC22" i="7"/>
  <c r="BB71" i="8"/>
  <c r="BA22" i="7" s="1"/>
  <c r="BA68" i="8"/>
  <c r="AZ19" i="7" s="1"/>
  <c r="AR52" i="8"/>
  <c r="AQ4" i="7" s="1"/>
  <c r="BF54" i="8"/>
  <c r="BA57" i="8"/>
  <c r="N57" i="8"/>
  <c r="AB52" i="8"/>
  <c r="AA4" i="7" s="1"/>
  <c r="AA53" i="8"/>
  <c r="Z5" i="7" s="1"/>
  <c r="AC58" i="8"/>
  <c r="AA58" i="8"/>
  <c r="AD16" i="7"/>
  <c r="AH65" i="8"/>
  <c r="AI14" i="7"/>
  <c r="AK63" i="8"/>
  <c r="AJ14" i="7" s="1"/>
  <c r="S73" i="8"/>
  <c r="R24" i="7" s="1"/>
  <c r="M71" i="8"/>
  <c r="L22" i="7" s="1"/>
  <c r="AI24" i="7"/>
  <c r="AN73" i="8"/>
  <c r="AK73" i="8"/>
  <c r="AL73" i="8"/>
  <c r="BC74" i="8"/>
  <c r="AX74" i="8"/>
  <c r="BA74" i="8"/>
  <c r="BB74" i="8"/>
  <c r="AZ74" i="8"/>
  <c r="AM85" i="8"/>
  <c r="AL34" i="7" s="1"/>
  <c r="AG85" i="8"/>
  <c r="AO85" i="8"/>
  <c r="AN34" i="7" s="1"/>
  <c r="AR85" i="8"/>
  <c r="AQ34" i="7" s="1"/>
  <c r="AQ85" i="8"/>
  <c r="AP34" i="7" s="1"/>
  <c r="AF85" i="8"/>
  <c r="AS85" i="8"/>
  <c r="AR34" i="7" s="1"/>
  <c r="AL85" i="8"/>
  <c r="AK34" i="7" s="1"/>
  <c r="AI85" i="8"/>
  <c r="AP85" i="8"/>
  <c r="AO34" i="7" s="1"/>
  <c r="AB85" i="8"/>
  <c r="AJ34" i="7"/>
  <c r="AI34" i="7"/>
  <c r="AE85" i="8"/>
  <c r="AH85" i="8"/>
  <c r="AN85" i="8"/>
  <c r="AM34" i="7" s="1"/>
  <c r="AR72" i="8"/>
  <c r="AQ23" i="7" s="1"/>
  <c r="AS72" i="8"/>
  <c r="AP72" i="8"/>
  <c r="AO23" i="7" s="1"/>
  <c r="AF56" i="8"/>
  <c r="AE8" i="7" s="1"/>
  <c r="L32" i="7"/>
  <c r="AN22" i="7"/>
  <c r="AS71" i="8"/>
  <c r="AR22" i="7" s="1"/>
  <c r="BC75" i="8"/>
  <c r="AB75" i="8"/>
  <c r="AB78" i="8" s="1"/>
  <c r="AS75" i="8"/>
  <c r="AS78" i="8" s="1"/>
  <c r="AS74" i="8"/>
  <c r="AR75" i="8"/>
  <c r="AR78" i="8" s="1"/>
  <c r="BC66" i="8"/>
  <c r="BB17" i="7" s="1"/>
  <c r="AL66" i="8"/>
  <c r="AK17" i="7" s="1"/>
  <c r="AX17" i="7"/>
  <c r="BA66" i="8"/>
  <c r="AZ17" i="7" s="1"/>
  <c r="AU66" i="8"/>
  <c r="AT17" i="7" s="1"/>
  <c r="AC74" i="8"/>
  <c r="AN72" i="8"/>
  <c r="J32" i="7"/>
  <c r="O16" i="8"/>
  <c r="AE64" i="8" s="1"/>
  <c r="AB64" i="8" s="1"/>
  <c r="AA15" i="7" s="1"/>
  <c r="AV75" i="8"/>
  <c r="AG75" i="8"/>
  <c r="AD75" i="8"/>
  <c r="V74" i="8"/>
  <c r="AQ72" i="8"/>
  <c r="AZ66" i="8"/>
  <c r="AY17" i="7" s="1"/>
  <c r="AG66" i="8"/>
  <c r="AF17" i="7" s="1"/>
  <c r="AA66" i="8"/>
  <c r="Z17" i="7" s="1"/>
  <c r="AD66" i="8"/>
  <c r="AC17" i="7" s="1"/>
  <c r="I23" i="7"/>
  <c r="O72" i="8"/>
  <c r="P72" i="8"/>
  <c r="S72" i="8"/>
  <c r="R72" i="8"/>
  <c r="Q72" i="8"/>
  <c r="P23" i="7" s="1"/>
  <c r="O34" i="7"/>
  <c r="AK71" i="8"/>
  <c r="AJ22" i="7" s="1"/>
  <c r="AW71" i="8"/>
  <c r="AV22" i="7" s="1"/>
  <c r="AD22" i="7"/>
  <c r="AA73" i="8"/>
  <c r="Z24" i="7" s="1"/>
  <c r="Q74" i="8"/>
  <c r="AF74" i="8"/>
  <c r="AF77" i="8" s="1"/>
  <c r="AH75" i="8"/>
  <c r="AR74" i="8"/>
  <c r="AR77" i="8" s="1"/>
  <c r="AX75" i="8"/>
  <c r="AK66" i="8"/>
  <c r="AJ17" i="7" s="1"/>
  <c r="AD17" i="7"/>
  <c r="AF66" i="8"/>
  <c r="AE17" i="7" s="1"/>
  <c r="AI23" i="7"/>
  <c r="AL72" i="8"/>
  <c r="AK23" i="7" s="1"/>
  <c r="AM72" i="8"/>
  <c r="AL23" i="7" s="1"/>
  <c r="AK72" i="8"/>
  <c r="AJ23" i="7" s="1"/>
  <c r="AF86" i="8"/>
  <c r="AE35" i="7" s="1"/>
  <c r="AG86" i="8"/>
  <c r="AF35" i="7" s="1"/>
  <c r="AI86" i="8"/>
  <c r="AH35" i="7" s="1"/>
  <c r="AD86" i="8"/>
  <c r="AC35" i="7" s="1"/>
  <c r="AB86" i="8"/>
  <c r="AA35" i="7" s="1"/>
  <c r="AH86" i="8"/>
  <c r="AG35" i="7" s="1"/>
  <c r="AE86" i="8"/>
  <c r="AD35" i="7" s="1"/>
  <c r="AC86" i="8"/>
  <c r="AB35" i="7" s="1"/>
  <c r="Z35" i="7"/>
  <c r="T86" i="8"/>
  <c r="S35" i="7" s="1"/>
  <c r="AB74" i="8"/>
  <c r="AB77" i="8" s="1"/>
  <c r="AG74" i="8"/>
  <c r="W74" i="8"/>
  <c r="AA74" i="8"/>
  <c r="BB66" i="8"/>
  <c r="BA17" i="7" s="1"/>
  <c r="AN71" i="8"/>
  <c r="AM22" i="7" s="1"/>
  <c r="AQ71" i="8"/>
  <c r="AP22" i="7" s="1"/>
  <c r="AI71" i="8"/>
  <c r="AH22" i="7" s="1"/>
  <c r="AZ71" i="8"/>
  <c r="AY22" i="7" s="1"/>
  <c r="AW74" i="8"/>
  <c r="AM75" i="8"/>
  <c r="AM78" i="8" s="1"/>
  <c r="Y74" i="8"/>
  <c r="Y75" i="8"/>
  <c r="Y78" i="8" s="1"/>
  <c r="P74" i="8"/>
  <c r="T74" i="8"/>
  <c r="AM66" i="8"/>
  <c r="AL17" i="7" s="1"/>
  <c r="AC66" i="8"/>
  <c r="AB17" i="7" s="1"/>
  <c r="AN66" i="8"/>
  <c r="AM17" i="7" s="1"/>
  <c r="AP66" i="8"/>
  <c r="AO17" i="7" s="1"/>
  <c r="AN17" i="7"/>
  <c r="AI72" i="8"/>
  <c r="AD23" i="7"/>
  <c r="AF72" i="8"/>
  <c r="Y35" i="7"/>
  <c r="P35" i="7"/>
  <c r="AD80" i="8"/>
  <c r="AC28" i="7" s="1"/>
  <c r="AB80" i="8"/>
  <c r="AA28" i="7" s="1"/>
  <c r="V80" i="8"/>
  <c r="U28" i="7" s="1"/>
  <c r="AC80" i="8"/>
  <c r="AB28" i="7" s="1"/>
  <c r="AA80" i="8"/>
  <c r="Z28" i="7" s="1"/>
  <c r="W86" i="8"/>
  <c r="V35" i="7" s="1"/>
  <c r="Y86" i="8"/>
  <c r="X35" i="7" s="1"/>
  <c r="S86" i="8"/>
  <c r="R35" i="7" s="1"/>
  <c r="R86" i="8"/>
  <c r="Q35" i="7" s="1"/>
  <c r="V86" i="8"/>
  <c r="U35" i="7" s="1"/>
  <c r="X86" i="8"/>
  <c r="W35" i="7" s="1"/>
  <c r="N35" i="7"/>
  <c r="V83" i="8"/>
  <c r="U32" i="7" s="1"/>
  <c r="Y83" i="8"/>
  <c r="X32" i="7" s="1"/>
  <c r="S10" i="4" s="1" a="1"/>
  <c r="S10" i="4" s="1"/>
  <c r="R83" i="8"/>
  <c r="Q32" i="7" s="1"/>
  <c r="N32" i="7"/>
  <c r="T83" i="8"/>
  <c r="S32" i="7" s="1"/>
  <c r="AF83" i="8"/>
  <c r="AE32" i="7" s="1"/>
  <c r="AH83" i="8"/>
  <c r="AG32" i="7" s="1"/>
  <c r="AB10" i="4" s="1" a="1"/>
  <c r="AB10" i="4" s="1"/>
  <c r="AI83" i="8"/>
  <c r="AH32" i="7" s="1"/>
  <c r="Y32" i="7"/>
  <c r="T10" i="4" s="1" a="1"/>
  <c r="T10" i="4" s="1"/>
  <c r="AG83" i="8"/>
  <c r="AF32" i="7" s="1"/>
  <c r="X85" i="8"/>
  <c r="W34" i="7" s="1"/>
  <c r="U85" i="8"/>
  <c r="T34" i="7" s="1"/>
  <c r="V85" i="8"/>
  <c r="U34" i="7" s="1"/>
  <c r="Y85" i="8"/>
  <c r="X34" i="7" s="1"/>
  <c r="S85" i="8"/>
  <c r="R34" i="7" s="1"/>
  <c r="M8" i="4" s="1" a="1"/>
  <c r="M8" i="4" s="1"/>
  <c r="AP91" i="8"/>
  <c r="AO40" i="7" s="1"/>
  <c r="AQ91" i="8"/>
  <c r="AP40" i="7" s="1"/>
  <c r="AS91" i="8"/>
  <c r="AR40" i="7" s="1"/>
  <c r="AL91" i="8"/>
  <c r="AK40" i="7" s="1"/>
  <c r="AI40" i="7"/>
  <c r="AM91" i="8"/>
  <c r="AL40" i="7" s="1"/>
  <c r="AK91" i="8"/>
  <c r="AJ40" i="7" s="1"/>
  <c r="AO91" i="8"/>
  <c r="AN40" i="7" s="1"/>
  <c r="AN91" i="8"/>
  <c r="AM40" i="7" s="1"/>
  <c r="AR91" i="8"/>
  <c r="AQ40" i="7" s="1"/>
  <c r="AF81" i="8"/>
  <c r="AF93" i="8" s="1"/>
  <c r="AG81" i="8"/>
  <c r="AG93" i="8" s="1"/>
  <c r="AI81" i="8"/>
  <c r="AH81" i="8"/>
  <c r="AD29" i="7"/>
  <c r="S29" i="7"/>
  <c r="AM88" i="8"/>
  <c r="AL37" i="7" s="1"/>
  <c r="AE88" i="8"/>
  <c r="AD37" i="7" s="1"/>
  <c r="AO88" i="8"/>
  <c r="AR88" i="8"/>
  <c r="AQ37" i="7" s="1"/>
  <c r="AG88" i="8"/>
  <c r="AF37" i="7" s="1"/>
  <c r="AP88" i="8"/>
  <c r="AO37" i="7" s="1"/>
  <c r="AK88" i="8"/>
  <c r="AJ37" i="7" s="1"/>
  <c r="AI88" i="8"/>
  <c r="AH37" i="7" s="1"/>
  <c r="AN88" i="8"/>
  <c r="AM37" i="7" s="1"/>
  <c r="AS88" i="8"/>
  <c r="AR37" i="7" s="1"/>
  <c r="AF88" i="8"/>
  <c r="AE37" i="7" s="1"/>
  <c r="AL88" i="8"/>
  <c r="AK37" i="7" s="1"/>
  <c r="AH88" i="8"/>
  <c r="AG37" i="7" s="1"/>
  <c r="Y80" i="8"/>
  <c r="X28" i="7" s="1"/>
  <c r="Y66" i="8"/>
  <c r="X17" i="7" s="1"/>
  <c r="V66" i="8"/>
  <c r="U17" i="7" s="1"/>
  <c r="AX66" i="8"/>
  <c r="AW17" i="7" s="1"/>
  <c r="S83" i="8"/>
  <c r="R32" i="7" s="1"/>
  <c r="M10" i="4" s="1" a="1"/>
  <c r="M10" i="4" s="1"/>
  <c r="Z32" i="7"/>
  <c r="T85" i="8"/>
  <c r="S34" i="7" s="1"/>
  <c r="AS29" i="7"/>
  <c r="AS42" i="7"/>
  <c r="AU81" i="8"/>
  <c r="AT29" i="7" s="1"/>
  <c r="AV81" i="8"/>
  <c r="AU29" i="7" s="1"/>
  <c r="AW81" i="8"/>
  <c r="AV29" i="7" s="1"/>
  <c r="AX81" i="8"/>
  <c r="AW29" i="7" s="1"/>
  <c r="AI91" i="8"/>
  <c r="AH40" i="7" s="1"/>
  <c r="Z40" i="7"/>
  <c r="AH91" i="8"/>
  <c r="AG40" i="7" s="1"/>
  <c r="AE91" i="8"/>
  <c r="AD40" i="7" s="1"/>
  <c r="AC91" i="8"/>
  <c r="AB40" i="7" s="1"/>
  <c r="AB91" i="8"/>
  <c r="AA40" i="7" s="1"/>
  <c r="AG91" i="8"/>
  <c r="AS80" i="8"/>
  <c r="AR28" i="7" s="1"/>
  <c r="AQ80" i="8"/>
  <c r="AP28" i="7" s="1"/>
  <c r="M81" i="8"/>
  <c r="I42" i="7"/>
  <c r="N81" i="8"/>
  <c r="I29" i="7"/>
  <c r="O81" i="8"/>
  <c r="O93" i="8" s="1"/>
  <c r="Q81" i="8"/>
  <c r="Q93" i="8" s="1"/>
  <c r="AN81" i="8"/>
  <c r="AN93" i="8" s="1"/>
  <c r="AI29" i="7"/>
  <c r="AL81" i="8"/>
  <c r="AN83" i="8"/>
  <c r="AM32" i="7" s="1"/>
  <c r="AS83" i="8"/>
  <c r="AR32" i="7" s="1"/>
  <c r="AM10" i="4" s="1" a="1"/>
  <c r="AM10" i="4" s="1"/>
  <c r="AC85" i="8"/>
  <c r="N94" i="8"/>
  <c r="M43" i="7" s="1"/>
  <c r="AX80" i="8"/>
  <c r="AW28" i="7" s="1"/>
  <c r="AR10" i="4" s="1" a="1"/>
  <c r="AR10" i="4" s="1"/>
  <c r="AD94" i="8"/>
  <c r="AC43" i="7" s="1"/>
  <c r="AN82" i="8"/>
  <c r="AM30" i="7" s="1"/>
  <c r="AH8" i="4" s="1" a="1"/>
  <c r="AH8" i="4" s="1"/>
  <c r="AC82" i="8"/>
  <c r="AB30" i="7" s="1"/>
  <c r="AH92" i="8"/>
  <c r="AG41" i="7" s="1"/>
  <c r="AB92" i="8"/>
  <c r="AA41" i="7" s="1"/>
  <c r="AF92" i="8"/>
  <c r="AE41" i="7" s="1"/>
  <c r="AC92" i="8"/>
  <c r="AB41" i="7" s="1"/>
  <c r="AF91" i="8"/>
  <c r="AE40" i="7" s="1"/>
  <c r="AS94" i="8"/>
  <c r="AR43" i="7" s="1"/>
  <c r="AP94" i="8"/>
  <c r="AO43" i="7" s="1"/>
  <c r="AI43" i="7"/>
  <c r="AK94" i="8"/>
  <c r="AJ43" i="7" s="1"/>
  <c r="AQ94" i="8"/>
  <c r="AP43" i="7" s="1"/>
  <c r="AO94" i="8"/>
  <c r="AN43" i="7" s="1"/>
  <c r="AK80" i="8"/>
  <c r="AJ28" i="7" s="1"/>
  <c r="AL80" i="8"/>
  <c r="AK28" i="7" s="1"/>
  <c r="AF10" i="4" s="1" a="1"/>
  <c r="AF10" i="4" s="1"/>
  <c r="AM80" i="8"/>
  <c r="AL28" i="7" s="1"/>
  <c r="O37" i="7"/>
  <c r="R92" i="8"/>
  <c r="Q41" i="7" s="1"/>
  <c r="S92" i="8"/>
  <c r="R41" i="7" s="1"/>
  <c r="T92" i="8"/>
  <c r="S41" i="7" s="1"/>
  <c r="Y92" i="8"/>
  <c r="X41" i="7" s="1"/>
  <c r="X92" i="8"/>
  <c r="W41" i="7" s="1"/>
  <c r="U92" i="8"/>
  <c r="T41" i="7" s="1"/>
  <c r="Z43" i="7"/>
  <c r="AH94" i="8"/>
  <c r="AG43" i="7" s="1"/>
  <c r="AI94" i="8"/>
  <c r="AH43" i="7" s="1"/>
  <c r="Y43" i="7"/>
  <c r="AF94" i="8"/>
  <c r="AE43" i="7" s="1"/>
  <c r="AC94" i="8"/>
  <c r="AB43" i="7" s="1"/>
  <c r="AW80" i="8"/>
  <c r="AV28" i="7" s="1"/>
  <c r="AQ10" i="4" s="1" a="1"/>
  <c r="AQ10" i="4" s="1"/>
  <c r="AU80" i="8"/>
  <c r="AT28" i="7" s="1"/>
  <c r="BC80" i="8"/>
  <c r="BB28" i="7" s="1"/>
  <c r="AI80" i="8"/>
  <c r="AH28" i="7" s="1"/>
  <c r="AF80" i="8"/>
  <c r="AE28" i="7" s="1"/>
  <c r="AG80" i="8"/>
  <c r="AF28" i="7" s="1"/>
  <c r="BC81" i="8"/>
  <c r="BB29" i="7" s="1"/>
  <c r="AX29" i="7"/>
  <c r="AZ81" i="8"/>
  <c r="AY29" i="7" s="1"/>
  <c r="BA81" i="8"/>
  <c r="AZ29" i="7" s="1"/>
  <c r="AB81" i="8"/>
  <c r="AB93" i="8" s="1"/>
  <c r="AC81" i="8"/>
  <c r="AC93" i="8" s="1"/>
  <c r="AD81" i="8"/>
  <c r="AD93" i="8" s="1"/>
  <c r="AA81" i="8"/>
  <c r="AA93" i="8" s="1"/>
  <c r="Y29" i="7"/>
  <c r="AQ82" i="8"/>
  <c r="AP30" i="7" s="1"/>
  <c r="AK8" i="4" s="1" a="1"/>
  <c r="AK8" i="4" s="1"/>
  <c r="W82" i="8"/>
  <c r="V30" i="7" s="1"/>
  <c r="P82" i="8"/>
  <c r="O30" i="7" s="1"/>
  <c r="Q82" i="8"/>
  <c r="P30" i="7" s="1"/>
  <c r="R82" i="8"/>
  <c r="Q30" i="7" s="1"/>
  <c r="S82" i="8"/>
  <c r="R30" i="7" s="1"/>
  <c r="L82" i="8"/>
  <c r="AR82" i="8"/>
  <c r="AQ30" i="7" s="1"/>
  <c r="AK82" i="8"/>
  <c r="AJ30" i="7" s="1"/>
  <c r="AD82" i="8"/>
  <c r="AC30" i="7" s="1"/>
  <c r="X82" i="8"/>
  <c r="W30" i="7" s="1"/>
  <c r="R8" i="4" s="1" a="1"/>
  <c r="R8" i="4" s="1"/>
  <c r="Y82" i="8"/>
  <c r="X30" i="7" s="1"/>
  <c r="Z82" i="8"/>
  <c r="Y30" i="7" s="1"/>
  <c r="AM82" i="8"/>
  <c r="AL30" i="7" s="1"/>
  <c r="J82" i="8"/>
  <c r="T82" i="8"/>
  <c r="S30" i="7" s="1"/>
  <c r="M82" i="8"/>
  <c r="L30" i="7" s="1"/>
  <c r="AS82" i="8"/>
  <c r="AR30" i="7" s="1"/>
  <c r="AM8" i="4" s="1" a="1"/>
  <c r="AM8" i="4" s="1"/>
  <c r="AL82" i="8"/>
  <c r="AK30" i="7" s="1"/>
  <c r="AF8" i="4" s="1" a="1"/>
  <c r="AF8" i="4" s="1"/>
  <c r="AH82" i="8"/>
  <c r="AG30" i="7" s="1"/>
  <c r="AB82" i="8"/>
  <c r="AA30" i="7" s="1"/>
  <c r="U82" i="8"/>
  <c r="T30" i="7" s="1"/>
  <c r="N82" i="8"/>
  <c r="M30" i="7" s="1"/>
  <c r="J30" i="7"/>
  <c r="AP82" i="8"/>
  <c r="AO30" i="7" s="1"/>
  <c r="AP83" i="8"/>
  <c r="AO32" i="7" s="1"/>
  <c r="AD85" i="8"/>
  <c r="N37" i="7"/>
  <c r="W88" i="8"/>
  <c r="V37" i="7" s="1"/>
  <c r="L94" i="8"/>
  <c r="K43" i="7" s="1"/>
  <c r="AS37" i="7"/>
  <c r="Y91" i="8"/>
  <c r="X40" i="7" s="1"/>
  <c r="R81" i="8"/>
  <c r="R93" i="8" s="1"/>
  <c r="BA80" i="8"/>
  <c r="AZ28" i="7" s="1"/>
  <c r="AU10" i="4" s="1" a="1"/>
  <c r="AU10" i="4" s="1"/>
  <c r="AJ82" i="8"/>
  <c r="AI30" i="7" s="1"/>
  <c r="AL94" i="8"/>
  <c r="AK43" i="7" s="1"/>
  <c r="X89" i="8"/>
  <c r="W38" i="7" s="1"/>
  <c r="S89" i="8"/>
  <c r="R38" i="7" s="1"/>
  <c r="Y89" i="8"/>
  <c r="X38" i="7" s="1"/>
  <c r="U89" i="8"/>
  <c r="T38" i="7" s="1"/>
  <c r="R89" i="8"/>
  <c r="Q38" i="7" s="1"/>
  <c r="T89" i="8"/>
  <c r="S38" i="7" s="1"/>
  <c r="W91" i="8"/>
  <c r="V40" i="7" s="1"/>
  <c r="P40" i="7"/>
  <c r="U91" i="8"/>
  <c r="T40" i="7" s="1"/>
  <c r="X91" i="8"/>
  <c r="W40" i="7" s="1"/>
  <c r="V91" i="8"/>
  <c r="U40" i="7" s="1"/>
  <c r="S91" i="8"/>
  <c r="R40" i="7" s="1"/>
  <c r="Y94" i="8"/>
  <c r="X43" i="7" s="1"/>
  <c r="U94" i="8"/>
  <c r="T43" i="7" s="1"/>
  <c r="R94" i="8"/>
  <c r="Q43" i="7" s="1"/>
  <c r="N43" i="7"/>
  <c r="T94" i="8"/>
  <c r="S43" i="7" s="1"/>
  <c r="Y40" i="7"/>
  <c r="S81" i="8"/>
  <c r="S93" i="8" s="1"/>
  <c r="BB81" i="8"/>
  <c r="BA29" i="7" s="1"/>
  <c r="AG94" i="8"/>
  <c r="AF43" i="7" s="1"/>
  <c r="W94" i="8"/>
  <c r="V43" i="7" s="1"/>
  <c r="W81" i="8"/>
  <c r="W93" i="8" s="1"/>
  <c r="X81" i="8"/>
  <c r="X93" i="8" s="1"/>
  <c r="T29" i="7"/>
  <c r="Y81" i="8"/>
  <c r="Y93" i="8" s="1"/>
  <c r="V81" i="8"/>
  <c r="V93" i="8" s="1"/>
  <c r="W92" i="8"/>
  <c r="V41" i="7" s="1"/>
  <c r="U88" i="8"/>
  <c r="T37" i="7" s="1"/>
  <c r="R88" i="8"/>
  <c r="V88" i="8"/>
  <c r="I43" i="7"/>
  <c r="AL86" i="8"/>
  <c r="AK35" i="7" s="1"/>
  <c r="AM86" i="8"/>
  <c r="AL35" i="7" s="1"/>
  <c r="AO86" i="8"/>
  <c r="AN35" i="7" s="1"/>
  <c r="AK86" i="8"/>
  <c r="AJ35" i="7" s="1"/>
  <c r="AQ86" i="8"/>
  <c r="AP35" i="7" s="1"/>
  <c r="P81" i="8"/>
  <c r="P93" i="8" s="1"/>
  <c r="V94" i="8"/>
  <c r="U43" i="7" s="1"/>
  <c r="AO82" i="8"/>
  <c r="AN30" i="7" s="1"/>
  <c r="V82" i="8"/>
  <c r="U30" i="7" s="1"/>
  <c r="X94" i="8"/>
  <c r="W43" i="7" s="1"/>
  <c r="AM89" i="8"/>
  <c r="AL38" i="7" s="1"/>
  <c r="AL89" i="8"/>
  <c r="AK38" i="7" s="1"/>
  <c r="AP89" i="8"/>
  <c r="AO38" i="7" s="1"/>
  <c r="AE89" i="8"/>
  <c r="AD38" i="7" s="1"/>
  <c r="AC89" i="8"/>
  <c r="AB38" i="7" s="1"/>
  <c r="AI89" i="8"/>
  <c r="AH38" i="7" s="1"/>
  <c r="AR89" i="8"/>
  <c r="AQ38" i="7" s="1"/>
  <c r="AH89" i="8"/>
  <c r="AG38" i="7" s="1"/>
  <c r="AQ89" i="8"/>
  <c r="AP38" i="7" s="1"/>
  <c r="AB89" i="8"/>
  <c r="AA38" i="7" s="1"/>
  <c r="AD89" i="8"/>
  <c r="AC38" i="7" s="1"/>
  <c r="AF89" i="8"/>
  <c r="AE38" i="7" s="1"/>
  <c r="AN89" i="8"/>
  <c r="AM38" i="7" s="1"/>
  <c r="AD91" i="8"/>
  <c r="AC40" i="7" s="1"/>
  <c r="AO92" i="8"/>
  <c r="AN41" i="7" s="1"/>
  <c r="AP92" i="8"/>
  <c r="AO41" i="7" s="1"/>
  <c r="AN92" i="8"/>
  <c r="AM41" i="7" s="1"/>
  <c r="AS92" i="8"/>
  <c r="AR41" i="7" s="1"/>
  <c r="AQ92" i="8"/>
  <c r="AP41" i="7" s="1"/>
  <c r="N80" i="8"/>
  <c r="M28" i="7" s="1"/>
  <c r="L80" i="8"/>
  <c r="K28" i="7" s="1"/>
  <c r="O80" i="8"/>
  <c r="N28" i="7" s="1"/>
  <c r="J92" i="8"/>
  <c r="W80" i="8"/>
  <c r="V28" i="7" s="1"/>
  <c r="Q10" i="4" s="1" a="1"/>
  <c r="Q10" i="4" s="1"/>
  <c r="X80" i="8"/>
  <c r="W28" i="7" s="1"/>
  <c r="R10" i="4" s="1" a="1"/>
  <c r="R10" i="4" s="1"/>
  <c r="AQ81" i="8"/>
  <c r="AQ93" i="8" s="1"/>
  <c r="AR81" i="8"/>
  <c r="AR93" i="8" s="1"/>
  <c r="AS81" i="8"/>
  <c r="AS93" i="8" s="1"/>
  <c r="AN29" i="7"/>
  <c r="AS35" i="7"/>
  <c r="AE10" i="4" a="1"/>
  <c r="AE10" i="4" s="1"/>
  <c r="B54" i="7"/>
  <c r="X10" i="4" a="1"/>
  <c r="X10" i="4" s="1"/>
  <c r="AJ10" i="4" a="1"/>
  <c r="AJ10" i="4" s="1"/>
  <c r="AN10" i="4" a="1"/>
  <c r="AN10" i="4" s="1"/>
  <c r="I10" i="4" a="1"/>
  <c r="I10" i="4" s="1"/>
  <c r="I108" i="4" s="1"/>
  <c r="AS10" i="4" a="1"/>
  <c r="AS10" i="4" s="1"/>
  <c r="O8" i="4" a="1"/>
  <c r="O8" i="4" s="1"/>
  <c r="A50" i="7"/>
  <c r="L10" i="4" a="1"/>
  <c r="L10" i="4" s="1"/>
  <c r="C56" i="7"/>
  <c r="AJ8" i="4" a="1"/>
  <c r="AJ8" i="4" s="1"/>
  <c r="AW10" i="4" a="1"/>
  <c r="AW10" i="4" s="1"/>
  <c r="AP10" i="4" a="1"/>
  <c r="AP10" i="4" s="1"/>
  <c r="AD8" i="4" a="1"/>
  <c r="AD8" i="4" s="1"/>
  <c r="AG8" i="4" a="1"/>
  <c r="AG8" i="4" s="1"/>
  <c r="V10" i="4" a="1"/>
  <c r="V10" i="4" s="1"/>
  <c r="W10" i="4" a="1"/>
  <c r="W10" i="4" s="1"/>
  <c r="H10" i="4" a="1"/>
  <c r="H10" i="4" s="1"/>
  <c r="I8" i="4" a="1"/>
  <c r="I8" i="4" s="1"/>
  <c r="AL8" i="4" a="1"/>
  <c r="AL8" i="4" s="1"/>
  <c r="AI10" i="4" a="1"/>
  <c r="AI10" i="4" s="1"/>
  <c r="AH10" i="4" a="1"/>
  <c r="AH10" i="4" s="1"/>
  <c r="G10" i="4" a="1"/>
  <c r="G10" i="4" s="1"/>
  <c r="K10" i="4" a="1"/>
  <c r="K10" i="4" s="1"/>
  <c r="AN8" i="4" a="1"/>
  <c r="AN8" i="4" s="1"/>
  <c r="Y10" i="4" a="1"/>
  <c r="Y10" i="4" s="1"/>
  <c r="AV10" i="4" a="1"/>
  <c r="AV10" i="4" s="1"/>
  <c r="AL10" i="4" a="1"/>
  <c r="AL10" i="4" s="1"/>
  <c r="AG10" i="4" a="1"/>
  <c r="AG10" i="4" s="1"/>
  <c r="J10" i="4" a="1"/>
  <c r="J10" i="4" s="1"/>
  <c r="T8" i="4" a="1"/>
  <c r="T8" i="4" s="1"/>
  <c r="AX10" i="4" a="1"/>
  <c r="AX10" i="4" s="1"/>
  <c r="AC10" i="4" a="1"/>
  <c r="AC10" i="4" s="1"/>
  <c r="AK10" i="4" a="1"/>
  <c r="AK10" i="4" s="1"/>
  <c r="AT10" i="4" a="1"/>
  <c r="AT10" i="4" s="1"/>
  <c r="B56" i="7"/>
  <c r="C52" i="4"/>
  <c r="I71" i="4" l="1"/>
  <c r="I74" i="4" s="1"/>
  <c r="L94" i="1"/>
  <c r="B56" i="1"/>
  <c r="F99" i="1" s="1"/>
  <c r="O108" i="4"/>
  <c r="D87" i="4"/>
  <c r="M108" i="4"/>
  <c r="T108" i="4"/>
  <c r="AH108" i="4"/>
  <c r="AF108" i="4"/>
  <c r="AG108" i="4"/>
  <c r="AN108" i="4"/>
  <c r="AJ108" i="4"/>
  <c r="AK108" i="4"/>
  <c r="R108" i="4"/>
  <c r="AM108" i="4"/>
  <c r="AD108" i="4"/>
  <c r="AL108" i="4"/>
  <c r="Q8" i="4" a="1"/>
  <c r="Q8" i="4" s="1"/>
  <c r="AI26" i="4" a="1"/>
  <c r="AI26" i="4" s="1"/>
  <c r="C54" i="7"/>
  <c r="E10" i="4" a="1"/>
  <c r="E10" i="4" s="1"/>
  <c r="K103" i="1"/>
  <c r="AK93" i="8"/>
  <c r="AH90" i="8"/>
  <c r="AL93" i="8"/>
  <c r="BF57" i="8"/>
  <c r="L64" i="8"/>
  <c r="K15" i="7" s="1"/>
  <c r="O5" i="7"/>
  <c r="B52" i="7" s="1"/>
  <c r="L78" i="8"/>
  <c r="T93" i="8"/>
  <c r="R78" i="8"/>
  <c r="AM90" i="8"/>
  <c r="K77" i="8"/>
  <c r="M60" i="8"/>
  <c r="K32" i="7"/>
  <c r="AE90" i="8"/>
  <c r="N8" i="4" a="1"/>
  <c r="N8" i="4" s="1"/>
  <c r="AI93" i="8"/>
  <c r="N10" i="4" a="1"/>
  <c r="N10" i="4" s="1"/>
  <c r="AM64" i="8"/>
  <c r="AL15" i="7" s="1"/>
  <c r="T90" i="8"/>
  <c r="Q16" i="7"/>
  <c r="R90" i="8"/>
  <c r="AD90" i="8"/>
  <c r="AJ29" i="7"/>
  <c r="U10" i="4" a="1"/>
  <c r="U10" i="4" s="1"/>
  <c r="AK61" i="8"/>
  <c r="W16" i="7"/>
  <c r="X90" i="8"/>
  <c r="U16" i="7"/>
  <c r="V90" i="8"/>
  <c r="V16" i="7"/>
  <c r="W90" i="8"/>
  <c r="R16" i="7"/>
  <c r="S90" i="8"/>
  <c r="AN26" i="4" a="1"/>
  <c r="AN26" i="4" s="1"/>
  <c r="AB16" i="7"/>
  <c r="AC90" i="8"/>
  <c r="J100" i="8"/>
  <c r="BF79" i="8"/>
  <c r="T61" i="8"/>
  <c r="O8" i="7"/>
  <c r="AH16" i="7"/>
  <c r="AI90" i="8"/>
  <c r="Z16" i="7"/>
  <c r="AA90" i="8"/>
  <c r="AA10" i="4" a="1"/>
  <c r="AA10" i="4" s="1"/>
  <c r="AF12" i="7"/>
  <c r="AF16" i="7"/>
  <c r="AG90" i="8"/>
  <c r="U93" i="8"/>
  <c r="P10" i="4" a="1"/>
  <c r="P10" i="4" s="1"/>
  <c r="AV78" i="8"/>
  <c r="AB90" i="8"/>
  <c r="AM93" i="8"/>
  <c r="AM16" i="7"/>
  <c r="AN90" i="8"/>
  <c r="I32" i="7"/>
  <c r="AE16" i="7"/>
  <c r="AF90" i="8"/>
  <c r="AC12" i="7"/>
  <c r="AE12" i="7"/>
  <c r="AQ16" i="7"/>
  <c r="AR90" i="8"/>
  <c r="J99" i="8"/>
  <c r="M93" i="8"/>
  <c r="N93" i="8"/>
  <c r="K93" i="8"/>
  <c r="L93" i="8"/>
  <c r="O16" i="7"/>
  <c r="P90" i="8"/>
  <c r="I38" i="7"/>
  <c r="K89" i="8"/>
  <c r="J38" i="7" s="1"/>
  <c r="Z12" i="7"/>
  <c r="AR16" i="7"/>
  <c r="AS90" i="8"/>
  <c r="AK90" i="8"/>
  <c r="AO29" i="7"/>
  <c r="AP93" i="8"/>
  <c r="X16" i="7"/>
  <c r="Y90" i="8"/>
  <c r="AB12" i="7"/>
  <c r="AP16" i="7"/>
  <c r="AQ90" i="8"/>
  <c r="P16" i="7"/>
  <c r="Q90" i="8"/>
  <c r="I41" i="7"/>
  <c r="K92" i="8"/>
  <c r="J41" i="7" s="1"/>
  <c r="AH93" i="8"/>
  <c r="S8" i="4" a="1"/>
  <c r="S8" i="4" s="1"/>
  <c r="Z10" i="4" a="1"/>
  <c r="Z10" i="4" s="1"/>
  <c r="AE8" i="4" a="1"/>
  <c r="AE8" i="4" s="1"/>
  <c r="O78" i="8"/>
  <c r="AL90" i="8"/>
  <c r="AG12" i="7"/>
  <c r="AH12" i="7"/>
  <c r="S60" i="8"/>
  <c r="R36" i="7" s="1"/>
  <c r="N16" i="7"/>
  <c r="O90" i="8"/>
  <c r="AA12" i="7"/>
  <c r="AO16" i="7"/>
  <c r="AP90" i="8"/>
  <c r="T26" i="4" a="1"/>
  <c r="T26" i="4" s="1"/>
  <c r="AJ87" i="4"/>
  <c r="AM87" i="4"/>
  <c r="AN87" i="4"/>
  <c r="X87" i="4"/>
  <c r="Z87" i="4"/>
  <c r="AF87" i="4"/>
  <c r="AE87" i="4"/>
  <c r="AD87" i="4"/>
  <c r="AC87" i="4"/>
  <c r="AH87" i="4"/>
  <c r="Y87" i="4"/>
  <c r="AG87" i="4"/>
  <c r="AL87" i="4"/>
  <c r="AK87" i="4"/>
  <c r="AI87" i="4"/>
  <c r="AB87" i="4"/>
  <c r="AA87" i="4"/>
  <c r="W87" i="4"/>
  <c r="AD78" i="8"/>
  <c r="N77" i="8"/>
  <c r="BF52" i="8"/>
  <c r="P61" i="8"/>
  <c r="AD77" i="8"/>
  <c r="AC94" i="4"/>
  <c r="Y42" i="7"/>
  <c r="L77" i="8"/>
  <c r="X76" i="8"/>
  <c r="W26" i="7" s="1"/>
  <c r="R26" i="4" s="1" a="1"/>
  <c r="R26" i="4" s="1"/>
  <c r="AH77" i="8"/>
  <c r="AM61" i="8"/>
  <c r="AI78" i="8"/>
  <c r="X36" i="7"/>
  <c r="Y77" i="8"/>
  <c r="AK64" i="8"/>
  <c r="AJ15" i="7" s="1"/>
  <c r="AN64" i="8"/>
  <c r="AM15" i="7" s="1"/>
  <c r="BB78" i="8"/>
  <c r="AM76" i="8"/>
  <c r="AL26" i="7" s="1"/>
  <c r="AG26" i="4" s="1" a="1"/>
  <c r="AG26" i="4" s="1"/>
  <c r="M77" i="8"/>
  <c r="M35" i="7"/>
  <c r="L35" i="7"/>
  <c r="I35" i="7"/>
  <c r="J35" i="7"/>
  <c r="K35" i="7"/>
  <c r="W77" i="8"/>
  <c r="BA78" i="8"/>
  <c r="Q60" i="8"/>
  <c r="P11" i="7" s="1"/>
  <c r="BD72" i="8"/>
  <c r="BC23" i="7" s="1"/>
  <c r="AZ77" i="8"/>
  <c r="R60" i="8"/>
  <c r="Q11" i="7" s="1"/>
  <c r="N60" i="8"/>
  <c r="M11" i="7" s="1"/>
  <c r="K60" i="8"/>
  <c r="J11" i="7" s="1"/>
  <c r="AX94" i="4"/>
  <c r="Z94" i="4"/>
  <c r="BF80" i="8"/>
  <c r="V77" i="8"/>
  <c r="O77" i="8"/>
  <c r="I11" i="7"/>
  <c r="AR94" i="4"/>
  <c r="BF83" i="8"/>
  <c r="T78" i="8"/>
  <c r="AZ78" i="8"/>
  <c r="O60" i="8"/>
  <c r="N11" i="7" s="1"/>
  <c r="L60" i="8"/>
  <c r="K11" i="7" s="1"/>
  <c r="AV9" i="7"/>
  <c r="AW76" i="8"/>
  <c r="AV26" i="7" s="1"/>
  <c r="AQ26" i="4" s="1" a="1"/>
  <c r="AQ26" i="4" s="1"/>
  <c r="AS94" i="4"/>
  <c r="V94" i="4"/>
  <c r="AI77" i="8"/>
  <c r="AP77" i="8"/>
  <c r="L37" i="7"/>
  <c r="G5" i="26" s="1"/>
  <c r="I37" i="7"/>
  <c r="K37" i="7"/>
  <c r="F5" i="26" s="1"/>
  <c r="Q78" i="8"/>
  <c r="W94" i="4"/>
  <c r="AB94" i="4"/>
  <c r="AU94" i="4"/>
  <c r="X94" i="4"/>
  <c r="AE94" i="4"/>
  <c r="AG94" i="4"/>
  <c r="BF88" i="8"/>
  <c r="AY72" i="8"/>
  <c r="AX23" i="7" s="1"/>
  <c r="AQ77" i="8"/>
  <c r="Z39" i="7"/>
  <c r="W78" i="8"/>
  <c r="R11" i="7"/>
  <c r="AP78" i="8"/>
  <c r="N89" i="8"/>
  <c r="M38" i="7" s="1"/>
  <c r="L89" i="8"/>
  <c r="K38" i="7" s="1"/>
  <c r="M89" i="8"/>
  <c r="L38" i="7" s="1"/>
  <c r="AX72" i="8"/>
  <c r="AW23" i="7" s="1"/>
  <c r="AD39" i="7"/>
  <c r="AU78" i="8"/>
  <c r="B55" i="7"/>
  <c r="AF78" i="8"/>
  <c r="T76" i="8"/>
  <c r="S26" i="7" s="1"/>
  <c r="N26" i="4" s="1" a="1"/>
  <c r="N26" i="4" s="1"/>
  <c r="AQ78" i="8"/>
  <c r="M78" i="8"/>
  <c r="AA64" i="8"/>
  <c r="Z15" i="7" s="1"/>
  <c r="AC18" i="7"/>
  <c r="AC36" i="7"/>
  <c r="AA36" i="7"/>
  <c r="AP94" i="4"/>
  <c r="AN94" i="4"/>
  <c r="I26" i="7"/>
  <c r="D26" i="4" s="1" a="1"/>
  <c r="D26" i="4" s="1"/>
  <c r="R77" i="8"/>
  <c r="AB36" i="7"/>
  <c r="M64" i="8"/>
  <c r="L15" i="7" s="1"/>
  <c r="S16" i="7"/>
  <c r="S39" i="7"/>
  <c r="L11" i="7"/>
  <c r="X78" i="8"/>
  <c r="S36" i="7"/>
  <c r="AO94" i="4"/>
  <c r="AK94" i="4"/>
  <c r="AI42" i="7"/>
  <c r="O11" i="7"/>
  <c r="O36" i="7"/>
  <c r="S12" i="7"/>
  <c r="M29" i="7"/>
  <c r="M42" i="7"/>
  <c r="AE23" i="7"/>
  <c r="AE39" i="7"/>
  <c r="Z34" i="7"/>
  <c r="AP24" i="7"/>
  <c r="AQ76" i="8"/>
  <c r="AP26" i="7" s="1"/>
  <c r="AK26" i="4" s="1" a="1"/>
  <c r="AK26" i="4" s="1"/>
  <c r="AU24" i="7"/>
  <c r="AV76" i="8"/>
  <c r="AU26" i="7" s="1"/>
  <c r="AP26" i="4" s="1" a="1"/>
  <c r="AP26" i="4" s="1"/>
  <c r="K9" i="7"/>
  <c r="L76" i="8"/>
  <c r="L79" i="8" s="1"/>
  <c r="K31" i="7" s="1"/>
  <c r="F79" i="4" s="1" a="1"/>
  <c r="AF9" i="7"/>
  <c r="AG76" i="8"/>
  <c r="AF26" i="7" s="1"/>
  <c r="AA26" i="4" s="1" a="1"/>
  <c r="AA26" i="4" s="1"/>
  <c r="V50" i="8"/>
  <c r="U2" i="7" s="1"/>
  <c r="Y50" i="8"/>
  <c r="X2" i="7" s="1"/>
  <c r="X50" i="8"/>
  <c r="W2" i="7" s="1"/>
  <c r="T2" i="7"/>
  <c r="W50" i="8"/>
  <c r="V2" i="7" s="1"/>
  <c r="W23" i="7"/>
  <c r="W39" i="7"/>
  <c r="BB77" i="8"/>
  <c r="AM50" i="8"/>
  <c r="AL2" i="7" s="1"/>
  <c r="AK50" i="8"/>
  <c r="AJ2" i="7" s="1"/>
  <c r="AL50" i="8"/>
  <c r="AK2" i="7" s="1"/>
  <c r="AI2" i="7"/>
  <c r="AN50" i="8"/>
  <c r="AM2" i="7" s="1"/>
  <c r="L61" i="8"/>
  <c r="BF58" i="8"/>
  <c r="P77" i="8"/>
  <c r="AO39" i="7"/>
  <c r="AL11" i="7"/>
  <c r="AL36" i="7"/>
  <c r="AJ36" i="7"/>
  <c r="AJ11" i="7"/>
  <c r="U39" i="7"/>
  <c r="J29" i="7"/>
  <c r="J42" i="7"/>
  <c r="AG42" i="7"/>
  <c r="AG29" i="7"/>
  <c r="AK24" i="7"/>
  <c r="AL76" i="8"/>
  <c r="AK26" i="7" s="1"/>
  <c r="AF26" i="4" s="1" a="1"/>
  <c r="AF26" i="4" s="1"/>
  <c r="AQ24" i="7"/>
  <c r="AR76" i="8"/>
  <c r="AQ26" i="7" s="1"/>
  <c r="AL26" i="4" s="1" a="1"/>
  <c r="AL26" i="4" s="1"/>
  <c r="N9" i="7"/>
  <c r="O76" i="8"/>
  <c r="N26" i="7" s="1"/>
  <c r="I26" i="4" s="1" a="1"/>
  <c r="I26" i="4" s="1"/>
  <c r="AT24" i="7"/>
  <c r="AU76" i="8"/>
  <c r="AT26" i="7" s="1"/>
  <c r="AO26" i="4" s="1" a="1"/>
  <c r="AO26" i="4" s="1"/>
  <c r="L24" i="7"/>
  <c r="M76" i="8"/>
  <c r="M79" i="8" s="1"/>
  <c r="L31" i="7" s="1"/>
  <c r="G79" i="4" s="1" a="1"/>
  <c r="AI76" i="8"/>
  <c r="AH26" i="7" s="1"/>
  <c r="AC26" i="4" s="1" a="1"/>
  <c r="AC26" i="4" s="1"/>
  <c r="AH24" i="7"/>
  <c r="W11" i="7"/>
  <c r="W36" i="7"/>
  <c r="AM36" i="7"/>
  <c r="AM11" i="7"/>
  <c r="AN42" i="7"/>
  <c r="N92" i="8"/>
  <c r="M41" i="7" s="1"/>
  <c r="L92" i="8"/>
  <c r="K41" i="7" s="1"/>
  <c r="M92" i="8"/>
  <c r="L41" i="7" s="1"/>
  <c r="O29" i="7"/>
  <c r="O42" i="7"/>
  <c r="Q37" i="7"/>
  <c r="L8" i="4" s="1" a="1"/>
  <c r="L8" i="4" s="1"/>
  <c r="V29" i="7"/>
  <c r="V42" i="7"/>
  <c r="I30" i="7"/>
  <c r="AU82" i="8"/>
  <c r="AT30" i="7" s="1"/>
  <c r="AO8" i="4" s="1" a="1"/>
  <c r="AO8" i="4" s="1"/>
  <c r="AW82" i="8"/>
  <c r="AV30" i="7" s="1"/>
  <c r="AQ8" i="4" s="1" a="1"/>
  <c r="AQ8" i="4" s="1"/>
  <c r="AQ12" i="4" s="1"/>
  <c r="AQ108" i="4" s="1"/>
  <c r="AZ82" i="8"/>
  <c r="AY30" i="7" s="1"/>
  <c r="AT8" i="4" s="1" a="1"/>
  <c r="AT8" i="4" s="1"/>
  <c r="AT12" i="4" s="1"/>
  <c r="AT108" i="4" s="1"/>
  <c r="AY82" i="8"/>
  <c r="AX30" i="7" s="1"/>
  <c r="AS8" i="4" s="1" a="1"/>
  <c r="AS8" i="4" s="1"/>
  <c r="AS12" i="4" s="1"/>
  <c r="AS108" i="4" s="1"/>
  <c r="AV82" i="8"/>
  <c r="AU30" i="7" s="1"/>
  <c r="AP8" i="4" s="1" a="1"/>
  <c r="AP8" i="4" s="1"/>
  <c r="AP12" i="4" s="1"/>
  <c r="AP108" i="4" s="1"/>
  <c r="BB82" i="8"/>
  <c r="BA30" i="7" s="1"/>
  <c r="AV8" i="4" s="1" a="1"/>
  <c r="AV8" i="4" s="1"/>
  <c r="AV12" i="4" s="1"/>
  <c r="AV108" i="4" s="1"/>
  <c r="BC82" i="8"/>
  <c r="BB30" i="7" s="1"/>
  <c r="AW8" i="4" s="1" a="1"/>
  <c r="AW8" i="4" s="1"/>
  <c r="AW12" i="4" s="1"/>
  <c r="AW108" i="4" s="1"/>
  <c r="BD82" i="8"/>
  <c r="BC30" i="7" s="1"/>
  <c r="AX8" i="4" s="1" a="1"/>
  <c r="AX8" i="4" s="1"/>
  <c r="AX12" i="4" s="1"/>
  <c r="AX108" i="4" s="1"/>
  <c r="AX82" i="8"/>
  <c r="AW30" i="7" s="1"/>
  <c r="AR8" i="4" s="1" a="1"/>
  <c r="AR8" i="4" s="1"/>
  <c r="AR12" i="4" s="1"/>
  <c r="AR108" i="4" s="1"/>
  <c r="BA82" i="8"/>
  <c r="AZ30" i="7" s="1"/>
  <c r="AU8" i="4" s="1" a="1"/>
  <c r="AU8" i="4" s="1"/>
  <c r="AU12" i="4" s="1"/>
  <c r="AU108" i="4" s="1"/>
  <c r="K30" i="7"/>
  <c r="K42" i="7"/>
  <c r="Z29" i="7"/>
  <c r="Z42" i="7"/>
  <c r="AK29" i="7"/>
  <c r="AK42" i="7"/>
  <c r="AL42" i="7"/>
  <c r="AH29" i="7"/>
  <c r="AH42" i="7"/>
  <c r="AH23" i="7"/>
  <c r="AH39" i="7"/>
  <c r="BB72" i="8"/>
  <c r="BA23" i="7" s="1"/>
  <c r="AU72" i="8"/>
  <c r="AT23" i="7" s="1"/>
  <c r="AR23" i="7"/>
  <c r="AR39" i="7"/>
  <c r="AF34" i="7"/>
  <c r="AJ24" i="7"/>
  <c r="AK76" i="8"/>
  <c r="AJ26" i="7" s="1"/>
  <c r="AE26" i="4" s="1" a="1"/>
  <c r="AE26" i="4" s="1"/>
  <c r="AG16" i="7"/>
  <c r="AG39" i="7"/>
  <c r="N76" i="8"/>
  <c r="N79" i="8" s="1"/>
  <c r="M31" i="7" s="1"/>
  <c r="H79" i="4" s="1" a="1"/>
  <c r="M9" i="7"/>
  <c r="AJ12" i="7"/>
  <c r="AL12" i="7"/>
  <c r="O24" i="7"/>
  <c r="P76" i="8"/>
  <c r="O26" i="7" s="1"/>
  <c r="J26" i="4" s="1" a="1"/>
  <c r="J26" i="4" s="1"/>
  <c r="AX14" i="7"/>
  <c r="BA63" i="8"/>
  <c r="AZ14" i="7" s="1"/>
  <c r="AX63" i="8"/>
  <c r="AW14" i="7" s="1"/>
  <c r="BB63" i="8"/>
  <c r="BA14" i="7" s="1"/>
  <c r="AV63" i="8"/>
  <c r="AU14" i="7" s="1"/>
  <c r="AZ63" i="8"/>
  <c r="AY14" i="7" s="1"/>
  <c r="AU63" i="8"/>
  <c r="AT14" i="7" s="1"/>
  <c r="BC63" i="8"/>
  <c r="BB14" i="7" s="1"/>
  <c r="AW63" i="8"/>
  <c r="AV14" i="7" s="1"/>
  <c r="AD76" i="8"/>
  <c r="AC26" i="7" s="1"/>
  <c r="X26" i="4" s="1" a="1"/>
  <c r="X26" i="4" s="1"/>
  <c r="AC9" i="7"/>
  <c r="BC77" i="8"/>
  <c r="S61" i="8"/>
  <c r="T36" i="7"/>
  <c r="Q64" i="8"/>
  <c r="P15" i="7" s="1"/>
  <c r="AF11" i="7"/>
  <c r="AF36" i="7"/>
  <c r="AN15" i="7"/>
  <c r="AQ64" i="8"/>
  <c r="AP15" i="7" s="1"/>
  <c r="AS64" i="8"/>
  <c r="AR15" i="7" s="1"/>
  <c r="AP64" i="8"/>
  <c r="AO15" i="7" s="1"/>
  <c r="AR64" i="8"/>
  <c r="AQ15" i="7" s="1"/>
  <c r="AL64" i="8"/>
  <c r="AK15" i="7" s="1"/>
  <c r="BA72" i="8"/>
  <c r="AZ23" i="7" s="1"/>
  <c r="AX15" i="7"/>
  <c r="BA64" i="8"/>
  <c r="AZ15" i="7" s="1"/>
  <c r="BB64" i="8"/>
  <c r="BA15" i="7" s="1"/>
  <c r="BC64" i="8"/>
  <c r="BB15" i="7" s="1"/>
  <c r="AZ64" i="8"/>
  <c r="AY15" i="7" s="1"/>
  <c r="AC42" i="7"/>
  <c r="AC29" i="7"/>
  <c r="L29" i="7"/>
  <c r="L42" i="7"/>
  <c r="AN37" i="7"/>
  <c r="AI8" i="4" s="1" a="1"/>
  <c r="AI8" i="4" s="1"/>
  <c r="AN36" i="7"/>
  <c r="AF29" i="7"/>
  <c r="AF42" i="7"/>
  <c r="R23" i="7"/>
  <c r="R39" i="7"/>
  <c r="AF64" i="8"/>
  <c r="AE15" i="7" s="1"/>
  <c r="AI64" i="8"/>
  <c r="AH15" i="7" s="1"/>
  <c r="AD15" i="7"/>
  <c r="AD64" i="8"/>
  <c r="AC15" i="7" s="1"/>
  <c r="AH64" i="8"/>
  <c r="AG15" i="7" s="1"/>
  <c r="AG64" i="8"/>
  <c r="AF15" i="7" s="1"/>
  <c r="AC64" i="8"/>
  <c r="AB15" i="7" s="1"/>
  <c r="AH34" i="7"/>
  <c r="AM24" i="7"/>
  <c r="AN76" i="8"/>
  <c r="AM26" i="7" s="1"/>
  <c r="AH26" i="4" s="1" a="1"/>
  <c r="AH26" i="4" s="1"/>
  <c r="BA76" i="8"/>
  <c r="AZ26" i="7" s="1"/>
  <c r="AU26" i="4" s="1" a="1"/>
  <c r="AU26" i="4" s="1"/>
  <c r="AZ9" i="7"/>
  <c r="AL39" i="7"/>
  <c r="AL16" i="7"/>
  <c r="V24" i="7"/>
  <c r="W76" i="8"/>
  <c r="V26" i="7" s="1"/>
  <c r="Q26" i="4" s="1" a="1"/>
  <c r="Q26" i="4" s="1"/>
  <c r="AY9" i="7"/>
  <c r="AZ76" i="8"/>
  <c r="AY26" i="7" s="1"/>
  <c r="AT26" i="4" s="1" a="1"/>
  <c r="AT26" i="4" s="1"/>
  <c r="T15" i="7"/>
  <c r="X64" i="8"/>
  <c r="W15" i="7" s="1"/>
  <c r="Y64" i="8"/>
  <c r="X15" i="7" s="1"/>
  <c r="P64" i="8"/>
  <c r="O15" i="7" s="1"/>
  <c r="W64" i="8"/>
  <c r="V15" i="7" s="1"/>
  <c r="R64" i="8"/>
  <c r="Q15" i="7" s="1"/>
  <c r="V64" i="8"/>
  <c r="U15" i="7" s="1"/>
  <c r="T39" i="7"/>
  <c r="AG9" i="7"/>
  <c r="AH76" i="8"/>
  <c r="AG26" i="7" s="1"/>
  <c r="AB26" i="4" s="1" a="1"/>
  <c r="AB26" i="4" s="1"/>
  <c r="AN39" i="7"/>
  <c r="BC78" i="8"/>
  <c r="S50" i="8"/>
  <c r="R2" i="7" s="1"/>
  <c r="I2" i="7"/>
  <c r="C49" i="7" s="1"/>
  <c r="T50" i="8"/>
  <c r="S2" i="7" s="1"/>
  <c r="Q50" i="8"/>
  <c r="P2" i="7" s="1"/>
  <c r="P50" i="8"/>
  <c r="M50" i="8"/>
  <c r="L2" i="7" s="1"/>
  <c r="L50" i="8"/>
  <c r="K2" i="7" s="1"/>
  <c r="R50" i="8"/>
  <c r="Q2" i="7" s="1"/>
  <c r="N50" i="8"/>
  <c r="M2" i="7" s="1"/>
  <c r="K50" i="8"/>
  <c r="J2" i="7" s="1"/>
  <c r="O50" i="8"/>
  <c r="N2" i="7" s="1"/>
  <c r="AC23" i="7"/>
  <c r="AC39" i="7"/>
  <c r="AA16" i="7"/>
  <c r="AA39" i="7"/>
  <c r="S64" i="8"/>
  <c r="R15" i="7" s="1"/>
  <c r="AG11" i="7"/>
  <c r="AG36" i="7"/>
  <c r="AN61" i="8"/>
  <c r="AL61" i="8"/>
  <c r="AS61" i="8"/>
  <c r="AN12" i="7"/>
  <c r="AP61" i="8"/>
  <c r="AR61" i="8"/>
  <c r="AQ61" i="8"/>
  <c r="K64" i="8"/>
  <c r="J15" i="7" s="1"/>
  <c r="W29" i="7"/>
  <c r="W42" i="7"/>
  <c r="AA34" i="7"/>
  <c r="AR42" i="7"/>
  <c r="AR29" i="7"/>
  <c r="P37" i="7"/>
  <c r="K8" i="4" s="1" a="1"/>
  <c r="K8" i="4" s="1"/>
  <c r="P36" i="7"/>
  <c r="AB29" i="7"/>
  <c r="AB42" i="7"/>
  <c r="BF92" i="8"/>
  <c r="AM42" i="7"/>
  <c r="AM29" i="7"/>
  <c r="I40" i="7"/>
  <c r="M91" i="8"/>
  <c r="N91" i="8"/>
  <c r="L91" i="8"/>
  <c r="AP23" i="7"/>
  <c r="AP39" i="7"/>
  <c r="AA77" i="8"/>
  <c r="X24" i="7"/>
  <c r="Y76" i="8"/>
  <c r="X26" i="7" s="1"/>
  <c r="S26" i="4" s="1" a="1"/>
  <c r="S26" i="4" s="1"/>
  <c r="J24" i="7"/>
  <c r="K76" i="8"/>
  <c r="K79" i="8" s="1"/>
  <c r="J31" i="7" s="1"/>
  <c r="E79" i="4" s="1" a="1"/>
  <c r="T12" i="7"/>
  <c r="N61" i="8"/>
  <c r="R61" i="8"/>
  <c r="X61" i="8"/>
  <c r="Y61" i="8"/>
  <c r="W61" i="8"/>
  <c r="V61" i="8"/>
  <c r="Q61" i="8"/>
  <c r="AB9" i="7"/>
  <c r="AC76" i="8"/>
  <c r="AB26" i="7" s="1"/>
  <c r="W26" i="4" s="1" a="1"/>
  <c r="W26" i="4" s="1"/>
  <c r="AK16" i="7"/>
  <c r="AK39" i="7"/>
  <c r="L34" i="7"/>
  <c r="M34" i="7"/>
  <c r="I34" i="7"/>
  <c r="D71" i="4" s="1"/>
  <c r="K34" i="7"/>
  <c r="J34" i="7"/>
  <c r="V23" i="7"/>
  <c r="V39" i="7"/>
  <c r="T64" i="8"/>
  <c r="S15" i="7" s="1"/>
  <c r="AQ39" i="7"/>
  <c r="AS15" i="7"/>
  <c r="AV64" i="8"/>
  <c r="AU15" i="7" s="1"/>
  <c r="AU64" i="8"/>
  <c r="AT15" i="7" s="1"/>
  <c r="AX64" i="8"/>
  <c r="AW15" i="7" s="1"/>
  <c r="AW64" i="8"/>
  <c r="AV15" i="7" s="1"/>
  <c r="AE36" i="7"/>
  <c r="AE11" i="7"/>
  <c r="AW77" i="8"/>
  <c r="R76" i="8"/>
  <c r="Q26" i="7" s="1"/>
  <c r="L26" i="4" s="1" a="1"/>
  <c r="L26" i="4" s="1"/>
  <c r="Q9" i="7"/>
  <c r="O12" i="7"/>
  <c r="AQ42" i="7"/>
  <c r="AQ29" i="7"/>
  <c r="U29" i="7"/>
  <c r="U42" i="7"/>
  <c r="BF89" i="8"/>
  <c r="AB34" i="7"/>
  <c r="P29" i="7"/>
  <c r="P42" i="7"/>
  <c r="Z37" i="7"/>
  <c r="Z36" i="7"/>
  <c r="AE42" i="7"/>
  <c r="AE29" i="7"/>
  <c r="S42" i="7"/>
  <c r="BF85" i="8"/>
  <c r="O23" i="7"/>
  <c r="O39" i="7"/>
  <c r="AG34" i="7"/>
  <c r="AC77" i="8"/>
  <c r="AO24" i="7"/>
  <c r="AP76" i="8"/>
  <c r="AO26" i="7" s="1"/>
  <c r="AJ26" i="4" s="1" a="1"/>
  <c r="AJ26" i="4" s="1"/>
  <c r="AX76" i="8"/>
  <c r="AW26" i="7" s="1"/>
  <c r="AR26" i="4" s="1" a="1"/>
  <c r="AR26" i="4" s="1"/>
  <c r="AW9" i="7"/>
  <c r="AJ39" i="7"/>
  <c r="AJ16" i="7"/>
  <c r="U24" i="7"/>
  <c r="V76" i="8"/>
  <c r="U26" i="7" s="1"/>
  <c r="P26" i="4" s="1" a="1"/>
  <c r="P26" i="4" s="1"/>
  <c r="AX78" i="8"/>
  <c r="AG77" i="8"/>
  <c r="AE9" i="7"/>
  <c r="AF76" i="8"/>
  <c r="AE26" i="7" s="1"/>
  <c r="Z26" i="4" s="1" a="1"/>
  <c r="Z26" i="4" s="1"/>
  <c r="X23" i="7"/>
  <c r="X39" i="7"/>
  <c r="O61" i="8"/>
  <c r="O64" i="8"/>
  <c r="N15" i="7" s="1"/>
  <c r="Q77" i="8"/>
  <c r="AS36" i="7"/>
  <c r="AV60" i="8"/>
  <c r="AU11" i="7" s="1"/>
  <c r="AU60" i="8"/>
  <c r="AT11" i="7" s="1"/>
  <c r="AS11" i="7"/>
  <c r="AX60" i="8"/>
  <c r="AW11" i="7" s="1"/>
  <c r="AP60" i="8"/>
  <c r="AQ60" i="8"/>
  <c r="AW60" i="8"/>
  <c r="AV11" i="7" s="1"/>
  <c r="AR60" i="8"/>
  <c r="AS60" i="8"/>
  <c r="AK11" i="7"/>
  <c r="AK36" i="7"/>
  <c r="AP29" i="7"/>
  <c r="AP42" i="7"/>
  <c r="T42" i="7"/>
  <c r="R29" i="7"/>
  <c r="R42" i="7"/>
  <c r="Q29" i="7"/>
  <c r="Q42" i="7"/>
  <c r="AC34" i="7"/>
  <c r="AA42" i="7"/>
  <c r="AA29" i="7"/>
  <c r="N29" i="7"/>
  <c r="N42" i="7"/>
  <c r="AJ42" i="7"/>
  <c r="AV72" i="8"/>
  <c r="AU23" i="7" s="1"/>
  <c r="N23" i="7"/>
  <c r="N39" i="7"/>
  <c r="AZ72" i="8"/>
  <c r="AY23" i="7" s="1"/>
  <c r="AW72" i="8"/>
  <c r="AV23" i="7" s="1"/>
  <c r="AM23" i="7"/>
  <c r="AM39" i="7"/>
  <c r="AD34" i="7"/>
  <c r="AE34" i="7"/>
  <c r="AR24" i="7"/>
  <c r="AS76" i="8"/>
  <c r="AR26" i="7" s="1"/>
  <c r="AM26" i="4" s="1" a="1"/>
  <c r="AM26" i="4" s="1"/>
  <c r="BA24" i="7"/>
  <c r="BB76" i="8"/>
  <c r="BA26" i="7" s="1"/>
  <c r="AV26" i="4" s="1" a="1"/>
  <c r="AV26" i="4" s="1"/>
  <c r="BB9" i="7"/>
  <c r="BC76" i="8"/>
  <c r="BB26" i="7" s="1"/>
  <c r="AW26" i="4" s="1" a="1"/>
  <c r="AW26" i="4" s="1"/>
  <c r="Q76" i="8"/>
  <c r="P26" i="7" s="1"/>
  <c r="K26" i="4" s="1" a="1"/>
  <c r="K26" i="4" s="1"/>
  <c r="P9" i="7"/>
  <c r="AA9" i="7"/>
  <c r="AB76" i="8"/>
  <c r="AA26" i="7" s="1"/>
  <c r="V26" i="4" s="1" a="1"/>
  <c r="V26" i="4" s="1"/>
  <c r="AH78" i="8"/>
  <c r="AB23" i="7"/>
  <c r="AB39" i="7"/>
  <c r="M61" i="8"/>
  <c r="N64" i="8"/>
  <c r="M15" i="7" s="1"/>
  <c r="T77" i="8"/>
  <c r="V36" i="7"/>
  <c r="P39" i="7"/>
  <c r="AX77" i="8"/>
  <c r="U37" i="7"/>
  <c r="P8" i="4" s="1" a="1"/>
  <c r="P8" i="4" s="1"/>
  <c r="U36" i="7"/>
  <c r="X29" i="7"/>
  <c r="X42" i="7"/>
  <c r="BF86" i="8"/>
  <c r="AF40" i="7"/>
  <c r="AF39" i="7"/>
  <c r="AO42" i="7"/>
  <c r="Q23" i="7"/>
  <c r="Q39" i="7"/>
  <c r="BC72" i="8"/>
  <c r="BB23" i="7" s="1"/>
  <c r="AD36" i="7"/>
  <c r="Z9" i="7"/>
  <c r="AA76" i="8"/>
  <c r="Z26" i="7" s="1"/>
  <c r="U26" i="4" s="1" a="1"/>
  <c r="U26" i="4" s="1"/>
  <c r="R9" i="7"/>
  <c r="S76" i="8"/>
  <c r="R26" i="7" s="1"/>
  <c r="M26" i="4" s="1" a="1"/>
  <c r="M26" i="4" s="1"/>
  <c r="N3" i="7"/>
  <c r="AG78" i="8"/>
  <c r="BA77" i="8"/>
  <c r="K61" i="8"/>
  <c r="AD50" i="8"/>
  <c r="AC2" i="7" s="1"/>
  <c r="AD2" i="7"/>
  <c r="AC50" i="8"/>
  <c r="AB2" i="7" s="1"/>
  <c r="AG50" i="8"/>
  <c r="AF2" i="7" s="1"/>
  <c r="AA50" i="8"/>
  <c r="Z2" i="7" s="1"/>
  <c r="AH50" i="8"/>
  <c r="AG2" i="7" s="1"/>
  <c r="AB50" i="8"/>
  <c r="AA2" i="7" s="1"/>
  <c r="AI50" i="8"/>
  <c r="AH2" i="7" s="1"/>
  <c r="AF50" i="8"/>
  <c r="AE2" i="7" s="1"/>
  <c r="AH36" i="7"/>
  <c r="AH11" i="7"/>
  <c r="AS77" i="8"/>
  <c r="D94" i="4"/>
  <c r="O6" i="5"/>
  <c r="AT94" i="4"/>
  <c r="Y94" i="4"/>
  <c r="AJ94" i="4"/>
  <c r="AI94" i="4"/>
  <c r="AD94" i="4"/>
  <c r="AM94" i="4"/>
  <c r="AH94" i="4"/>
  <c r="AW94" i="4"/>
  <c r="AL94" i="4"/>
  <c r="AV94" i="4"/>
  <c r="AA94" i="4"/>
  <c r="AQ94" i="4"/>
  <c r="AF94" i="4"/>
  <c r="U94" i="4"/>
  <c r="M94" i="1" l="1"/>
  <c r="G6" i="26"/>
  <c r="G7" i="26" s="1"/>
  <c r="G12" i="26" s="1"/>
  <c r="G15" i="26" s="1"/>
  <c r="G8" i="26"/>
  <c r="F6" i="26"/>
  <c r="F7" i="26" s="1"/>
  <c r="F12" i="26" s="1"/>
  <c r="F15" i="26" s="1"/>
  <c r="E94" i="4"/>
  <c r="E87" i="4"/>
  <c r="AJ71" i="4"/>
  <c r="AJ74" i="4" s="1"/>
  <c r="AI71" i="4"/>
  <c r="AI74" i="4" s="1"/>
  <c r="AK71" i="4"/>
  <c r="AK74" i="4" s="1"/>
  <c r="AD71" i="4"/>
  <c r="AD74" i="4" s="1"/>
  <c r="AL71" i="4"/>
  <c r="AL74" i="4" s="1"/>
  <c r="AN71" i="4"/>
  <c r="AN74" i="4" s="1"/>
  <c r="AH71" i="4"/>
  <c r="AH74" i="4" s="1"/>
  <c r="AE71" i="4"/>
  <c r="AE74" i="4" s="1"/>
  <c r="AM71" i="4"/>
  <c r="AM74" i="4" s="1"/>
  <c r="AF71" i="4"/>
  <c r="AF74" i="4" s="1"/>
  <c r="AG71" i="4"/>
  <c r="AG74" i="4" s="1"/>
  <c r="S71" i="4"/>
  <c r="S74" i="4" s="1"/>
  <c r="R71" i="4"/>
  <c r="R74" i="4" s="1"/>
  <c r="K71" i="4"/>
  <c r="K74" i="4" s="1"/>
  <c r="O71" i="4"/>
  <c r="O74" i="4" s="1"/>
  <c r="M71" i="4"/>
  <c r="M74" i="4" s="1"/>
  <c r="P71" i="4"/>
  <c r="P74" i="4" s="1"/>
  <c r="T71" i="4"/>
  <c r="T74" i="4" s="1"/>
  <c r="Q71" i="4"/>
  <c r="Q74" i="4" s="1"/>
  <c r="J71" i="4"/>
  <c r="J74" i="4" s="1"/>
  <c r="N71" i="4"/>
  <c r="N74" i="4" s="1"/>
  <c r="L71" i="4"/>
  <c r="L74" i="4" s="1"/>
  <c r="J108" i="4"/>
  <c r="N108" i="4"/>
  <c r="Q108" i="4"/>
  <c r="P108" i="4"/>
  <c r="S108" i="4"/>
  <c r="L108" i="4"/>
  <c r="K108" i="4"/>
  <c r="AI108" i="4"/>
  <c r="AE108" i="4"/>
  <c r="V8" i="4" a="1"/>
  <c r="V8" i="4" s="1"/>
  <c r="V71" i="4"/>
  <c r="V74" i="4" s="1"/>
  <c r="AA8" i="4" a="1"/>
  <c r="AA8" i="4" s="1"/>
  <c r="AA71" i="4"/>
  <c r="AA74" i="4" s="1"/>
  <c r="AB8" i="4" a="1"/>
  <c r="AB8" i="4" s="1"/>
  <c r="AB71" i="4"/>
  <c r="AB74" i="4" s="1"/>
  <c r="X8" i="4" a="1"/>
  <c r="X8" i="4" s="1"/>
  <c r="X71" i="4"/>
  <c r="X74" i="4" s="1"/>
  <c r="AC8" i="4" a="1"/>
  <c r="AC8" i="4" s="1"/>
  <c r="AC71" i="4"/>
  <c r="AC74" i="4" s="1"/>
  <c r="W8" i="4" a="1"/>
  <c r="W8" i="4" s="1"/>
  <c r="W71" i="4"/>
  <c r="W74" i="4" s="1"/>
  <c r="Z8" i="4" a="1"/>
  <c r="Z8" i="4" s="1"/>
  <c r="Z71" i="4"/>
  <c r="Z74" i="4" s="1"/>
  <c r="Y8" i="4" a="1"/>
  <c r="Y8" i="4" s="1"/>
  <c r="Y71" i="4"/>
  <c r="Y74" i="4" s="1"/>
  <c r="U8" i="4" a="1"/>
  <c r="U8" i="4" s="1"/>
  <c r="U71" i="4"/>
  <c r="U74" i="4" s="1"/>
  <c r="E71" i="4"/>
  <c r="E74" i="4" s="1"/>
  <c r="F8" i="4" a="1"/>
  <c r="F8" i="4" s="1"/>
  <c r="F71" i="4"/>
  <c r="F74" i="4" s="1"/>
  <c r="G8" i="4" a="1"/>
  <c r="G8" i="4" s="1"/>
  <c r="G71" i="4"/>
  <c r="G74" i="4" s="1"/>
  <c r="F10" i="4" a="1"/>
  <c r="F10" i="4" s="1"/>
  <c r="P94" i="4" s="1"/>
  <c r="H8" i="4" a="1"/>
  <c r="H8" i="4" s="1"/>
  <c r="H71" i="4"/>
  <c r="H74" i="4" s="1"/>
  <c r="L103" i="1"/>
  <c r="K90" i="8"/>
  <c r="L90" i="8"/>
  <c r="M90" i="8"/>
  <c r="N90" i="8"/>
  <c r="O84" i="8"/>
  <c r="D8" i="4" a="1"/>
  <c r="D8" i="4" s="1"/>
  <c r="Q36" i="7"/>
  <c r="K26" i="7"/>
  <c r="F26" i="4" s="1" a="1"/>
  <c r="F26" i="4" s="1"/>
  <c r="J37" i="7"/>
  <c r="M37" i="7"/>
  <c r="H5" i="26" s="1"/>
  <c r="J26" i="7"/>
  <c r="E26" i="4" s="1" a="1"/>
  <c r="E26" i="4" s="1"/>
  <c r="L26" i="7"/>
  <c r="G26" i="4" s="1" a="1"/>
  <c r="G26" i="4" s="1"/>
  <c r="M26" i="7"/>
  <c r="P12" i="7"/>
  <c r="K40" i="7"/>
  <c r="K39" i="7"/>
  <c r="AP12" i="7"/>
  <c r="J12" i="7"/>
  <c r="AM12" i="7"/>
  <c r="R12" i="7"/>
  <c r="AR11" i="7"/>
  <c r="AR36" i="7"/>
  <c r="U12" i="7"/>
  <c r="J40" i="7"/>
  <c r="J39" i="7"/>
  <c r="AQ12" i="7"/>
  <c r="V12" i="7"/>
  <c r="M39" i="7"/>
  <c r="M40" i="7"/>
  <c r="AO12" i="7"/>
  <c r="AK12" i="7"/>
  <c r="L12" i="7"/>
  <c r="X12" i="7"/>
  <c r="L40" i="7"/>
  <c r="L39" i="7"/>
  <c r="AQ36" i="7"/>
  <c r="AQ11" i="7"/>
  <c r="AP36" i="7"/>
  <c r="AP11" i="7"/>
  <c r="W12" i="7"/>
  <c r="AR12" i="7"/>
  <c r="K12" i="7"/>
  <c r="M12" i="7"/>
  <c r="AO36" i="7"/>
  <c r="AO11" i="7"/>
  <c r="N33" i="7"/>
  <c r="N12" i="7"/>
  <c r="Q12" i="7"/>
  <c r="BF50" i="8"/>
  <c r="O2" i="7"/>
  <c r="B49" i="7" s="1"/>
  <c r="N94" i="1" l="1"/>
  <c r="R94" i="4"/>
  <c r="F94" i="4"/>
  <c r="K94" i="4"/>
  <c r="T94" i="4"/>
  <c r="L94" i="4"/>
  <c r="I94" i="4"/>
  <c r="S94" i="4"/>
  <c r="N94" i="4"/>
  <c r="G94" i="4"/>
  <c r="M94" i="4"/>
  <c r="J94" i="4"/>
  <c r="O94" i="4"/>
  <c r="Q94" i="4"/>
  <c r="H94" i="4"/>
  <c r="F8" i="26"/>
  <c r="F16" i="26"/>
  <c r="L97" i="8" s="1"/>
  <c r="K45" i="7" s="1"/>
  <c r="F29" i="26"/>
  <c r="E8" i="4" a="1"/>
  <c r="E8" i="4" s="1"/>
  <c r="E31" i="4" s="1"/>
  <c r="E5" i="26"/>
  <c r="H6" i="26"/>
  <c r="H7" i="26" s="1"/>
  <c r="H12" i="26" s="1"/>
  <c r="H15" i="26" s="1"/>
  <c r="G16" i="26"/>
  <c r="M97" i="8" s="1"/>
  <c r="L45" i="7" s="1"/>
  <c r="G108" i="4" s="1"/>
  <c r="G29" i="26"/>
  <c r="F108" i="4"/>
  <c r="E108" i="4"/>
  <c r="H31" i="4"/>
  <c r="F31" i="4"/>
  <c r="I31" i="4"/>
  <c r="U108" i="4"/>
  <c r="X108" i="4"/>
  <c r="AB108" i="4"/>
  <c r="AA108" i="4"/>
  <c r="W108" i="4"/>
  <c r="Y108" i="4"/>
  <c r="AC108" i="4"/>
  <c r="V108" i="4"/>
  <c r="Z108" i="4"/>
  <c r="AO9" i="4" a="1"/>
  <c r="AO9" i="4" s="1"/>
  <c r="D9" i="4" a="1"/>
  <c r="D9" i="4" s="1"/>
  <c r="F87" i="4"/>
  <c r="I87" i="4"/>
  <c r="U87" i="4"/>
  <c r="S87" i="4"/>
  <c r="T87" i="4"/>
  <c r="Q87" i="4"/>
  <c r="P87" i="4"/>
  <c r="K87" i="4"/>
  <c r="O87" i="4"/>
  <c r="N87" i="4"/>
  <c r="G87" i="4"/>
  <c r="L87" i="4"/>
  <c r="R87" i="4"/>
  <c r="V87" i="4"/>
  <c r="J87" i="4"/>
  <c r="H87" i="4"/>
  <c r="M87" i="4"/>
  <c r="G31" i="4"/>
  <c r="M103" i="1"/>
  <c r="D31" i="4"/>
  <c r="AW9" i="4" a="1"/>
  <c r="AW9" i="4" s="1"/>
  <c r="AQ9" i="4" a="1"/>
  <c r="AQ9" i="4" s="1"/>
  <c r="AN9" i="4" a="1"/>
  <c r="AN9" i="4" s="1"/>
  <c r="AS9" i="4" a="1"/>
  <c r="AS9" i="4" s="1"/>
  <c r="AV9" i="4" a="1"/>
  <c r="AV9" i="4" s="1"/>
  <c r="AX9" i="4" a="1"/>
  <c r="AX9" i="4" s="1"/>
  <c r="AD9" i="4" a="1"/>
  <c r="AD9" i="4" s="1"/>
  <c r="AD109" i="4" s="1"/>
  <c r="AT9" i="4" a="1"/>
  <c r="AT9" i="4" s="1"/>
  <c r="AP9" i="4" a="1"/>
  <c r="AP9" i="4" s="1"/>
  <c r="T9" i="4" a="1"/>
  <c r="T9" i="4" s="1"/>
  <c r="AR9" i="4" a="1"/>
  <c r="AR9" i="4" s="1"/>
  <c r="AU9" i="4" a="1"/>
  <c r="AU9" i="4" s="1"/>
  <c r="Z84" i="8"/>
  <c r="R84" i="8" s="1"/>
  <c r="Q84" i="8"/>
  <c r="O100" i="8"/>
  <c r="S84" i="8"/>
  <c r="P84" i="8"/>
  <c r="U84" i="8"/>
  <c r="AT84" i="8"/>
  <c r="W84" i="8"/>
  <c r="AJ84" i="8"/>
  <c r="H26" i="4" a="1"/>
  <c r="H26" i="4" s="1"/>
  <c r="AA88" i="4"/>
  <c r="AK88" i="4"/>
  <c r="AF88" i="4"/>
  <c r="Z88" i="4"/>
  <c r="AN88" i="4"/>
  <c r="AI88" i="4"/>
  <c r="X88" i="4"/>
  <c r="AH88" i="4"/>
  <c r="AB88" i="4"/>
  <c r="AD88" i="4"/>
  <c r="W88" i="4"/>
  <c r="AG88" i="4"/>
  <c r="Y88" i="4"/>
  <c r="AE88" i="4"/>
  <c r="AM88" i="4"/>
  <c r="AJ88" i="4"/>
  <c r="AL88" i="4"/>
  <c r="AC88" i="4"/>
  <c r="I43" i="4" l="1"/>
  <c r="F43" i="4"/>
  <c r="E96" i="4"/>
  <c r="H46" i="4"/>
  <c r="O94" i="1"/>
  <c r="O105" i="1" s="1"/>
  <c r="E43" i="4"/>
  <c r="E46" i="4"/>
  <c r="F42" i="4"/>
  <c r="F107" i="4" s="1"/>
  <c r="F32" i="26"/>
  <c r="L105" i="1"/>
  <c r="G42" i="4"/>
  <c r="G107" i="4" s="1"/>
  <c r="G32" i="26"/>
  <c r="H8" i="26"/>
  <c r="H29" i="26" s="1"/>
  <c r="H32" i="26" s="1"/>
  <c r="E89" i="4"/>
  <c r="E6" i="26"/>
  <c r="E7" i="26" s="1"/>
  <c r="E12" i="26" s="1"/>
  <c r="E15" i="26" s="1"/>
  <c r="N105" i="1"/>
  <c r="J105" i="1"/>
  <c r="K105" i="1"/>
  <c r="M105" i="1"/>
  <c r="H96" i="4"/>
  <c r="H89" i="4"/>
  <c r="I96" i="4"/>
  <c r="I46" i="4"/>
  <c r="I89" i="4"/>
  <c r="F96" i="4"/>
  <c r="F46" i="4"/>
  <c r="F89" i="4"/>
  <c r="H43" i="4"/>
  <c r="D96" i="4"/>
  <c r="D46" i="4"/>
  <c r="D43" i="4"/>
  <c r="G46" i="4"/>
  <c r="G43" i="4"/>
  <c r="G96" i="4"/>
  <c r="G89" i="4"/>
  <c r="D89" i="4"/>
  <c r="N103" i="1"/>
  <c r="AT11" i="4"/>
  <c r="AT18" i="4"/>
  <c r="AX11" i="4"/>
  <c r="AX18" i="4"/>
  <c r="AU11" i="4"/>
  <c r="AU18" i="4"/>
  <c r="AV11" i="4"/>
  <c r="AV18" i="4"/>
  <c r="AR11" i="4"/>
  <c r="AR18" i="4"/>
  <c r="AS11" i="4"/>
  <c r="AS18" i="4"/>
  <c r="T109" i="4"/>
  <c r="AN109" i="4"/>
  <c r="AO11" i="4"/>
  <c r="AO18" i="4"/>
  <c r="AQ11" i="4"/>
  <c r="AQ18" i="4"/>
  <c r="AP11" i="4"/>
  <c r="AP18" i="4"/>
  <c r="AW11" i="4"/>
  <c r="AW18" i="4"/>
  <c r="R100" i="8"/>
  <c r="Q33" i="7"/>
  <c r="K100" i="8"/>
  <c r="J33" i="7"/>
  <c r="AJ100" i="8"/>
  <c r="AP84" i="8"/>
  <c r="AS84" i="8"/>
  <c r="AQ84" i="8"/>
  <c r="AO84" i="8"/>
  <c r="AR84" i="8"/>
  <c r="AL84" i="8"/>
  <c r="AM84" i="8"/>
  <c r="AK84" i="8"/>
  <c r="AN84" i="8"/>
  <c r="AI33" i="7"/>
  <c r="S100" i="8"/>
  <c r="R33" i="7"/>
  <c r="W100" i="8"/>
  <c r="V33" i="7"/>
  <c r="AT100" i="8"/>
  <c r="AS33" i="7"/>
  <c r="Q100" i="8"/>
  <c r="P33" i="7"/>
  <c r="V84" i="8"/>
  <c r="N100" i="8"/>
  <c r="M33" i="7"/>
  <c r="U100" i="8"/>
  <c r="T33" i="7"/>
  <c r="Z100" i="8"/>
  <c r="AC84" i="8"/>
  <c r="AH84" i="8"/>
  <c r="AF84" i="8"/>
  <c r="AD84" i="8"/>
  <c r="AB84" i="8"/>
  <c r="AE84" i="8"/>
  <c r="AI84" i="8"/>
  <c r="AG84" i="8"/>
  <c r="AA84" i="8"/>
  <c r="Y33" i="7"/>
  <c r="M100" i="8"/>
  <c r="L33" i="7"/>
  <c r="T84" i="8"/>
  <c r="Y84" i="8"/>
  <c r="L100" i="8"/>
  <c r="K33" i="7"/>
  <c r="P100" i="8"/>
  <c r="O33" i="7"/>
  <c r="X84" i="8"/>
  <c r="P94" i="1" l="1"/>
  <c r="P105" i="1" s="1"/>
  <c r="F45" i="4"/>
  <c r="F49" i="4" s="1"/>
  <c r="F33" i="26"/>
  <c r="H45" i="4"/>
  <c r="H33" i="26"/>
  <c r="G45" i="4"/>
  <c r="G49" i="4" s="1"/>
  <c r="G33" i="26"/>
  <c r="H42" i="4"/>
  <c r="H107" i="4" s="1"/>
  <c r="J32" i="26"/>
  <c r="I32" i="26"/>
  <c r="O32" i="26"/>
  <c r="V32" i="26"/>
  <c r="U32" i="26"/>
  <c r="AI32" i="26"/>
  <c r="AB32" i="26"/>
  <c r="R32" i="26"/>
  <c r="W32" i="26"/>
  <c r="AD32" i="26"/>
  <c r="Y32" i="26"/>
  <c r="AE32" i="26"/>
  <c r="AF32" i="26"/>
  <c r="S32" i="26"/>
  <c r="T32" i="26"/>
  <c r="AA32" i="26"/>
  <c r="X32" i="26"/>
  <c r="L32" i="26"/>
  <c r="AG32" i="26"/>
  <c r="P32" i="26"/>
  <c r="AJ32" i="26"/>
  <c r="AC32" i="26"/>
  <c r="Q32" i="26"/>
  <c r="AK32" i="26"/>
  <c r="M32" i="26"/>
  <c r="AH32" i="26"/>
  <c r="Z32" i="26"/>
  <c r="K32" i="26"/>
  <c r="N32" i="26"/>
  <c r="AL32" i="26"/>
  <c r="AN32" i="26"/>
  <c r="AM32" i="26"/>
  <c r="E8" i="26"/>
  <c r="E16" i="26" s="1"/>
  <c r="K97" i="8" s="1"/>
  <c r="E29" i="26"/>
  <c r="H16" i="26"/>
  <c r="N97" i="8" s="1"/>
  <c r="M45" i="7" s="1"/>
  <c r="H108" i="4" s="1"/>
  <c r="M9" i="4" a="1"/>
  <c r="M9" i="4" s="1"/>
  <c r="L9" i="4" a="1"/>
  <c r="L9" i="4" s="1"/>
  <c r="K9" i="4" a="1"/>
  <c r="K9" i="4" s="1"/>
  <c r="O9" i="4" a="1"/>
  <c r="O9" i="4" s="1"/>
  <c r="Q9" i="4" a="1"/>
  <c r="Q9" i="4" s="1"/>
  <c r="J9" i="4" a="1"/>
  <c r="J9" i="4" s="1"/>
  <c r="AW19" i="4"/>
  <c r="AO19" i="4"/>
  <c r="AR19" i="4"/>
  <c r="AT19" i="4"/>
  <c r="AV19" i="4"/>
  <c r="AP19" i="4"/>
  <c r="AU19" i="4"/>
  <c r="AQ19" i="4"/>
  <c r="AS19" i="4"/>
  <c r="AX19" i="4"/>
  <c r="O103" i="1"/>
  <c r="AP13" i="4"/>
  <c r="AU13" i="4"/>
  <c r="AQ13" i="4"/>
  <c r="AS13" i="4"/>
  <c r="AX13" i="4"/>
  <c r="AO13" i="4"/>
  <c r="AR13" i="4"/>
  <c r="AW13" i="4"/>
  <c r="AV13" i="4"/>
  <c r="AT13" i="4"/>
  <c r="AK100" i="8"/>
  <c r="AJ33" i="7"/>
  <c r="AB100" i="8"/>
  <c r="AA33" i="7"/>
  <c r="AM100" i="8"/>
  <c r="AL33" i="7"/>
  <c r="AL100" i="8"/>
  <c r="AK33" i="7"/>
  <c r="AE100" i="8"/>
  <c r="AD33" i="7"/>
  <c r="AR100" i="8"/>
  <c r="AQ33" i="7"/>
  <c r="AD100" i="8"/>
  <c r="AC33" i="7"/>
  <c r="AH100" i="8"/>
  <c r="AG33" i="7"/>
  <c r="AO100" i="8"/>
  <c r="AN33" i="7"/>
  <c r="X100" i="8"/>
  <c r="W33" i="7"/>
  <c r="AC100" i="8"/>
  <c r="AB33" i="7"/>
  <c r="AQ100" i="8"/>
  <c r="AP33" i="7"/>
  <c r="T100" i="8"/>
  <c r="S33" i="7"/>
  <c r="AG100" i="8"/>
  <c r="AF33" i="7"/>
  <c r="V100" i="8"/>
  <c r="U33" i="7"/>
  <c r="AS100" i="8"/>
  <c r="AR33" i="7"/>
  <c r="AF100" i="8"/>
  <c r="AE33" i="7"/>
  <c r="AA100" i="8"/>
  <c r="Z33" i="7"/>
  <c r="Y100" i="8"/>
  <c r="X33" i="7"/>
  <c r="AI100" i="8"/>
  <c r="AH33" i="7"/>
  <c r="AN100" i="8"/>
  <c r="AM33" i="7"/>
  <c r="AP100" i="8"/>
  <c r="AO33" i="7"/>
  <c r="E42" i="4" l="1"/>
  <c r="E107" i="4" s="1"/>
  <c r="E32" i="26"/>
  <c r="H50" i="4"/>
  <c r="H49" i="4"/>
  <c r="H106" i="4" s="1"/>
  <c r="G50" i="4"/>
  <c r="G102" i="4" s="1"/>
  <c r="F106" i="4"/>
  <c r="G106" i="4"/>
  <c r="Q94" i="1"/>
  <c r="Q105" i="1" s="1"/>
  <c r="AH45" i="4"/>
  <c r="AH33" i="26"/>
  <c r="L45" i="4"/>
  <c r="L33" i="26"/>
  <c r="AD45" i="4"/>
  <c r="AD33" i="26"/>
  <c r="I45" i="4"/>
  <c r="I33" i="26"/>
  <c r="AG45" i="4"/>
  <c r="AG33" i="26"/>
  <c r="M45" i="4"/>
  <c r="M33" i="26"/>
  <c r="X45" i="4"/>
  <c r="X33" i="26"/>
  <c r="W45" i="4"/>
  <c r="W33" i="26"/>
  <c r="J45" i="4"/>
  <c r="J33" i="26"/>
  <c r="AM45" i="4"/>
  <c r="AM33" i="26"/>
  <c r="AK45" i="4"/>
  <c r="AK33" i="26"/>
  <c r="AA45" i="4"/>
  <c r="AA33" i="26"/>
  <c r="R45" i="4"/>
  <c r="R33" i="26"/>
  <c r="O45" i="4"/>
  <c r="O49" i="4" s="1"/>
  <c r="O33" i="26"/>
  <c r="AN45" i="4"/>
  <c r="AN33" i="26"/>
  <c r="Q45" i="4"/>
  <c r="Q33" i="26"/>
  <c r="T45" i="4"/>
  <c r="T33" i="26"/>
  <c r="AB45" i="4"/>
  <c r="AB33" i="26"/>
  <c r="Y45" i="4"/>
  <c r="Y33" i="26"/>
  <c r="AL45" i="4"/>
  <c r="AL33" i="26"/>
  <c r="AC45" i="4"/>
  <c r="AC33" i="26"/>
  <c r="S45" i="4"/>
  <c r="S33" i="26"/>
  <c r="AI45" i="4"/>
  <c r="AI33" i="26"/>
  <c r="N45" i="4"/>
  <c r="N33" i="26"/>
  <c r="AJ45" i="4"/>
  <c r="AJ33" i="26"/>
  <c r="AF45" i="4"/>
  <c r="AF33" i="26"/>
  <c r="U45" i="4"/>
  <c r="U33" i="26"/>
  <c r="Z45" i="4"/>
  <c r="Z33" i="26"/>
  <c r="K45" i="4"/>
  <c r="K33" i="26"/>
  <c r="P45" i="4"/>
  <c r="P33" i="26"/>
  <c r="AE45" i="4"/>
  <c r="AE33" i="26"/>
  <c r="V45" i="4"/>
  <c r="V33" i="26"/>
  <c r="J97" i="8"/>
  <c r="J45" i="7"/>
  <c r="J109" i="4"/>
  <c r="L109" i="4"/>
  <c r="Q109" i="4"/>
  <c r="O109" i="4"/>
  <c r="M109" i="4"/>
  <c r="AK9" i="4" a="1"/>
  <c r="AK9" i="4" s="1"/>
  <c r="R9" i="4" a="1"/>
  <c r="R9" i="4" s="1"/>
  <c r="P9" i="4" a="1"/>
  <c r="P9" i="4" s="1"/>
  <c r="X9" i="4" a="1"/>
  <c r="X9" i="4" s="1"/>
  <c r="AC9" i="4" a="1"/>
  <c r="AC9" i="4" s="1"/>
  <c r="AF9" i="4" a="1"/>
  <c r="AF9" i="4" s="1"/>
  <c r="AI9" i="4" a="1"/>
  <c r="AI9" i="4" s="1"/>
  <c r="AE9" i="4" a="1"/>
  <c r="AE9" i="4" s="1"/>
  <c r="AJ9" i="4" a="1"/>
  <c r="AJ9" i="4" s="1"/>
  <c r="AL9" i="4" a="1"/>
  <c r="AL9" i="4" s="1"/>
  <c r="S9" i="4" a="1"/>
  <c r="S9" i="4" s="1"/>
  <c r="W9" i="4" a="1"/>
  <c r="W9" i="4" s="1"/>
  <c r="AG9" i="4" a="1"/>
  <c r="AG9" i="4" s="1"/>
  <c r="AM9" i="4" a="1"/>
  <c r="AM9" i="4" s="1"/>
  <c r="AB9" i="4" a="1"/>
  <c r="AB9" i="4" s="1"/>
  <c r="U9" i="4" a="1"/>
  <c r="U9" i="4" s="1"/>
  <c r="V9" i="4" a="1"/>
  <c r="V9" i="4" s="1"/>
  <c r="V109" i="4" s="1"/>
  <c r="Z9" i="4" a="1"/>
  <c r="Z9" i="4" s="1"/>
  <c r="AA9" i="4" a="1"/>
  <c r="AA9" i="4" s="1"/>
  <c r="AH9" i="4" a="1"/>
  <c r="AH9" i="4" s="1"/>
  <c r="N9" i="4" a="1"/>
  <c r="N9" i="4" s="1"/>
  <c r="Y9" i="4" a="1"/>
  <c r="Y9" i="4" s="1"/>
  <c r="P103" i="1"/>
  <c r="AR14" i="4"/>
  <c r="AR109" i="4"/>
  <c r="AQ14" i="4"/>
  <c r="AQ109" i="4"/>
  <c r="AW14" i="4"/>
  <c r="AW109" i="4"/>
  <c r="AO109" i="4"/>
  <c r="AU14" i="4"/>
  <c r="AU109" i="4"/>
  <c r="AT14" i="4"/>
  <c r="AT109" i="4"/>
  <c r="AX109" i="4"/>
  <c r="AX14" i="4"/>
  <c r="AV109" i="4"/>
  <c r="AV14" i="4"/>
  <c r="AS109" i="4"/>
  <c r="AS14" i="4"/>
  <c r="AP109" i="4"/>
  <c r="AP14" i="4"/>
  <c r="D88" i="4"/>
  <c r="D90" i="4" s="1"/>
  <c r="E45" i="4" l="1"/>
  <c r="E33" i="26"/>
  <c r="I49" i="4"/>
  <c r="I106" i="4" s="1"/>
  <c r="F50" i="4"/>
  <c r="F102" i="4" s="1"/>
  <c r="R94" i="1"/>
  <c r="R105" i="1" s="1"/>
  <c r="H102" i="4"/>
  <c r="T34" i="26"/>
  <c r="I45" i="7"/>
  <c r="I97" i="8"/>
  <c r="D75" i="4"/>
  <c r="F25" i="13" s="1"/>
  <c r="H25" i="13" s="1"/>
  <c r="R109" i="4"/>
  <c r="U109" i="4"/>
  <c r="AG109" i="4"/>
  <c r="AH109" i="4"/>
  <c r="AF109" i="4"/>
  <c r="K109" i="4"/>
  <c r="Y109" i="4"/>
  <c r="AJ109" i="4"/>
  <c r="AA109" i="4"/>
  <c r="W109" i="4"/>
  <c r="AE109" i="4"/>
  <c r="S109" i="4"/>
  <c r="AI109" i="4"/>
  <c r="Z109" i="4"/>
  <c r="AL109" i="4"/>
  <c r="AD95" i="4"/>
  <c r="U95" i="4"/>
  <c r="AU95" i="4"/>
  <c r="Y95" i="4"/>
  <c r="U88" i="4"/>
  <c r="V88" i="4"/>
  <c r="AH95" i="4"/>
  <c r="AC95" i="4"/>
  <c r="AA95" i="4"/>
  <c r="AB95" i="4"/>
  <c r="AQ95" i="4"/>
  <c r="AJ95" i="4"/>
  <c r="X95" i="4"/>
  <c r="AG95" i="4"/>
  <c r="AI95" i="4"/>
  <c r="AV95" i="4"/>
  <c r="AS95" i="4"/>
  <c r="Z95" i="4"/>
  <c r="AX95" i="4"/>
  <c r="AK95" i="4"/>
  <c r="AN95" i="4"/>
  <c r="D95" i="4"/>
  <c r="D97" i="4" s="1"/>
  <c r="AL95" i="4"/>
  <c r="AP95" i="4"/>
  <c r="O7" i="5"/>
  <c r="W95" i="4"/>
  <c r="V95" i="4"/>
  <c r="AO95" i="4"/>
  <c r="AF95" i="4"/>
  <c r="AW95" i="4"/>
  <c r="AM95" i="4"/>
  <c r="AR95" i="4"/>
  <c r="AT95" i="4"/>
  <c r="AE95" i="4"/>
  <c r="Q103" i="1"/>
  <c r="I50" i="4" l="1"/>
  <c r="I102" i="4" s="1"/>
  <c r="E49" i="4"/>
  <c r="E106" i="4" s="1"/>
  <c r="E50" i="4"/>
  <c r="E102" i="4" s="1"/>
  <c r="S94" i="1"/>
  <c r="S105" i="1" s="1"/>
  <c r="D108" i="4"/>
  <c r="AT45" i="7"/>
  <c r="AC109" i="4"/>
  <c r="N109" i="4"/>
  <c r="X109" i="4"/>
  <c r="AB109" i="4"/>
  <c r="P109" i="4"/>
  <c r="R103" i="1"/>
  <c r="AM109" i="4" l="1"/>
  <c r="AK109" i="4"/>
  <c r="T94" i="1"/>
  <c r="T105" i="1" s="1"/>
  <c r="S103" i="1"/>
  <c r="U94" i="1" l="1"/>
  <c r="U105" i="1" s="1"/>
  <c r="D106" i="4"/>
  <c r="D102" i="4"/>
  <c r="T103" i="1"/>
  <c r="V94" i="1" l="1"/>
  <c r="V105" i="1" s="1"/>
  <c r="U103" i="1"/>
  <c r="W94" i="1" l="1"/>
  <c r="W105" i="1" s="1"/>
  <c r="V103" i="1"/>
  <c r="X94" i="1" l="1"/>
  <c r="X105" i="1" s="1"/>
  <c r="W103" i="1"/>
  <c r="Y94" i="1" l="1"/>
  <c r="Y105" i="1" s="1"/>
  <c r="X103" i="1"/>
  <c r="Z94" i="1" l="1"/>
  <c r="Y103" i="1"/>
  <c r="AA94" i="1" l="1"/>
  <c r="Z105" i="1"/>
  <c r="Z103" i="1"/>
  <c r="AB94" i="1" l="1"/>
  <c r="AA105" i="1"/>
  <c r="AA103" i="1"/>
  <c r="AA104" i="1" s="1"/>
  <c r="AC94" i="1" l="1"/>
  <c r="AA106" i="1"/>
  <c r="AB105" i="1"/>
  <c r="AB103" i="1"/>
  <c r="AB104" i="1" s="1"/>
  <c r="AD94" i="1" l="1"/>
  <c r="AB106" i="1"/>
  <c r="AC105" i="1"/>
  <c r="AC103" i="1"/>
  <c r="AC104" i="1" s="1"/>
  <c r="AC106" i="1" l="1"/>
  <c r="AD105" i="1"/>
  <c r="AD103" i="1"/>
  <c r="AD104" i="1" s="1"/>
  <c r="AD106" i="1" l="1"/>
  <c r="Q104" i="1" l="1"/>
  <c r="Q106" i="1" s="1"/>
  <c r="J104" i="1"/>
  <c r="J106" i="1" s="1"/>
  <c r="O104" i="1"/>
  <c r="O106" i="1" s="1"/>
  <c r="Y104" i="1"/>
  <c r="Y106" i="1" s="1"/>
  <c r="S104" i="1" l="1"/>
  <c r="S106" i="1" s="1"/>
  <c r="T104" i="1"/>
  <c r="T106" i="1" s="1"/>
  <c r="X104" i="1"/>
  <c r="X106" i="1" s="1"/>
  <c r="W104" i="1"/>
  <c r="W106" i="1" s="1"/>
  <c r="Z104" i="1"/>
  <c r="Z106" i="1" s="1"/>
  <c r="M104" i="1"/>
  <c r="M106" i="1" s="1"/>
  <c r="N104" i="1"/>
  <c r="N106" i="1" s="1"/>
  <c r="K104" i="1"/>
  <c r="K106" i="1" s="1"/>
  <c r="L104" i="1"/>
  <c r="L106" i="1" s="1"/>
  <c r="U104" i="1"/>
  <c r="U106" i="1" s="1"/>
  <c r="P104" i="1"/>
  <c r="P106" i="1" s="1"/>
  <c r="R104" i="1"/>
  <c r="R106" i="1" s="1"/>
  <c r="V104" i="1"/>
  <c r="V106" i="1" s="1"/>
  <c r="N36" i="7" l="1"/>
  <c r="I9" i="4" a="1"/>
  <c r="I9" i="4" s="1"/>
  <c r="F9" i="4" l="1" a="1"/>
  <c r="F9" i="4" s="1"/>
  <c r="E9" i="4" a="1"/>
  <c r="E9" i="4" s="1"/>
  <c r="I109" i="4" l="1"/>
  <c r="E109" i="4"/>
  <c r="H9" i="4" a="1"/>
  <c r="H9" i="4" s="1"/>
  <c r="G9" i="4" a="1"/>
  <c r="G9" i="4" s="1"/>
  <c r="F109" i="4" l="1"/>
  <c r="E88" i="4"/>
  <c r="E90" i="4" s="1"/>
  <c r="F95" i="4"/>
  <c r="F97" i="4" s="1"/>
  <c r="F88" i="4"/>
  <c r="F90" i="4" s="1"/>
  <c r="E95" i="4"/>
  <c r="E97" i="4" s="1"/>
  <c r="G88" i="4"/>
  <c r="G90" i="4" s="1"/>
  <c r="BF96" i="8"/>
  <c r="I96" i="8"/>
  <c r="G95" i="4" l="1"/>
  <c r="G97" i="4" s="1"/>
  <c r="H109" i="4"/>
  <c r="G109" i="4"/>
  <c r="S95" i="4"/>
  <c r="P95" i="4"/>
  <c r="R95" i="4"/>
  <c r="K88" i="4"/>
  <c r="J95" i="4"/>
  <c r="N95" i="4"/>
  <c r="H95" i="4"/>
  <c r="H97" i="4" s="1"/>
  <c r="O95" i="4"/>
  <c r="T95" i="4"/>
  <c r="M88" i="4"/>
  <c r="Q95" i="4"/>
  <c r="O88" i="4"/>
  <c r="S88" i="4"/>
  <c r="K95" i="4"/>
  <c r="H88" i="4"/>
  <c r="H90" i="4" s="1"/>
  <c r="J88" i="4"/>
  <c r="L88" i="4"/>
  <c r="P88" i="4"/>
  <c r="L95" i="4"/>
  <c r="T88" i="4"/>
  <c r="N88" i="4"/>
  <c r="Q88" i="4"/>
  <c r="I88" i="4"/>
  <c r="I90" i="4" s="1"/>
  <c r="I95" i="4"/>
  <c r="I97" i="4" s="1"/>
  <c r="M95" i="4"/>
  <c r="R88" i="4"/>
  <c r="I44" i="7"/>
  <c r="D69" i="4" s="1" a="1"/>
  <c r="D10" i="4" a="1"/>
  <c r="D10" i="4" s="1"/>
  <c r="AT44" i="7" l="1"/>
  <c r="AO10" i="4" s="1" a="1"/>
  <c r="AO10" i="4" s="1"/>
  <c r="AO12" i="4" s="1"/>
  <c r="AU20" i="4"/>
  <c r="AQ20" i="4"/>
  <c r="AR20" i="4"/>
  <c r="AT20" i="4"/>
  <c r="AV20" i="4"/>
  <c r="AP20" i="4"/>
  <c r="AS20" i="4"/>
  <c r="AX20" i="4"/>
  <c r="AW20" i="4"/>
  <c r="AO20" i="4" l="1"/>
  <c r="AO108" i="4"/>
  <c r="AO14" i="4"/>
  <c r="AD100" i="1" l="1"/>
  <c r="M100" i="1"/>
  <c r="U100" i="1"/>
  <c r="R100" i="1"/>
  <c r="AB100" i="1"/>
  <c r="AC100" i="1"/>
  <c r="L100" i="1"/>
  <c r="S100" i="1"/>
  <c r="J100" i="1"/>
  <c r="P100" i="1"/>
  <c r="X100" i="1"/>
  <c r="AA100" i="1"/>
  <c r="N100" i="1"/>
  <c r="W100" i="1"/>
  <c r="O100" i="1"/>
  <c r="V100" i="1"/>
  <c r="T100" i="1"/>
  <c r="Y100" i="1"/>
  <c r="Z100" i="1"/>
  <c r="Q100" i="1"/>
  <c r="K100" i="1"/>
  <c r="J96" i="1" l="1"/>
  <c r="K96" i="1" l="1"/>
  <c r="L96" i="1" l="1"/>
  <c r="M96" i="1"/>
  <c r="N96" i="1" l="1"/>
  <c r="O96" i="1" l="1"/>
  <c r="P96" i="1" l="1"/>
  <c r="Q96" i="1"/>
  <c r="T96" i="1" l="1"/>
  <c r="R96" i="1" l="1"/>
  <c r="AA96" i="1"/>
  <c r="U96" i="1"/>
  <c r="V96" i="1" l="1"/>
  <c r="Z96" i="1"/>
  <c r="S96" i="1"/>
  <c r="X96" i="1"/>
  <c r="W96" i="1"/>
  <c r="Y96" i="1"/>
  <c r="AB96" i="1"/>
  <c r="AC96" i="1"/>
  <c r="AD96" i="1"/>
  <c r="T31" i="4" l="1"/>
  <c r="Q31" i="4"/>
  <c r="K31" i="4"/>
  <c r="AC31" i="4"/>
  <c r="AE31" i="4"/>
  <c r="L31" i="4"/>
  <c r="Y31" i="4"/>
  <c r="W31" i="4"/>
  <c r="AA31" i="4"/>
  <c r="X31" i="4"/>
  <c r="U31" i="4"/>
  <c r="AN31" i="4"/>
  <c r="AL31" i="4"/>
  <c r="M31" i="4"/>
  <c r="AI31" i="4"/>
  <c r="AM31" i="4"/>
  <c r="AB31" i="4"/>
  <c r="V31" i="4"/>
  <c r="AK31" i="4"/>
  <c r="S31" i="4"/>
  <c r="AF31" i="4"/>
  <c r="Z31" i="4"/>
  <c r="P31" i="4"/>
  <c r="J31" i="4"/>
  <c r="AG31" i="4"/>
  <c r="AH31" i="4"/>
  <c r="R31" i="4"/>
  <c r="AJ31" i="4"/>
  <c r="AD31" i="4"/>
  <c r="Y96" i="4" l="1"/>
  <c r="K43" i="4"/>
  <c r="S96" i="4"/>
  <c r="AH96" i="4"/>
  <c r="AK96" i="4"/>
  <c r="AL43" i="4"/>
  <c r="L97" i="4"/>
  <c r="R43" i="4"/>
  <c r="AN90" i="4"/>
  <c r="AG96" i="4"/>
  <c r="V89" i="4"/>
  <c r="U97" i="4"/>
  <c r="J90" i="4"/>
  <c r="AE89" i="4"/>
  <c r="P97" i="4"/>
  <c r="AB97" i="4"/>
  <c r="AM90" i="4"/>
  <c r="AC97" i="4"/>
  <c r="Q96" i="4"/>
  <c r="AD43" i="4"/>
  <c r="AF89" i="4"/>
  <c r="AI96" i="4"/>
  <c r="T97" i="4"/>
  <c r="T43" i="4"/>
  <c r="T96" i="4"/>
  <c r="T89" i="4"/>
  <c r="T90" i="4"/>
  <c r="AH97" i="4"/>
  <c r="AB43" i="4"/>
  <c r="AJ96" i="4"/>
  <c r="AB89" i="4"/>
  <c r="AB90" i="4"/>
  <c r="AJ89" i="4"/>
  <c r="AN97" i="4"/>
  <c r="V90" i="4"/>
  <c r="AC89" i="4"/>
  <c r="AJ97" i="4"/>
  <c r="V96" i="4"/>
  <c r="AM43" i="4"/>
  <c r="R90" i="4"/>
  <c r="AM97" i="4"/>
  <c r="M43" i="4"/>
  <c r="AL90" i="4"/>
  <c r="AH89" i="4"/>
  <c r="W96" i="4"/>
  <c r="AE97" i="4"/>
  <c r="AJ90" i="4"/>
  <c r="AG89" i="4"/>
  <c r="M96" i="4"/>
  <c r="M90" i="4"/>
  <c r="U89" i="4"/>
  <c r="L89" i="4"/>
  <c r="Q89" i="4"/>
  <c r="AK97" i="4"/>
  <c r="V97" i="4"/>
  <c r="W97" i="4"/>
  <c r="Y43" i="4"/>
  <c r="AI43" i="4"/>
  <c r="W43" i="4"/>
  <c r="V43" i="4"/>
  <c r="AI90" i="4"/>
  <c r="W90" i="4"/>
  <c r="R97" i="4"/>
  <c r="J97" i="4"/>
  <c r="W89" i="4"/>
  <c r="L43" i="4"/>
  <c r="K90" i="4"/>
  <c r="Q43" i="4"/>
  <c r="AD96" i="4"/>
  <c r="AF90" i="4"/>
  <c r="S89" i="4"/>
  <c r="AA90" i="4"/>
  <c r="AD90" i="4"/>
  <c r="P96" i="4"/>
  <c r="AF43" i="4"/>
  <c r="S43" i="4"/>
  <c r="U43" i="4"/>
  <c r="AA96" i="4"/>
  <c r="P43" i="4"/>
  <c r="AF96" i="4"/>
  <c r="AA43" i="4"/>
  <c r="AD89" i="4"/>
  <c r="P89" i="4"/>
  <c r="AD97" i="4"/>
  <c r="R96" i="4"/>
  <c r="P90" i="4"/>
  <c r="AF97" i="4"/>
  <c r="S90" i="4"/>
  <c r="U96" i="4"/>
  <c r="AA89" i="4"/>
  <c r="Y90" i="4"/>
  <c r="L96" i="4"/>
  <c r="AC90" i="4"/>
  <c r="Y89" i="4"/>
  <c r="AC96" i="4"/>
  <c r="M89" i="4"/>
  <c r="Y97" i="4"/>
  <c r="L90" i="4"/>
  <c r="AC43" i="4"/>
  <c r="Q90" i="4"/>
  <c r="M97" i="4"/>
  <c r="K96" i="4"/>
  <c r="Q97" i="4"/>
  <c r="AJ43" i="4"/>
  <c r="R89" i="4"/>
  <c r="AH43" i="4"/>
  <c r="AG97" i="4"/>
  <c r="S97" i="4"/>
  <c r="AB96" i="4"/>
  <c r="AM89" i="4"/>
  <c r="AI97" i="4"/>
  <c r="AL97" i="4"/>
  <c r="K97" i="4"/>
  <c r="Z96" i="4"/>
  <c r="X89" i="4"/>
  <c r="N96" i="4"/>
  <c r="O89" i="4"/>
  <c r="Z43" i="4"/>
  <c r="X96" i="4"/>
  <c r="N43" i="4"/>
  <c r="O43" i="4"/>
  <c r="J43" i="4"/>
  <c r="Z90" i="4"/>
  <c r="AK90" i="4"/>
  <c r="AN89" i="4"/>
  <c r="X90" i="4"/>
  <c r="AE43" i="4"/>
  <c r="N89" i="4"/>
  <c r="O96" i="4"/>
  <c r="AG43" i="4"/>
  <c r="J96" i="4"/>
  <c r="Z89" i="4"/>
  <c r="AK89" i="4"/>
  <c r="AL89" i="4"/>
  <c r="AN43" i="4"/>
  <c r="X43" i="4"/>
  <c r="AA97" i="4"/>
  <c r="AE96" i="4"/>
  <c r="N90" i="4"/>
  <c r="O97" i="4"/>
  <c r="AH90" i="4"/>
  <c r="AG90" i="4"/>
  <c r="J89" i="4"/>
  <c r="Z97" i="4"/>
  <c r="AK43" i="4"/>
  <c r="AM96" i="4"/>
  <c r="AI89" i="4"/>
  <c r="AL96" i="4"/>
  <c r="AN96" i="4"/>
  <c r="U90" i="4"/>
  <c r="X97" i="4"/>
  <c r="AE90" i="4"/>
  <c r="N97" i="4"/>
  <c r="K89" i="4"/>
  <c r="O90" i="4"/>
  <c r="AB46" i="4"/>
  <c r="AB49" i="4" s="1"/>
  <c r="Z46" i="4"/>
  <c r="Z49" i="4" s="1"/>
  <c r="AD46" i="4"/>
  <c r="AD49" i="4" s="1"/>
  <c r="AG46" i="4"/>
  <c r="AG49" i="4" s="1"/>
  <c r="AC46" i="4"/>
  <c r="AI46" i="4"/>
  <c r="AI49" i="4" s="1"/>
  <c r="Q46" i="4"/>
  <c r="AH46" i="4"/>
  <c r="AH49" i="4" s="1"/>
  <c r="AA46" i="4"/>
  <c r="AA49" i="4" s="1"/>
  <c r="R46" i="4"/>
  <c r="R49" i="4" s="1"/>
  <c r="W46" i="4"/>
  <c r="M46" i="4"/>
  <c r="M49" i="4" s="1"/>
  <c r="AM46" i="4"/>
  <c r="AM49" i="4" s="1"/>
  <c r="K46" i="4"/>
  <c r="K49" i="4" s="1"/>
  <c r="V46" i="4"/>
  <c r="S46" i="4"/>
  <c r="S49" i="4" s="1"/>
  <c r="N46" i="4"/>
  <c r="N49" i="4" s="1"/>
  <c r="AL46" i="4"/>
  <c r="AL49" i="4" s="1"/>
  <c r="U46" i="4"/>
  <c r="Y46" i="4"/>
  <c r="Y49" i="4" s="1"/>
  <c r="J46" i="4"/>
  <c r="X46" i="4"/>
  <c r="X49" i="4" s="1"/>
  <c r="AJ46" i="4"/>
  <c r="AJ49" i="4" s="1"/>
  <c r="L46" i="4"/>
  <c r="AE46" i="4"/>
  <c r="AE49" i="4" s="1"/>
  <c r="D21" i="4"/>
  <c r="AN46" i="4"/>
  <c r="P46" i="4"/>
  <c r="AF46" i="4"/>
  <c r="AF49" i="4" s="1"/>
  <c r="T46" i="4"/>
  <c r="T49" i="4" s="1"/>
  <c r="AR31" i="4"/>
  <c r="AR97" i="4" s="1"/>
  <c r="AX31" i="4"/>
  <c r="AX89" i="4" s="1"/>
  <c r="AQ31" i="4"/>
  <c r="AQ90" i="4" s="1"/>
  <c r="AS31" i="4"/>
  <c r="AS97" i="4" s="1"/>
  <c r="AU31" i="4"/>
  <c r="AU97" i="4" s="1"/>
  <c r="AV31" i="4"/>
  <c r="AV89" i="4" s="1"/>
  <c r="AW31" i="4"/>
  <c r="AW90" i="4" s="1"/>
  <c r="AT31" i="4"/>
  <c r="AT96" i="4" s="1"/>
  <c r="AP31" i="4"/>
  <c r="AP89" i="4" s="1"/>
  <c r="AO31" i="4"/>
  <c r="AO97" i="4" s="1"/>
  <c r="AK46" i="4"/>
  <c r="AK49" i="4" s="1"/>
  <c r="AW96" i="4" l="1"/>
  <c r="AQ89" i="4"/>
  <c r="AO89" i="4"/>
  <c r="AO96" i="4"/>
  <c r="AU89" i="4"/>
  <c r="AW97" i="4"/>
  <c r="AP96" i="4"/>
  <c r="AR96" i="4"/>
  <c r="AS96" i="4"/>
  <c r="AS89" i="4"/>
  <c r="AS90" i="4"/>
  <c r="AX90" i="4"/>
  <c r="AT89" i="4"/>
  <c r="AT90" i="4"/>
  <c r="AR90" i="4"/>
  <c r="AV96" i="4"/>
  <c r="AX96" i="4"/>
  <c r="AW89" i="4"/>
  <c r="AT97" i="4"/>
  <c r="AP97" i="4"/>
  <c r="AV97" i="4"/>
  <c r="AQ96" i="4"/>
  <c r="AU96" i="4"/>
  <c r="AQ97" i="4"/>
  <c r="AR89" i="4"/>
  <c r="AV90" i="4"/>
  <c r="AX97" i="4"/>
  <c r="AU90" i="4"/>
  <c r="AO90" i="4"/>
  <c r="AP90" i="4"/>
  <c r="P49" i="4"/>
  <c r="J49" i="4"/>
  <c r="J106" i="4" s="1"/>
  <c r="AC49" i="4"/>
  <c r="AC50" i="4" s="1"/>
  <c r="AC102" i="4" s="1"/>
  <c r="Q49" i="4"/>
  <c r="Q106" i="4" s="1"/>
  <c r="AN49" i="4"/>
  <c r="AN50" i="4" s="1"/>
  <c r="AN102" i="4" s="1"/>
  <c r="V49" i="4"/>
  <c r="V106" i="4" s="1"/>
  <c r="U49" i="4"/>
  <c r="U106" i="4" s="1"/>
  <c r="W49" i="4"/>
  <c r="W50" i="4" s="1"/>
  <c r="L49" i="4"/>
  <c r="L50" i="4" s="1"/>
  <c r="T106" i="4"/>
  <c r="M50" i="4"/>
  <c r="R50" i="4"/>
  <c r="Z50" i="4"/>
  <c r="Z102" i="4" s="1"/>
  <c r="O50" i="4"/>
  <c r="K50" i="4"/>
  <c r="B32" i="1"/>
  <c r="P50" i="4" l="1"/>
  <c r="D56" i="1"/>
  <c r="P106" i="4"/>
  <c r="J50" i="4"/>
  <c r="J102" i="4" s="1"/>
  <c r="L106" i="4"/>
  <c r="E52" i="4"/>
  <c r="AC106" i="4"/>
  <c r="AN106" i="4"/>
  <c r="Q50" i="4"/>
  <c r="Q102" i="4" s="1"/>
  <c r="U50" i="4"/>
  <c r="U102" i="4" s="1"/>
  <c r="V50" i="4"/>
  <c r="V102" i="4" s="1"/>
  <c r="W106" i="4"/>
  <c r="Y50" i="4"/>
  <c r="Y102" i="4" s="1"/>
  <c r="D52" i="4"/>
  <c r="D110" i="4" s="1"/>
  <c r="S106" i="4"/>
  <c r="S50" i="4"/>
  <c r="S102" i="4" s="1"/>
  <c r="AG106" i="4"/>
  <c r="AG50" i="4"/>
  <c r="AG102" i="4" s="1"/>
  <c r="Z106" i="4"/>
  <c r="M106" i="4"/>
  <c r="AH106" i="4"/>
  <c r="AH50" i="4"/>
  <c r="AH102" i="4" s="1"/>
  <c r="AA106" i="4"/>
  <c r="AA50" i="4"/>
  <c r="AA102" i="4" s="1"/>
  <c r="AL106" i="4"/>
  <c r="AL50" i="4"/>
  <c r="AL102" i="4" s="1"/>
  <c r="AD106" i="4"/>
  <c r="AD50" i="4"/>
  <c r="AD102" i="4" s="1"/>
  <c r="N106" i="4"/>
  <c r="N50" i="4"/>
  <c r="N102" i="4" s="1"/>
  <c r="AE106" i="4"/>
  <c r="AE50" i="4"/>
  <c r="AE102" i="4" s="1"/>
  <c r="AM106" i="4"/>
  <c r="AM50" i="4"/>
  <c r="AM102" i="4" s="1"/>
  <c r="AI106" i="4"/>
  <c r="AI50" i="4"/>
  <c r="AI102" i="4" s="1"/>
  <c r="X106" i="4"/>
  <c r="AC99" i="1" s="1"/>
  <c r="X50" i="4"/>
  <c r="X102" i="4" s="1"/>
  <c r="AF106" i="4"/>
  <c r="AF50" i="4"/>
  <c r="AF102" i="4" s="1"/>
  <c r="AB106" i="4"/>
  <c r="AB50" i="4"/>
  <c r="AB102" i="4" s="1"/>
  <c r="AK106" i="4"/>
  <c r="AK50" i="4"/>
  <c r="AK102" i="4" s="1"/>
  <c r="AJ106" i="4"/>
  <c r="AJ50" i="4"/>
  <c r="AJ102" i="4" s="1"/>
  <c r="F56" i="1"/>
  <c r="T50" i="4"/>
  <c r="R106" i="4"/>
  <c r="K106" i="4"/>
  <c r="Y106" i="4"/>
  <c r="AD99" i="1" s="1"/>
  <c r="O106" i="4"/>
  <c r="Z99" i="1"/>
  <c r="L102" i="4"/>
  <c r="R102" i="4"/>
  <c r="K102" i="4"/>
  <c r="O102" i="4"/>
  <c r="M102" i="4"/>
  <c r="W102" i="4"/>
  <c r="P102" i="4" l="1"/>
  <c r="L95" i="1" s="1"/>
  <c r="L97" i="1" s="1"/>
  <c r="F54" i="1"/>
  <c r="H54" i="1" s="1"/>
  <c r="H56" i="1"/>
  <c r="H99" i="1" s="1"/>
  <c r="O99" i="1"/>
  <c r="J99" i="1"/>
  <c r="N99" i="1"/>
  <c r="Q99" i="1"/>
  <c r="J95" i="1"/>
  <c r="J97" i="1" s="1"/>
  <c r="M99" i="1"/>
  <c r="L99" i="1"/>
  <c r="D51" i="4"/>
  <c r="D103" i="4" s="1"/>
  <c r="P99" i="1"/>
  <c r="K99" i="1"/>
  <c r="Y99" i="1"/>
  <c r="R99" i="1"/>
  <c r="S99" i="1"/>
  <c r="T102" i="4"/>
  <c r="T95" i="1" s="1"/>
  <c r="T97" i="1" s="1"/>
  <c r="J54" i="1"/>
  <c r="U99" i="1"/>
  <c r="W99" i="1"/>
  <c r="J56" i="1"/>
  <c r="V99" i="1"/>
  <c r="X99" i="1"/>
  <c r="T99" i="1"/>
  <c r="AA99" i="1"/>
  <c r="AB99" i="1"/>
  <c r="N95" i="1"/>
  <c r="N101" i="1" s="1"/>
  <c r="K95" i="1"/>
  <c r="K97" i="1" s="1"/>
  <c r="M95" i="1"/>
  <c r="M101" i="1" s="1"/>
  <c r="AA95" i="1"/>
  <c r="Z95" i="1"/>
  <c r="Z101" i="1" s="1"/>
  <c r="W95" i="1"/>
  <c r="W101" i="1" s="1"/>
  <c r="AB95" i="1"/>
  <c r="Y95" i="1"/>
  <c r="Y101" i="1" s="1"/>
  <c r="AD95" i="1"/>
  <c r="AD101" i="1" s="1"/>
  <c r="X95" i="1"/>
  <c r="X97" i="1" s="1"/>
  <c r="AC95" i="1"/>
  <c r="AC97" i="1" s="1"/>
  <c r="O95" i="1" l="1"/>
  <c r="O97" i="1" s="1"/>
  <c r="V95" i="1"/>
  <c r="V101" i="1" s="1"/>
  <c r="Q95" i="1"/>
  <c r="Q101" i="1" s="1"/>
  <c r="U95" i="1"/>
  <c r="U97" i="1" s="1"/>
  <c r="S95" i="1"/>
  <c r="S97" i="1" s="1"/>
  <c r="R95" i="1"/>
  <c r="R97" i="1" s="1"/>
  <c r="P95" i="1"/>
  <c r="P97" i="1" s="1"/>
  <c r="J101" i="1"/>
  <c r="L101" i="1"/>
  <c r="N97" i="1"/>
  <c r="K101" i="1"/>
  <c r="M97" i="1"/>
  <c r="Y97" i="1"/>
  <c r="AD97" i="1"/>
  <c r="X101" i="1"/>
  <c r="AC101" i="1"/>
  <c r="Z97" i="1"/>
  <c r="AB101" i="1"/>
  <c r="AB97" i="1"/>
  <c r="T101" i="1"/>
  <c r="AA101" i="1"/>
  <c r="AA97" i="1"/>
  <c r="W97" i="1"/>
  <c r="O101" i="1" l="1"/>
  <c r="V97" i="1"/>
  <c r="Q97" i="1"/>
  <c r="U101" i="1"/>
  <c r="S101" i="1"/>
  <c r="R101" i="1"/>
  <c r="P10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Fernando Rangel</author>
    <author>tc={90336A70-9245-48DA-AA3B-6D531107C4A4}</author>
  </authors>
  <commentList>
    <comment ref="AU72" authorId="0" shapeId="0" xr:uid="{00000000-0006-0000-0800-000001000000}">
      <text>
        <r>
          <rPr>
            <b/>
            <sz val="9"/>
            <color rgb="FF000000"/>
            <rFont val="Tahoma"/>
            <family val="2"/>
          </rPr>
          <t>Fernando Rangel:</t>
        </r>
        <r>
          <rPr>
            <sz val="9"/>
            <color rgb="FF000000"/>
            <rFont val="Tahoma"/>
            <family val="2"/>
          </rPr>
          <t xml:space="preserve">
</t>
        </r>
        <r>
          <rPr>
            <sz val="9"/>
            <color rgb="FF000000"/>
            <rFont val="Tahoma"/>
            <family val="2"/>
          </rPr>
          <t xml:space="preserve">Forecasted values after 2050
</t>
        </r>
      </text>
    </comment>
    <comment ref="AU82" authorId="0" shapeId="0" xr:uid="{00000000-0006-0000-0800-000002000000}">
      <text>
        <r>
          <rPr>
            <b/>
            <sz val="9"/>
            <color rgb="FF000000"/>
            <rFont val="Tahoma"/>
            <family val="2"/>
          </rPr>
          <t>Fernando Rangel:</t>
        </r>
        <r>
          <rPr>
            <sz val="9"/>
            <color rgb="FF000000"/>
            <rFont val="Tahoma"/>
            <family val="2"/>
          </rPr>
          <t xml:space="preserve">
</t>
        </r>
        <r>
          <rPr>
            <sz val="9"/>
            <color rgb="FF000000"/>
            <rFont val="Tahoma"/>
            <family val="2"/>
          </rPr>
          <t xml:space="preserve">Forecasted values after 2050
</t>
        </r>
      </text>
    </comment>
    <comment ref="K96" authorId="1" shapeId="0" xr:uid="{90336A70-9245-48DA-AA3B-6D531107C4A4}">
      <text>
        <t>[Threaded comment]
Your version of Excel allows you to read this threaded comment; however, any edits to it will get removed if the file is opened in a newer version of Excel. Learn more: https://go.microsoft.com/fwlink/?linkid=870924
Comment:
    Made these cells refer to new emission pathway instead of RMI pathway in 'steel-data' tab</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tc={77ACE318-1DD7-4832-AD4B-FC96F8003152}</author>
  </authors>
  <commentList>
    <comment ref="C13" authorId="0" shapeId="0" xr:uid="{77ACE318-1DD7-4832-AD4B-FC96F8003152}">
      <text>
        <t>[Threaded comment]
Your version of Excel allows you to read this threaded comment; however, any edits to it will get removed if the file is opened in a newer version of Excel. Learn more: https://go.microsoft.com/fwlink/?linkid=870924
Comment:
    Hard copied new emission pathway in here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<sst xmlns="http://schemas.openxmlformats.org/spreadsheetml/2006/main" count="3188" uniqueCount="689">
  <si>
    <t>Sector</t>
  </si>
  <si>
    <t>Base year</t>
  </si>
  <si>
    <t>Target year</t>
  </si>
  <si>
    <t>Base year output</t>
  </si>
  <si>
    <t>Dropdown</t>
  </si>
  <si>
    <t>Projected output measure</t>
  </si>
  <si>
    <t>Iron and steel</t>
  </si>
  <si>
    <t>Cement</t>
  </si>
  <si>
    <t>Aluminium</t>
  </si>
  <si>
    <t>Other industry</t>
  </si>
  <si>
    <t>Ammonia</t>
  </si>
  <si>
    <t>Methanol</t>
  </si>
  <si>
    <t>Fixed market share</t>
  </si>
  <si>
    <t>Scenario</t>
  </si>
  <si>
    <t>Region</t>
  </si>
  <si>
    <t>Unit</t>
  </si>
  <si>
    <t>Flow.1</t>
  </si>
  <si>
    <t>Geography</t>
  </si>
  <si>
    <t>World</t>
  </si>
  <si>
    <t>OECD</t>
  </si>
  <si>
    <t>Sheet</t>
  </si>
  <si>
    <t>Sector.ETP</t>
  </si>
  <si>
    <t>WORLD</t>
  </si>
  <si>
    <t>ETP B2DS</t>
  </si>
  <si>
    <t>Emissions</t>
  </si>
  <si>
    <t>MtCO2</t>
  </si>
  <si>
    <t>Chemicals and petrochemicals</t>
  </si>
  <si>
    <t>High value chemicals</t>
  </si>
  <si>
    <t>Pulp and paper</t>
  </si>
  <si>
    <t>Power</t>
  </si>
  <si>
    <t>PJ</t>
  </si>
  <si>
    <t>Output</t>
  </si>
  <si>
    <t/>
  </si>
  <si>
    <t>Emissions intensity</t>
  </si>
  <si>
    <t>NonOECD</t>
  </si>
  <si>
    <t>Table.1</t>
  </si>
  <si>
    <t>Sub-sector CO2 emissions (MtCO2) Expanded list [Methods model input; Estimated]</t>
  </si>
  <si>
    <t>Electricity</t>
  </si>
  <si>
    <t>Sub-sector Electricity demand (PJ) Expanded list [Methods model input; Estimated]</t>
  </si>
  <si>
    <t>Power CO2 emissions intensity (gCO2/kWh) by region</t>
  </si>
  <si>
    <t>SI</t>
  </si>
  <si>
    <t>SE</t>
  </si>
  <si>
    <t>SA</t>
  </si>
  <si>
    <t>CE</t>
  </si>
  <si>
    <t>CA</t>
  </si>
  <si>
    <t>CI</t>
  </si>
  <si>
    <t>Model.Parameter</t>
  </si>
  <si>
    <t>SP</t>
  </si>
  <si>
    <t>SIpower</t>
  </si>
  <si>
    <t>Services - Buildings</t>
  </si>
  <si>
    <t>Percentage</t>
  </si>
  <si>
    <t>CE2</t>
  </si>
  <si>
    <t>Absolute contraction (LAR)</t>
  </si>
  <si>
    <t>Absolute contraction (CAGR)</t>
  </si>
  <si>
    <t>SDA convergence</t>
  </si>
  <si>
    <t>d</t>
  </si>
  <si>
    <t>p</t>
  </si>
  <si>
    <t>m</t>
  </si>
  <si>
    <t>SI2</t>
  </si>
  <si>
    <t>CI2</t>
  </si>
  <si>
    <t>Power emissions intensity</t>
  </si>
  <si>
    <t>Activity projection</t>
  </si>
  <si>
    <t>Power CO2 emissions (MtCO2) by region</t>
  </si>
  <si>
    <t>Sector pathways</t>
  </si>
  <si>
    <t>Parameter</t>
  </si>
  <si>
    <t>ratio</t>
  </si>
  <si>
    <t>Activity unit description</t>
  </si>
  <si>
    <t>Activity unit</t>
  </si>
  <si>
    <t>Intensity metric</t>
  </si>
  <si>
    <t>tCO2/t</t>
  </si>
  <si>
    <t>Intensity conversion</t>
  </si>
  <si>
    <t>Market share parameter</t>
  </si>
  <si>
    <t>GDP growth (2014-60)</t>
  </si>
  <si>
    <t>GDP in 2014 (2010USD)</t>
  </si>
  <si>
    <t>Direct CO2 emissions (MtCO2) [Model input]</t>
  </si>
  <si>
    <t>Sub-sector material production (Mt) Expanded list [Methods model input; Estimated]</t>
  </si>
  <si>
    <t>Primary energy demand and industry</t>
  </si>
  <si>
    <t>Chart elements</t>
  </si>
  <si>
    <t>Subcategory/Description</t>
  </si>
  <si>
    <t>Sector activity</t>
  </si>
  <si>
    <t>Sector power consumption</t>
  </si>
  <si>
    <t>Percentage growth rate (Linear)</t>
  </si>
  <si>
    <t>World - Beyond 2°C Scenario</t>
  </si>
  <si>
    <t>Total primary energy demand (PJ)</t>
  </si>
  <si>
    <t>Oil</t>
  </si>
  <si>
    <t>Coal</t>
  </si>
  <si>
    <t>Natural gas</t>
  </si>
  <si>
    <t>Nuclear</t>
  </si>
  <si>
    <t>Biomass and waste</t>
  </si>
  <si>
    <t>Hydro</t>
  </si>
  <si>
    <t>Other</t>
  </si>
  <si>
    <t>Total</t>
  </si>
  <si>
    <t>Memo: Biofuels and waste (excl. conversion losses of liquid and gaseous biofuels production)</t>
  </si>
  <si>
    <t>Fuel input electricity and heat generation (PJ)</t>
  </si>
  <si>
    <t>Geothermal</t>
  </si>
  <si>
    <t>Wind</t>
  </si>
  <si>
    <t>Solar PV</t>
  </si>
  <si>
    <t>Solar CSP</t>
  </si>
  <si>
    <t>Ocean</t>
  </si>
  <si>
    <t>Hydrogen</t>
  </si>
  <si>
    <t>Final energy demand (PJ)</t>
  </si>
  <si>
    <t>Heat</t>
  </si>
  <si>
    <t>Final energy demand industry sector (PJ)</t>
  </si>
  <si>
    <t>Final energy demand non-energy use (PJ)</t>
  </si>
  <si>
    <t>Final energy demand transport sector (PJ)</t>
  </si>
  <si>
    <t>Biomass</t>
  </si>
  <si>
    <t>Final energy demand residential sector (PJ)</t>
  </si>
  <si>
    <t>Final energy demand services sector (PJ)</t>
  </si>
  <si>
    <t>Final energy demand agriculture, fisheries and forestry sector (PJ)</t>
  </si>
  <si>
    <t>Gross electricity generation (TWh)</t>
  </si>
  <si>
    <t>Coal with CCS</t>
  </si>
  <si>
    <t>Natural gas with CCS</t>
  </si>
  <si>
    <t>Biomass with CCS</t>
  </si>
  <si>
    <t>Hydro (excl. pumped storage)</t>
  </si>
  <si>
    <t>Wind onshore</t>
  </si>
  <si>
    <t>Wind offshore</t>
  </si>
  <si>
    <t>Gross electricity capacity (GW)</t>
  </si>
  <si>
    <t>Direct CO2 emissions (Mt CO2)</t>
  </si>
  <si>
    <t>Industry</t>
  </si>
  <si>
    <t>Buildings, agriculture, fishing, non-specified other</t>
  </si>
  <si>
    <t>Transport</t>
  </si>
  <si>
    <t>Other transformation</t>
  </si>
  <si>
    <t>CO2 captured (Mt CO2)</t>
  </si>
  <si>
    <t>BECCS, CO2 captured (Mt CO2)</t>
  </si>
  <si>
    <t>Total industry final energy consumption (incl. BF, CO and chemical feedstock) (PJ)</t>
  </si>
  <si>
    <t>Waste</t>
  </si>
  <si>
    <t>Other renewables</t>
  </si>
  <si>
    <t>CO2 emissions (MtCO2)</t>
  </si>
  <si>
    <r>
      <t>Total CO</t>
    </r>
    <r>
      <rPr>
        <vertAlign val="subscript"/>
        <sz val="11"/>
        <color theme="1"/>
        <rFont val="Calibri"/>
        <family val="2"/>
        <scheme val="minor"/>
      </rPr>
      <t>2</t>
    </r>
    <r>
      <rPr>
        <sz val="10"/>
        <color theme="1"/>
        <rFont val="Arial"/>
        <family val="2"/>
      </rPr>
      <t xml:space="preserve"> emissions</t>
    </r>
  </si>
  <si>
    <r>
      <t>CO</t>
    </r>
    <r>
      <rPr>
        <vertAlign val="subscript"/>
        <sz val="11"/>
        <color theme="1"/>
        <rFont val="Calibri"/>
        <family val="2"/>
        <scheme val="minor"/>
      </rPr>
      <t>2</t>
    </r>
    <r>
      <rPr>
        <sz val="10"/>
        <color theme="1"/>
        <rFont val="Arial"/>
        <family val="2"/>
      </rPr>
      <t xml:space="preserve"> captured</t>
    </r>
  </si>
  <si>
    <t>Cement  - final energy consumption (PJ)</t>
  </si>
  <si>
    <t>Chemicals and petrochemicals - final energy consumption and chemical feedstock (PJ)</t>
  </si>
  <si>
    <t>Chemicals and petrochemicals - feedstocks (PJ)</t>
  </si>
  <si>
    <t>Iron and steel - final energy consumption incl. blast furnaces and coke ovens (PJ)</t>
  </si>
  <si>
    <t>Iron and steel - blast furnaces and coke ovens (PJ)</t>
  </si>
  <si>
    <t>Pulp and paper - final energy consumption (PJ)</t>
  </si>
  <si>
    <t>Aluminium - final energy consumption (PJ)</t>
  </si>
  <si>
    <t>Sub-sector CO2 emissions (MtCO2)</t>
  </si>
  <si>
    <t xml:space="preserve">Cement </t>
  </si>
  <si>
    <t>Materials production (Mt)</t>
  </si>
  <si>
    <t>Crude steel</t>
  </si>
  <si>
    <t>Paper and paperboard (excl. recovered paper)</t>
  </si>
  <si>
    <t>Total aluminium (primary and secondary)</t>
  </si>
  <si>
    <t>Buildings - Total final energy consumption (PJ)</t>
  </si>
  <si>
    <t>Oil products</t>
  </si>
  <si>
    <t>Biomass, waste and other renewables</t>
  </si>
  <si>
    <t>Commercial heat</t>
  </si>
  <si>
    <t>Buildings - Total final energy consumption by end-use (PJ)</t>
  </si>
  <si>
    <t>Space heating</t>
  </si>
  <si>
    <t>Water heating</t>
  </si>
  <si>
    <t>Space cooling</t>
  </si>
  <si>
    <t>Lighting</t>
  </si>
  <si>
    <t>Appliances and miscellaneous equipments</t>
  </si>
  <si>
    <t>Cooking</t>
  </si>
  <si>
    <t>Buildings - Total emissions by fuel (MtCO2)</t>
  </si>
  <si>
    <t>Buildings - Total emissions by end-use (MtCO2)</t>
  </si>
  <si>
    <t>Buildings - Space heating (PJ)</t>
  </si>
  <si>
    <t>Buildings - Water heating (PJ)</t>
  </si>
  <si>
    <t>Buildings - Space cooling (PJ)</t>
  </si>
  <si>
    <t>Buildings - Lighting, appliances and other equipment (PJ)</t>
  </si>
  <si>
    <t>Buildings - Lighting (PJ)</t>
  </si>
  <si>
    <t>Buildings - Appliances and miscellaneous equipments (PJ)</t>
  </si>
  <si>
    <t>Buildings - Cooking (PJ)</t>
  </si>
  <si>
    <t>Residential - Total final energy consumption (PJ)</t>
  </si>
  <si>
    <t>Residential - Total final energy consumption by end-use (PJ)</t>
  </si>
  <si>
    <t>Residential - Total emissions by fuel (MtCO2)</t>
  </si>
  <si>
    <t>Residential - Total emissions by end-use (MtCO2)</t>
  </si>
  <si>
    <t>Residential - Space heating (PJ)</t>
  </si>
  <si>
    <t>Residential - Water heating (PJ)</t>
  </si>
  <si>
    <t>Residential - Space cooling (PJ)</t>
  </si>
  <si>
    <t>Residential - Lighting, appliances and other equipment (PJ)</t>
  </si>
  <si>
    <t>Residential - Lighting (PJ)</t>
  </si>
  <si>
    <t>Residential - Appliances and miscellaneous equipments (PJ)</t>
  </si>
  <si>
    <t>Residential - Cooking (PJ)</t>
  </si>
  <si>
    <t>Services - Total final energy consumption (PJ)</t>
  </si>
  <si>
    <t>Services - Total final energy consumption by end-use (PJ)</t>
  </si>
  <si>
    <t>Services - Total emissions by fuel (MtCO2)</t>
  </si>
  <si>
    <t>Services - Total emissions by end-use (MtCO2)</t>
  </si>
  <si>
    <t>Services - Space heating (PJ)</t>
  </si>
  <si>
    <t>Services - Water heating (PJ)</t>
  </si>
  <si>
    <t>Services - Space cooling (PJ)</t>
  </si>
  <si>
    <t>Services - Lighting, appliances and other equipment (PJ)</t>
  </si>
  <si>
    <t>Services - Lighting (PJ)</t>
  </si>
  <si>
    <t>Services - Appliances and miscellaneous equipments (PJ)</t>
  </si>
  <si>
    <t>Scenario summary</t>
  </si>
  <si>
    <t>Industry summary</t>
  </si>
  <si>
    <t>Buildings summary</t>
  </si>
  <si>
    <t>OECD - Beyond 2°C Scenario</t>
  </si>
  <si>
    <t>Non-OECD - Beyond 2°C Scenario</t>
  </si>
  <si>
    <t>% Reduction (Abs)</t>
  </si>
  <si>
    <t>% Reduction (linear, year)</t>
  </si>
  <si>
    <t>Services floor area (million m2)</t>
  </si>
  <si>
    <t>TWh</t>
  </si>
  <si>
    <t>tCO2/MWh</t>
  </si>
  <si>
    <t>Sipower</t>
  </si>
  <si>
    <t>million m2</t>
  </si>
  <si>
    <t>Mt</t>
  </si>
  <si>
    <t>Linear Interpolation--&gt;</t>
  </si>
  <si>
    <t>Disclaimer</t>
  </si>
  <si>
    <t>Terms of use</t>
  </si>
  <si>
    <t>History of revisions</t>
  </si>
  <si>
    <t xml:space="preserve">Version </t>
  </si>
  <si>
    <t>Description</t>
  </si>
  <si>
    <t>Section 1. Input data</t>
  </si>
  <si>
    <t>CI12</t>
  </si>
  <si>
    <t>S1+2 difference parameter</t>
  </si>
  <si>
    <t>S1+2 convergence index</t>
  </si>
  <si>
    <t>Tonnes of cement</t>
  </si>
  <si>
    <t>Tonnes of aluminium</t>
  </si>
  <si>
    <t>Tonnes of paper and board</t>
  </si>
  <si>
    <t>t</t>
  </si>
  <si>
    <t>m2</t>
  </si>
  <si>
    <t>tCO2</t>
  </si>
  <si>
    <t>Physical intensity</t>
  </si>
  <si>
    <t>MWh</t>
  </si>
  <si>
    <t>Indexed sectoral data</t>
  </si>
  <si>
    <t>Support:</t>
  </si>
  <si>
    <t>info@sciencebasedtargets.org</t>
  </si>
  <si>
    <t>Version:</t>
  </si>
  <si>
    <t>IMPORTANT NOTICE:</t>
  </si>
  <si>
    <t>%</t>
  </si>
  <si>
    <t>Target timeframe</t>
  </si>
  <si>
    <t>References</t>
  </si>
  <si>
    <t>Absolute contraction | 1.5C</t>
  </si>
  <si>
    <t>Economic intensity</t>
  </si>
  <si>
    <t>Target setting method</t>
  </si>
  <si>
    <t>Review all target modelling data</t>
  </si>
  <si>
    <t>Section 2. Sectoral Decarbonization Approach</t>
  </si>
  <si>
    <t>QUICK GUIDE</t>
  </si>
  <si>
    <t>README</t>
  </si>
  <si>
    <t>`</t>
  </si>
  <si>
    <t xml:space="preserve">Review data references here. </t>
  </si>
  <si>
    <t>Science Based Targets initiative website</t>
  </si>
  <si>
    <t>Target setting methods</t>
  </si>
  <si>
    <t xml:space="preserve">SBTi Step by step guide </t>
  </si>
  <si>
    <t>Please review our terms of use, disclaimer, and history of revisions made to this tool.</t>
  </si>
  <si>
    <t>SDA scenario</t>
  </si>
  <si>
    <t>SDA sector</t>
  </si>
  <si>
    <t>Sectoral Decarbonization Approach</t>
  </si>
  <si>
    <t>IEA</t>
  </si>
  <si>
    <t>International Energy Agency</t>
  </si>
  <si>
    <t>SDA</t>
  </si>
  <si>
    <t>1.5C</t>
  </si>
  <si>
    <t>Climate scenario aligned with a 1.5 degree temperature goal</t>
  </si>
  <si>
    <t>Climate scenario aligned with a well-below 2 degree temperature goal</t>
  </si>
  <si>
    <t>Acronyms and definitions</t>
  </si>
  <si>
    <t>tCO2e</t>
  </si>
  <si>
    <t>kgCO2e</t>
  </si>
  <si>
    <t>Kilograms of carbon dioxide equivalent</t>
  </si>
  <si>
    <t>SBT Methods</t>
  </si>
  <si>
    <t>SECTORAL DATA</t>
  </si>
  <si>
    <t>SDA CALCULATIONS</t>
  </si>
  <si>
    <t>SCOPE 3 CALCULATIONS</t>
  </si>
  <si>
    <t xml:space="preserve">BACK-END DATA </t>
  </si>
  <si>
    <t>Square meters</t>
  </si>
  <si>
    <t>GRAPH DATA</t>
  </si>
  <si>
    <t>Absolute Contraction Approach</t>
  </si>
  <si>
    <t>Foundations of Science-based Target Setting</t>
  </si>
  <si>
    <t>SBT online resources</t>
  </si>
  <si>
    <t>2014-2050</t>
  </si>
  <si>
    <t>WB-2C</t>
  </si>
  <si>
    <t>SBTi 1.5C</t>
  </si>
  <si>
    <t>MWh gross electricity or MWh gross electricity + heat</t>
  </si>
  <si>
    <t>Growth over target timeframe</t>
  </si>
  <si>
    <t>Data and calculations used in modelling  scope 1, 2 and 3 targets. Backend data uses proprietary data from IEA and is password protected.</t>
  </si>
  <si>
    <t>Target year output</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</si>
  <si>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</si>
  <si>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</si>
  <si>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</si>
  <si>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</si>
  <si>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</si>
  <si>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</si>
  <si>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</si>
  <si>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</si>
  <si>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</si>
  <si>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</si>
  <si>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</si>
  <si>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</si>
  <si>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</si>
  <si>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</si>
  <si>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</si>
  <si>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</si>
  <si>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</si>
  <si>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</si>
  <si>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</si>
  <si>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</si>
  <si>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</si>
  <si>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</si>
  <si>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</si>
  <si>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</si>
  <si>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</si>
  <si>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</si>
  <si>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</si>
  <si>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</si>
  <si>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</si>
  <si>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</si>
  <si>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</si>
  <si>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</si>
  <si>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</si>
  <si>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</si>
  <si>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</si>
  <si>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</si>
  <si>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</si>
  <si>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</si>
  <si>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</si>
  <si>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</si>
  <si>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</si>
  <si>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</si>
  <si>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</si>
  <si>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</si>
  <si>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</si>
  <si>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</si>
  <si>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</si>
  <si>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Energy supply: World</t>
  </si>
  <si>
    <t>WEONZE</t>
  </si>
  <si>
    <t>Back to contents page</t>
  </si>
  <si>
    <r>
      <t xml:space="preserve">Energy supply </t>
    </r>
    <r>
      <rPr>
        <sz val="9"/>
        <color theme="0"/>
        <rFont val="Calibri"/>
        <family val="2"/>
        <scheme val="minor"/>
      </rPr>
      <t>(EJ)</t>
    </r>
  </si>
  <si>
    <r>
      <t xml:space="preserve">Shares </t>
    </r>
    <r>
      <rPr>
        <sz val="9"/>
        <color theme="0"/>
        <rFont val="Calibri"/>
        <family val="2"/>
        <scheme val="minor"/>
      </rPr>
      <t>(%)</t>
    </r>
  </si>
  <si>
    <r>
      <t xml:space="preserve">CAAGR </t>
    </r>
    <r>
      <rPr>
        <sz val="9"/>
        <color theme="0"/>
        <rFont val="Calibri"/>
        <family val="2"/>
        <scheme val="minor"/>
      </rPr>
      <t>(%)</t>
    </r>
  </si>
  <si>
    <t>2020-2030</t>
  </si>
  <si>
    <t>2020-2050</t>
  </si>
  <si>
    <t>Total energy supply</t>
  </si>
  <si>
    <t>Renewables</t>
  </si>
  <si>
    <t>Solar</t>
  </si>
  <si>
    <t>Modern solid bioenergy</t>
  </si>
  <si>
    <t>Modern liquid bioenergy</t>
  </si>
  <si>
    <t>Modern gaseous bioenergy</t>
  </si>
  <si>
    <t>Traditional use of biomass</t>
  </si>
  <si>
    <t xml:space="preserve">n.a.  </t>
  </si>
  <si>
    <t>Unabated natural gas</t>
  </si>
  <si>
    <t>Natural gas with CCUS</t>
  </si>
  <si>
    <t>of which non-energy use</t>
  </si>
  <si>
    <t>Unabated coal</t>
  </si>
  <si>
    <t>Coal with CCUS</t>
  </si>
  <si>
    <t>Electricity and heat sectors</t>
  </si>
  <si>
    <t>Bioenergy</t>
  </si>
  <si>
    <t>Other energy sector</t>
  </si>
  <si>
    <t>Hydrogen production</t>
  </si>
  <si>
    <t>Biofuels production</t>
  </si>
  <si>
    <t>Total Final Consumption: World</t>
  </si>
  <si>
    <r>
      <t xml:space="preserve">Energy demand </t>
    </r>
    <r>
      <rPr>
        <sz val="9"/>
        <color theme="0"/>
        <rFont val="Calibri"/>
        <family val="2"/>
        <scheme val="minor"/>
      </rPr>
      <t>(EJ)</t>
    </r>
  </si>
  <si>
    <t>CAAGR (%)</t>
  </si>
  <si>
    <t>Total final consumption</t>
  </si>
  <si>
    <t>Liquid fuels</t>
  </si>
  <si>
    <t>Biofuels</t>
  </si>
  <si>
    <t>n.a.</t>
  </si>
  <si>
    <t>Synthetic oil</t>
  </si>
  <si>
    <t>Gaseous fuels</t>
  </si>
  <si>
    <t>Biomethane</t>
  </si>
  <si>
    <t>Road</t>
  </si>
  <si>
    <t>Synthetic methane</t>
  </si>
  <si>
    <t>Passenger cars</t>
  </si>
  <si>
    <t>Trucks</t>
  </si>
  <si>
    <t>Solid fuels</t>
  </si>
  <si>
    <t>Aviation</t>
  </si>
  <si>
    <t>Shipping</t>
  </si>
  <si>
    <t>Buildings</t>
  </si>
  <si>
    <t xml:space="preserve">Other </t>
  </si>
  <si>
    <t>Modern biomass</t>
  </si>
  <si>
    <t>Residential</t>
  </si>
  <si>
    <t>Services</t>
  </si>
  <si>
    <t>Chemicals</t>
  </si>
  <si>
    <t>Electricity sector: World</t>
  </si>
  <si>
    <r>
      <t xml:space="preserve">Electricity Generation </t>
    </r>
    <r>
      <rPr>
        <sz val="9"/>
        <color theme="0"/>
        <rFont val="Calibri"/>
        <family val="2"/>
        <scheme val="minor"/>
      </rPr>
      <t>(TWh)</t>
    </r>
  </si>
  <si>
    <t>Total generation</t>
  </si>
  <si>
    <t xml:space="preserve">   of which BECCS</t>
  </si>
  <si>
    <t>CSP</t>
  </si>
  <si>
    <t>Marine</t>
  </si>
  <si>
    <t>Hydrogen-based</t>
  </si>
  <si>
    <t>Fossil fuels with CCUS</t>
  </si>
  <si>
    <t>Unabated fossil fuels</t>
  </si>
  <si>
    <r>
      <t xml:space="preserve">Electrical Capacity </t>
    </r>
    <r>
      <rPr>
        <sz val="9"/>
        <color theme="0"/>
        <rFont val="Calibri"/>
        <family val="2"/>
        <scheme val="minor"/>
      </rPr>
      <t>(GW)</t>
    </r>
  </si>
  <si>
    <t>Shares (%)</t>
  </si>
  <si>
    <t>Total capacity</t>
  </si>
  <si>
    <t>Battery storage</t>
  </si>
  <si>
    <r>
      <t>CO</t>
    </r>
    <r>
      <rPr>
        <b/>
        <sz val="16"/>
        <color theme="0"/>
        <rFont val="Calibri"/>
        <family val="2"/>
      </rPr>
      <t>₂</t>
    </r>
    <r>
      <rPr>
        <b/>
        <sz val="16"/>
        <color theme="0"/>
        <rFont val="Calibri"/>
        <family val="2"/>
        <scheme val="minor"/>
      </rPr>
      <t xml:space="preserve"> emissions: World</t>
    </r>
  </si>
  <si>
    <r>
      <t>CO</t>
    </r>
    <r>
      <rPr>
        <b/>
        <vertAlign val="subscript"/>
        <sz val="9"/>
        <color theme="0"/>
        <rFont val="Calibri"/>
        <family val="2"/>
        <scheme val="minor"/>
      </rPr>
      <t>2</t>
    </r>
    <r>
      <rPr>
        <b/>
        <sz val="9"/>
        <color theme="0"/>
        <rFont val="Calibri"/>
        <family val="2"/>
        <scheme val="minor"/>
      </rPr>
      <t xml:space="preserve"> emissions </t>
    </r>
    <r>
      <rPr>
        <sz val="9"/>
        <color theme="0"/>
        <rFont val="Calibri"/>
        <family val="2"/>
        <scheme val="minor"/>
      </rPr>
      <t>(Mt CO</t>
    </r>
    <r>
      <rPr>
        <vertAlign val="subscript"/>
        <sz val="9"/>
        <color theme="0"/>
        <rFont val="Calibri"/>
        <family val="2"/>
        <scheme val="minor"/>
      </rPr>
      <t>2</t>
    </r>
    <r>
      <rPr>
        <sz val="9"/>
        <color theme="0"/>
        <rFont val="Calibri"/>
        <family val="2"/>
        <scheme val="minor"/>
      </rPr>
      <t>)</t>
    </r>
  </si>
  <si>
    <r>
      <t>Total CO</t>
    </r>
    <r>
      <rPr>
        <b/>
        <vertAlign val="subscript"/>
        <sz val="9"/>
        <color rgb="FF2C95AB"/>
        <rFont val="Calibri"/>
        <family val="2"/>
        <scheme val="minor"/>
      </rPr>
      <t>2</t>
    </r>
    <r>
      <rPr>
        <b/>
        <sz val="9"/>
        <color rgb="FF2C95AB"/>
        <rFont val="Calibri"/>
        <family val="2"/>
        <scheme val="minor"/>
      </rPr>
      <t>*</t>
    </r>
  </si>
  <si>
    <t>Combustion activities (+)</t>
  </si>
  <si>
    <t>Bioenergy and waste</t>
  </si>
  <si>
    <t>Industry removals (-)</t>
  </si>
  <si>
    <t>Direct air capture</t>
  </si>
  <si>
    <t>Other energy sector*</t>
  </si>
  <si>
    <t>Final consumption*</t>
  </si>
  <si>
    <t>Industry*</t>
  </si>
  <si>
    <r>
      <t>Total CO</t>
    </r>
    <r>
      <rPr>
        <b/>
        <vertAlign val="subscript"/>
        <sz val="9"/>
        <color rgb="FF2C95AB"/>
        <rFont val="Calibri"/>
        <family val="2"/>
        <scheme val="minor"/>
      </rPr>
      <t>2</t>
    </r>
    <r>
      <rPr>
        <b/>
        <sz val="9"/>
        <color rgb="FF2C95AB"/>
        <rFont val="Calibri"/>
        <family val="2"/>
        <scheme val="minor"/>
      </rPr>
      <t xml:space="preserve"> removals</t>
    </r>
  </si>
  <si>
    <r>
      <t>Total CO</t>
    </r>
    <r>
      <rPr>
        <b/>
        <vertAlign val="subscript"/>
        <sz val="9"/>
        <color rgb="FF2C95AB"/>
        <rFont val="Calibri"/>
        <family val="2"/>
        <scheme val="minor"/>
      </rPr>
      <t>2</t>
    </r>
    <r>
      <rPr>
        <b/>
        <sz val="9"/>
        <color rgb="FF2C95AB"/>
        <rFont val="Calibri"/>
        <family val="2"/>
        <scheme val="minor"/>
      </rPr>
      <t xml:space="preserve"> captured</t>
    </r>
  </si>
  <si>
    <t>*Includes industrial process emissions.</t>
  </si>
  <si>
    <t>Indicators and activity: World</t>
  </si>
  <si>
    <t>Indicator</t>
  </si>
  <si>
    <t>Population (million)</t>
  </si>
  <si>
    <t>GDP (USD 2019 billion, PPP)</t>
  </si>
  <si>
    <t>GDP per capita (USD 2019, PPP)</t>
  </si>
  <si>
    <t>TES/GDP (GJ per USD 1 000, PPP)</t>
  </si>
  <si>
    <t>TFC/GDP (GJ per USD 1 000, PPP)</t>
  </si>
  <si>
    <t>TES per capita (GJ)</t>
  </si>
  <si>
    <r>
      <t>CO</t>
    </r>
    <r>
      <rPr>
        <vertAlign val="subscript"/>
        <sz val="9"/>
        <rFont val="Calibri"/>
        <family val="2"/>
        <scheme val="minor"/>
      </rPr>
      <t>2</t>
    </r>
    <r>
      <rPr>
        <sz val="9"/>
        <rFont val="Calibri"/>
        <family val="2"/>
        <scheme val="minor"/>
      </rPr>
      <t xml:space="preserve"> intensity of electricity generation
(kg CO</t>
    </r>
    <r>
      <rPr>
        <vertAlign val="subscript"/>
        <sz val="9"/>
        <rFont val="Calibri"/>
        <family val="2"/>
        <scheme val="minor"/>
      </rPr>
      <t>2</t>
    </r>
    <r>
      <rPr>
        <sz val="9"/>
        <rFont val="Calibri"/>
        <family val="2"/>
        <scheme val="minor"/>
      </rPr>
      <t xml:space="preserve"> per kWh)</t>
    </r>
  </si>
  <si>
    <t>Activity</t>
  </si>
  <si>
    <t>Industrial production</t>
  </si>
  <si>
    <t>Primary chemicals (Mt)</t>
  </si>
  <si>
    <t>Steel (Mt)</t>
  </si>
  <si>
    <t>Cement (Mt)</t>
  </si>
  <si>
    <t>Passenger cars (billion vkm)</t>
  </si>
  <si>
    <t>Trucks (billion tkm)</t>
  </si>
  <si>
    <t>Aviation* (billion pkm)</t>
  </si>
  <si>
    <t>Shipping (billion tkm)</t>
  </si>
  <si>
    <r>
      <t>Services floor area (million m</t>
    </r>
    <r>
      <rPr>
        <vertAlign val="superscript"/>
        <sz val="9"/>
        <rFont val="Calibri"/>
        <family val="2"/>
        <scheme val="minor"/>
      </rPr>
      <t>2</t>
    </r>
    <r>
      <rPr>
        <sz val="9"/>
        <rFont val="Calibri"/>
        <family val="2"/>
        <scheme val="minor"/>
      </rPr>
      <t>)</t>
    </r>
  </si>
  <si>
    <r>
      <t>Residential floor area (million m</t>
    </r>
    <r>
      <rPr>
        <vertAlign val="superscript"/>
        <sz val="9"/>
        <rFont val="Calibri"/>
        <family val="2"/>
        <scheme val="minor"/>
      </rPr>
      <t>2</t>
    </r>
    <r>
      <rPr>
        <sz val="9"/>
        <rFont val="Calibri"/>
        <family val="2"/>
        <scheme val="minor"/>
      </rPr>
      <t>)</t>
    </r>
  </si>
  <si>
    <t>Million households</t>
  </si>
  <si>
    <t>*Aviation passenger-kilometre refers to commercial passenger aviation and excludes activity on dedicated cargo freight and military aviation.</t>
  </si>
  <si>
    <t>Residential Buildings</t>
  </si>
  <si>
    <t>Figure from Transition to Sustainable Buildings, IEA, 2013</t>
  </si>
  <si>
    <t>Residential floor area (million m2)</t>
  </si>
  <si>
    <t>Cumulative emissions check</t>
  </si>
  <si>
    <t>IEA NZE</t>
  </si>
  <si>
    <t>NZE buildings elec</t>
  </si>
  <si>
    <t>Figure 2.6</t>
  </si>
  <si>
    <t>DATA</t>
  </si>
  <si>
    <t>Electricity demand:</t>
  </si>
  <si>
    <t xml:space="preserve">Electricity share in consumption </t>
  </si>
  <si>
    <t>Merchant hydrogen</t>
  </si>
  <si>
    <t>Heavy industry</t>
  </si>
  <si>
    <t>Light industry</t>
  </si>
  <si>
    <t>Heating in buildings</t>
  </si>
  <si>
    <t>Light-duty vehicles</t>
  </si>
  <si>
    <t>Heavy- trucks</t>
  </si>
  <si>
    <t>Cement elect kWh/t</t>
  </si>
  <si>
    <t>Base year | Activity output</t>
  </si>
  <si>
    <t>% SBT reduction</t>
  </si>
  <si>
    <t>Sub-sector material production (million m2) Expanded list [Methods model input; Estimated]</t>
  </si>
  <si>
    <t>KtCO2</t>
  </si>
  <si>
    <t>Sub-sector material production (MWh) Expanded list [Methods model input; Estimated]</t>
  </si>
  <si>
    <t>Kt CO2</t>
  </si>
  <si>
    <t>Power CO2 emissions intensity (tCO2/MWh) by region</t>
  </si>
  <si>
    <t>Sub-sector CO2 emissions (KtCO2) Expanded list [Methods model input; Estimated]</t>
  </si>
  <si>
    <t>Sub-sector activity output (m2) Expanded list [Methods model input; Estimated]</t>
  </si>
  <si>
    <r>
      <rPr>
        <b/>
        <sz val="14"/>
        <color rgb="FFC00000"/>
        <rFont val="Arial"/>
        <family val="2"/>
      </rPr>
      <t>IMPORTANT:</t>
    </r>
    <r>
      <rPr>
        <sz val="14"/>
        <color rgb="FFC00000"/>
        <rFont val="Arial"/>
        <family val="2"/>
      </rPr>
      <t xml:space="preserve"> By using this tool you acknowledge that you have read, understood and agree to our Terms of Use and Disclaimer.</t>
    </r>
  </si>
  <si>
    <t>This Tool is intended to enable companies to develop appropriate science-based emissions reductions targets, as well as to assist companies and interested third parties in assessing and evaluating companies' targets. 
These terms of use govern all access to and use of the Tool. Please read these terms carefully before accessing or using the Tool and any associated materials. By accepting these terms, you indicate that you have read and understood them and that you agree to abide by them. If you do not agree to these terms, you will not be able to use the Tool.
The Science Based Targets initiative (SBTi) and its "Partner Organizations" (CDP, the United Nations Global Compact (UNGC), World Resources Institute (WRI), and the World Wide Fund for Nature (WWF)) reserve the right, at their discretion, to withdraw or amend the Tool without notice, and will not be liable if for any reason the Tool is unavailable at any time or for any period. Further, the Partner Organizations reserve the right to modify or replace any part of these terms of use. It is your responsibility to check these terms periodically for changes. Your continued use of the Tool following the posting of any changes to these terms constitutes acceptance of those changes.</t>
  </si>
  <si>
    <t>The Tool and associated materials have been prepared by the SBTi with a high degree of expertise and professionalism, and reflect current best practice in science-based target setting. However, the Partner Organizations, collectively and individually, do not warrant the Tool for any purpose, nor do they make any representations regarding its accuracy, completeness, timeliness or fitness for any use or purpose whatsoever. Information generated by the Tool is not intended to amount to advice on which reliance should be placed.
Developing science-based targets is a multi-step process and appropriate company-wide science-based targets can only be developed after careful consideration of the necessary input data regarding company emissions and activity levels. Only then should emissions targets be developed. The SBTi does not examine, verify or hold any such input data provided by users of the Tool.
The Tool relies on data obtained from a variety of third-party sources. This data was obtained from sources believed by the SBTi be reliable, but there can be no assurance as to the accuracy or completeness of this data. Further, scenarios and assumptions included in the Tool are inherently uncertain due to events or combinations of events that cannot reasonably be foreseen, including, without limitation, the actions of governments, organizations and individuals. The Partner Organizations, collectively and individually, make no warranties or representations about the accuracy or completeness of the data or assumptions contained in this Tool. 
You therefore understand that you use the Tool at your own discretion and risk. You agree that you are not entitled to rely on any information generated by the Tool. You further agree to hold the Partner Organizations, collectively and individually, harmless for loss you might suffer arising out of any inaccuracies in information generated by the Tool. Under no circumstances shall the Partner Organizations, collectively and individually, be liable for direct, indirect or consequential loss or damage arising from the use of the Tool or an inability to use it.</t>
  </si>
  <si>
    <t>Most recent</t>
  </si>
  <si>
    <t>Select a base year</t>
  </si>
  <si>
    <t>Target year | Type of activity projection</t>
  </si>
  <si>
    <t>Physical intensity (tCO2/t)</t>
  </si>
  <si>
    <t>Steel sector calculations</t>
  </si>
  <si>
    <t>Sector value</t>
  </si>
  <si>
    <t>SBTi reference</t>
  </si>
  <si>
    <t>Explanation</t>
  </si>
  <si>
    <t>Total steel demand</t>
  </si>
  <si>
    <t>IEA data if IEA emissions pathway selected,  annual values interpolated</t>
  </si>
  <si>
    <t>Mt steel/y</t>
  </si>
  <si>
    <t>Scrap availability</t>
  </si>
  <si>
    <t>Mt scrap/y</t>
  </si>
  <si>
    <t>Secondary production (100% scrap-based)</t>
  </si>
  <si>
    <t>Scrap availability divided by average scrap consumption in EAF process per t of crude steel</t>
  </si>
  <si>
    <t>Primary production (100% ore-based)</t>
  </si>
  <si>
    <t>Primary production assumed equal to total demand - secondary production</t>
  </si>
  <si>
    <t>Secondary emission intensity</t>
  </si>
  <si>
    <t>2020 and 2050 values from input 'Secondary emission intensity', annual values interpolated</t>
  </si>
  <si>
    <t>kgCO2eq/tcs</t>
  </si>
  <si>
    <t>Secondary emissions</t>
  </si>
  <si>
    <t>Secondary emissions = secondary emissions intensity * secondary production</t>
  </si>
  <si>
    <t>GtCO2eq/y</t>
  </si>
  <si>
    <t>Total emissions</t>
  </si>
  <si>
    <t>Total emissions from inputs</t>
  </si>
  <si>
    <t>Primary emissions</t>
  </si>
  <si>
    <t>Primary emissions = total emissions - secondary emissions</t>
  </si>
  <si>
    <t>Primary intensity</t>
  </si>
  <si>
    <t>Emission intensity in 2050 - primary</t>
  </si>
  <si>
    <t>SI_50_Prim</t>
  </si>
  <si>
    <t>2050 primary emission intensity = 2050 primary emissions / 2050 primary production</t>
  </si>
  <si>
    <t>Emission intensity in 2050 - secondary</t>
  </si>
  <si>
    <t>SI_50_Sec</t>
  </si>
  <si>
    <t xml:space="preserve">From input 'Secondary emission intensity - 2050' </t>
  </si>
  <si>
    <t>Assumption tailored to make sure 2050 emission intensity is the same for both primary and secondary production</t>
  </si>
  <si>
    <t>steel activity from SBT tools taking 2019 as base year for linear increase to 2030, 2019 is 1869 Mt, 2020 is 1781 Mt (considering 2020 figure is affected by covid). Calculation is the same as cement, just to be consistent</t>
  </si>
  <si>
    <t>Steel company calculations</t>
  </si>
  <si>
    <t>Company value</t>
  </si>
  <si>
    <t>Scrap ratio - annual</t>
  </si>
  <si>
    <t>Scrap values in base and target years used as input, linear interpolation for annual values, values outside this period kept flat</t>
  </si>
  <si>
    <t>CO2 intensity in 2050 for company with applied scrap share</t>
  </si>
  <si>
    <t>SI_2050</t>
  </si>
  <si>
    <t>Sliding scale used to generate specific CO2 intensity target for the share of scrap used by company</t>
  </si>
  <si>
    <t>Difference between initial company intensity and required 2050 intensity</t>
  </si>
  <si>
    <t>Total change in emission intensity required between base year and target year, changes with changing scrap ratio</t>
  </si>
  <si>
    <t>Company activity</t>
  </si>
  <si>
    <t>CA_y</t>
  </si>
  <si>
    <t>m_y</t>
  </si>
  <si>
    <t>SBTi methodology assumes "m" parameter cap of 1 so companies can't use degrowth assumptions to reduce their climate ambition</t>
  </si>
  <si>
    <t>-</t>
  </si>
  <si>
    <t>Decarbonisation index</t>
  </si>
  <si>
    <t>p_y</t>
  </si>
  <si>
    <t>Index adjusted on % scrap</t>
  </si>
  <si>
    <t>Intensity target in year y</t>
  </si>
  <si>
    <t>CI_y</t>
  </si>
  <si>
    <t>Target in year y adjusted to % scrap</t>
  </si>
  <si>
    <t>SBTi equations</t>
  </si>
  <si>
    <t>The included equations are used in the order 3-6 to calculate annual intensity targets for the company</t>
  </si>
  <si>
    <t>Additional parameters</t>
  </si>
  <si>
    <t>Metric</t>
  </si>
  <si>
    <t>Value</t>
  </si>
  <si>
    <t>Source</t>
  </si>
  <si>
    <t>Scrap consumption in EAF process</t>
  </si>
  <si>
    <t>t scrap/t crude steel</t>
  </si>
  <si>
    <t>Metals 2020, 10, 331; doi:10.3390/met10030331</t>
  </si>
  <si>
    <t>Reference sector intensity (weighted average)</t>
  </si>
  <si>
    <t>SI_y</t>
  </si>
  <si>
    <t>Sector intensity adjusted to % scrap</t>
  </si>
  <si>
    <t>Annual scrap ratio IEA NZE</t>
  </si>
  <si>
    <t>Sector assumptions - base case</t>
  </si>
  <si>
    <t>Sector parameter</t>
  </si>
  <si>
    <t>Demand in 2050</t>
  </si>
  <si>
    <t>SA_2050</t>
  </si>
  <si>
    <t>Total expected demand for steel in 2050</t>
  </si>
  <si>
    <t>Mt steel</t>
  </si>
  <si>
    <t>Sector scrap share in 2050</t>
  </si>
  <si>
    <t>Expected scrap ratio in total production in 2050</t>
  </si>
  <si>
    <t>Mt scrap/Mt steel</t>
  </si>
  <si>
    <t>Secondary emission intensity - 2020</t>
  </si>
  <si>
    <t>SI_b</t>
  </si>
  <si>
    <t>Secondary emission intensity - 2050</t>
  </si>
  <si>
    <t>ETC analysis</t>
  </si>
  <si>
    <t>assumption</t>
  </si>
  <si>
    <t>RMI calculation total (self gen + purchased) steel electricity</t>
  </si>
  <si>
    <t xml:space="preserve">RMI purchased electricity </t>
  </si>
  <si>
    <t>RMI self generated electricity</t>
  </si>
  <si>
    <t xml:space="preserve">RMI purchased electicity emission </t>
  </si>
  <si>
    <t xml:space="preserve">RMI self generated electicity emission </t>
  </si>
  <si>
    <t>RMI scope 2 emissions</t>
  </si>
  <si>
    <t>scope 2 emissions (grid emission factor) all using grid electricity</t>
  </si>
  <si>
    <t>% of self generated electricity</t>
  </si>
  <si>
    <t>Scope 2 Emissions Estimate</t>
  </si>
  <si>
    <t>Notes/Source</t>
  </si>
  <si>
    <t>Purchased electricity PJ</t>
  </si>
  <si>
    <t>Calculated</t>
  </si>
  <si>
    <t>Self-generated electricity PJ</t>
  </si>
  <si>
    <t>total electricity PJ</t>
  </si>
  <si>
    <t>total electricity MWh</t>
  </si>
  <si>
    <t>Purchased electricity emission MtCO2</t>
  </si>
  <si>
    <t>Self-generated electricity emissions MtCO2</t>
  </si>
  <si>
    <t>self generated electricity %</t>
  </si>
  <si>
    <t>scope 2 emission MtCO2</t>
  </si>
  <si>
    <t>if scope 2 emission all from grid emission factor</t>
  </si>
  <si>
    <t>Production and Scope 1 Emissions</t>
  </si>
  <si>
    <t>Total steel production (Mt)</t>
  </si>
  <si>
    <t>Table A.5 pg 200 in IEA NZE</t>
  </si>
  <si>
    <t>Scope 1 emissions (Mt CO2)</t>
  </si>
  <si>
    <t>Table A.4 pg 199 in IEA NZE</t>
  </si>
  <si>
    <t>Scope 1 intensity (t CO2/t steel)</t>
  </si>
  <si>
    <t>Grid Emissions (kg CO2/MWh)</t>
  </si>
  <si>
    <t>Scrap Fraction (% of metallics)</t>
  </si>
  <si>
    <t>Table 3.3 pg 129 in IEA NZE (2040 is interpolated)</t>
  </si>
  <si>
    <t>Overall Steel Production Share</t>
  </si>
  <si>
    <t>H2 DRI-EAF</t>
  </si>
  <si>
    <t>Electrolysis</t>
  </si>
  <si>
    <t>CCUS</t>
  </si>
  <si>
    <t>Traditional (BF-BOF and DRI-EAF)</t>
  </si>
  <si>
    <t>Scrap-based EAF</t>
  </si>
  <si>
    <t>Purchased electricity (GJ/t steel)</t>
  </si>
  <si>
    <t>Self-generated electricity (GJ/t steel)</t>
  </si>
  <si>
    <t>Purchased electricity emissions (t CO2/t steel)</t>
  </si>
  <si>
    <t>Self-gen. electricity emissions (t CO2/t steel)</t>
  </si>
  <si>
    <t>Total scope 2 emissions (t CO2/t steel)</t>
  </si>
  <si>
    <t>Grid share of electricity (%)</t>
  </si>
  <si>
    <t>Overall Emissions Estimate</t>
  </si>
  <si>
    <t>Total emissions intensity (t CO2/t steel)</t>
  </si>
  <si>
    <t>Total scope 2 emissions (Gt CO2)</t>
  </si>
  <si>
    <t>Total emissions from steelmaking (Gt CO2)</t>
  </si>
  <si>
    <t>Technology Assumptions (from MPP)</t>
  </si>
  <si>
    <t>Purchased Electricity (GJ/t)</t>
  </si>
  <si>
    <t>Self-Generated Electricity (GJ/t)</t>
  </si>
  <si>
    <t>Scrap Feed Fraction (%)</t>
  </si>
  <si>
    <t>Purchased Elec. (kWh/t)</t>
  </si>
  <si>
    <t>Sef-Generated Elec. (kWh/t)</t>
  </si>
  <si>
    <t>Offgas Assumptions</t>
  </si>
  <si>
    <t>Coke Ovens</t>
  </si>
  <si>
    <t>Blast Furnace</t>
  </si>
  <si>
    <t>Composition (%)</t>
  </si>
  <si>
    <t>Assumption</t>
  </si>
  <si>
    <t>Emissions factor (kg CO2/GJ gas)</t>
  </si>
  <si>
    <t>EPA Emission Factors https://www.epa.gov/sites/production/files/2020-04/ghg-emission-factors-hub.xlsx</t>
  </si>
  <si>
    <t>Self-Generated Electricity</t>
  </si>
  <si>
    <t>Efficiency (GJ gas/GJ electricity as %)</t>
  </si>
  <si>
    <t>Overall emission factor (t CO2/GJ electricity)</t>
  </si>
  <si>
    <t>Off-gas reduction between 2020 and 2030</t>
  </si>
  <si>
    <t>MPP difference between BAT and average blast furnace</t>
  </si>
  <si>
    <t>RMI calculation in more detail</t>
  </si>
  <si>
    <t>Data from IEA NZE report page 129</t>
  </si>
  <si>
    <t>Scrap as share of input</t>
  </si>
  <si>
    <t>Share of primary steel production</t>
  </si>
  <si>
    <t>H2-based DRI-EAF</t>
  </si>
  <si>
    <t>Table 3.3 p.129 IEA NZE</t>
  </si>
  <si>
    <t>Electrolysis-EAF</t>
  </si>
  <si>
    <r>
      <t>CO2 captured</t>
    </r>
    <r>
      <rPr>
        <sz val="11"/>
        <color rgb="FFFF0000"/>
        <rFont val="Calibri"/>
        <family val="2"/>
        <scheme val="minor"/>
      </rPr>
      <t xml:space="preserve"> (Mt/yr)</t>
    </r>
  </si>
  <si>
    <t>Primary Steel Production Scrap Use</t>
  </si>
  <si>
    <t>Scrap Frac. (%)</t>
  </si>
  <si>
    <t>Assumed equal with current average use</t>
  </si>
  <si>
    <t>CCS</t>
  </si>
  <si>
    <t>Back-calculated from tech. shares on pg. 38 of IEA I&amp;S and total scrap fraction listed above</t>
  </si>
  <si>
    <t>RMI calculation - Scope 2 Emissions Estimate</t>
  </si>
  <si>
    <t>from DataArrange estimate iron &amp; steel electricity PJ</t>
  </si>
  <si>
    <t>Scope 1 + self generated electricity emissions</t>
  </si>
  <si>
    <t>purchased electricity emissions</t>
  </si>
  <si>
    <t>ETC (S1+S2) emissions</t>
  </si>
  <si>
    <t>the difference lies in scope 1 emission in 2021, ETC use 2020 as base year to increase linearly to 2030, whereas SBTi used 2019 as base year for the linear increase</t>
  </si>
  <si>
    <t>emission factor</t>
  </si>
  <si>
    <t>Total emissions from the steel core boundary</t>
  </si>
  <si>
    <t>Iron and steel - core boundary</t>
  </si>
  <si>
    <t>Company activity at any year</t>
  </si>
  <si>
    <t>tCO2eq/tcs</t>
  </si>
  <si>
    <t>Tonnes of hot rolled steel</t>
  </si>
  <si>
    <t>Changes with changing of scrap ratio</t>
  </si>
  <si>
    <t>Company | emissions within the steel core boundary</t>
  </si>
  <si>
    <t>tCO2eq</t>
  </si>
  <si>
    <t>d_steel</t>
  </si>
  <si>
    <t>p_steel</t>
  </si>
  <si>
    <t>Scrap-input dependent sector pathway (tCO2/t)</t>
  </si>
  <si>
    <t>Company activity - 2020 and 2030 values from inputs, values between base and target years linearly interpolated, values outside the period kept flat</t>
  </si>
  <si>
    <t>Total emissions Mt</t>
  </si>
  <si>
    <t>MtCO2eq/y</t>
  </si>
  <si>
    <t>Emissions intensity secondary</t>
  </si>
  <si>
    <t>Emissions intensity primary</t>
  </si>
  <si>
    <t>Adjustment to include secondary metallurgy scope 2</t>
  </si>
  <si>
    <t>RMI Scope 2 + secondary metallurgy</t>
  </si>
  <si>
    <t>ferroalloy scope 1 budget</t>
  </si>
  <si>
    <t>Scope 1 emissions (exclude ferroalloys)</t>
  </si>
  <si>
    <t>Scope 1 &amp; 2 emissions (revised)</t>
  </si>
  <si>
    <t>Secondary intensity</t>
  </si>
  <si>
    <t>Steel SDA - for steel purchasers</t>
  </si>
  <si>
    <t>Emissions within the core boundary</t>
  </si>
  <si>
    <t>Sector | Emissions intensity (tCO2/t)</t>
  </si>
  <si>
    <t>SCOPE 3 Steel SDA for steel purchasers</t>
  </si>
  <si>
    <t>Tonnes of purchased steel</t>
  </si>
  <si>
    <t>Enter a value between 0 and 100%</t>
  </si>
  <si>
    <t>Version 1.0</t>
  </si>
  <si>
    <t>Net-Zero Standard Criteria v1.1</t>
  </si>
  <si>
    <t>SBTi Criteria and recommendations v5.1</t>
  </si>
  <si>
    <t>Target Validation Protocol v3.1</t>
  </si>
  <si>
    <t>IEA Net Zero by 2050 - A Roadmap for the Global Energy Sector</t>
  </si>
  <si>
    <t>SBTi 1.5C scenario</t>
  </si>
  <si>
    <t>Required Input</t>
  </si>
  <si>
    <t>Metric tonnes of carbon dioxide equivalent</t>
  </si>
  <si>
    <t>kgCO2/m2</t>
  </si>
  <si>
    <t>ACA</t>
  </si>
  <si>
    <t>Release Date</t>
  </si>
  <si>
    <t xml:space="preserve">This tool uses data from the publicly available 1.5C aligned pathways from the IEA Net Zero by 2050; as modified by the SBTi.
</t>
  </si>
  <si>
    <t>Please help us improve this tool by reporting issues related to functionalities and formatting: please contact info@sciencebasedtargets.org</t>
  </si>
  <si>
    <t>Global scrap share projection</t>
  </si>
  <si>
    <t>Global scrap share timeframe</t>
  </si>
  <si>
    <t>Released for public use</t>
  </si>
  <si>
    <t>Scope 3 emissions (Category 1)</t>
  </si>
  <si>
    <t>Section 2. Steel Procurement Tool</t>
  </si>
  <si>
    <t>Section 3. All target modelling data</t>
  </si>
  <si>
    <t>SDA - Iron and steel - core boundary | SBTi 1.5C</t>
  </si>
  <si>
    <t>Iron &amp; steel core boundary</t>
  </si>
  <si>
    <t>STEEL PROCUREMENT TOOL</t>
  </si>
  <si>
    <r>
      <t xml:space="preserve">Tool for calculating </t>
    </r>
    <r>
      <rPr>
        <b/>
        <sz val="11"/>
        <color theme="0"/>
        <rFont val="Arial"/>
        <family val="2"/>
      </rPr>
      <t>scope 3 category 1</t>
    </r>
    <r>
      <rPr>
        <sz val="11"/>
        <color theme="0"/>
        <rFont val="Arial"/>
        <family val="2"/>
      </rPr>
      <t xml:space="preserve"> emission reduction targets for steel purchasers.</t>
    </r>
  </si>
  <si>
    <t>Enter emissions and activity data in Section 1</t>
  </si>
  <si>
    <t>Net-zero tool</t>
  </si>
  <si>
    <t xml:space="preserve">This Tool is intended to support steel companies in their modeling of science-based emissions reductions targets, as well as to assist companies and interested third parties in assessing and evaluating companies' targets. However, to be approved by the Science Based Targets initiative, companies need to make sure their target(s) fulfill the SBTi criteria. Please review the SBTi Step by Step guide to access the latest criteria and resources: https://sciencebasedtargets.org/step-by-step-guide/   
</t>
  </si>
  <si>
    <r>
      <t xml:space="preserve">Front end of the target setting tool aimed at modelling SBTs in line with current SBTi ambition requirements. It calculates targets using the SDA method for emissions </t>
    </r>
    <r>
      <rPr>
        <b/>
        <sz val="11"/>
        <color theme="0"/>
        <rFont val="Arial"/>
        <family val="2"/>
      </rPr>
      <t>inside the iron and steel core boundary.</t>
    </r>
  </si>
  <si>
    <t>This tool is for setting emissions reduction targets within the iron &amp; steel core boundary. For emissions (scope 1, 2 &amp; 3) outside the core boundary, please refer to the cross-sector near-term target setting tool.</t>
  </si>
  <si>
    <t>Review the summary of results in Section 2</t>
  </si>
  <si>
    <t>For information on each SBT method, the SBTi criteria and how to join the SBTi please review our online resources.</t>
  </si>
  <si>
    <t>Steel target-setting guidance</t>
  </si>
  <si>
    <r>
      <rPr>
        <b/>
        <sz val="12"/>
        <color theme="0"/>
        <rFont val="Arial"/>
        <family val="2"/>
      </rPr>
      <t>Iron &amp; steelmaker Tool</t>
    </r>
    <r>
      <rPr>
        <sz val="12"/>
        <color theme="0"/>
        <rFont val="Arial"/>
        <family val="2"/>
      </rPr>
      <t xml:space="preserve">  - for emissions within the iron &amp; steel core SDA boundary
&gt; Method available is Sectoral Decarbonization Approach. For Absolute Contraction Approach option, please refer to the cross-sector near term tool:
</t>
    </r>
  </si>
  <si>
    <t>Cross-sector near-term tool</t>
  </si>
  <si>
    <r>
      <rPr>
        <b/>
        <sz val="12"/>
        <color theme="0"/>
        <rFont val="Arial"/>
        <family val="2"/>
      </rPr>
      <t>Steel Procurement Tool</t>
    </r>
    <r>
      <rPr>
        <sz val="12"/>
        <color theme="0"/>
        <rFont val="Arial"/>
        <family val="2"/>
      </rPr>
      <t xml:space="preserve"> - for steel purchasers wishing to set scope 3 category 1 (purchased goods and services) targets for their purchased steel using the sector pathway.
&gt; Method available is Sectoral Decarbonization Approach. For other scope 3 options e.g. cross-sector absolute reduction, physical intensity, economic intensity, please refer to the cross-sector near-term tool.</t>
    </r>
  </si>
  <si>
    <t>IRON &amp; STEELMAKER TOOL</t>
  </si>
  <si>
    <r>
      <t xml:space="preserve">You can review the full data set of target modelling results in Section 3 in the </t>
    </r>
    <r>
      <rPr>
        <b/>
        <sz val="12"/>
        <color theme="0"/>
        <rFont val="Arial"/>
        <family val="2"/>
      </rPr>
      <t>Iron &amp; Steelmaker Tool</t>
    </r>
    <r>
      <rPr>
        <sz val="12"/>
        <color theme="0"/>
        <rFont val="Arial"/>
        <family val="2"/>
      </rPr>
      <t xml:space="preserve"> sheet</t>
    </r>
  </si>
  <si>
    <t>tCO2e (please refer to the SBTi Steel Guidance)</t>
  </si>
  <si>
    <t>Sector |100% ore-based emissions intensity (tCO2/t)</t>
  </si>
  <si>
    <t>Sector |100% scrap-based emissions intensity (tCO2/t)</t>
  </si>
  <si>
    <t>Sector emissions within steel core boundary</t>
  </si>
  <si>
    <t>Emissions Target</t>
  </si>
  <si>
    <t>Sector |100% ore-based emissions intensity</t>
  </si>
  <si>
    <t>Sector |100% scrap-based emissions intensity</t>
  </si>
  <si>
    <t>Emissions Intensity Target</t>
  </si>
  <si>
    <r>
      <t>Also please note that the SBTi asseses "forward-looking" ambition of target(s) by using the year the target is submitted to the initiative (or the most recent GHG inventory). For further information, consult the</t>
    </r>
    <r>
      <rPr>
        <i/>
        <sz val="10"/>
        <color theme="0"/>
        <rFont val="Arial"/>
        <family val="2"/>
      </rPr>
      <t xml:space="preserve"> </t>
    </r>
    <r>
      <rPr>
        <sz val="10"/>
        <color theme="0"/>
        <rFont val="Arial"/>
        <family val="2"/>
      </rPr>
      <t>SBTi Target Validation Protocol:</t>
    </r>
    <r>
      <rPr>
        <i/>
        <sz val="10"/>
        <color theme="0"/>
        <rFont val="Arial"/>
        <family val="2"/>
      </rPr>
      <t xml:space="preserve"> </t>
    </r>
    <r>
      <rPr>
        <sz val="10"/>
        <color theme="0"/>
        <rFont val="Arial"/>
        <family val="2"/>
      </rPr>
      <t>https://sciencebasedtargets.org/resources/files/Target-Validation-Protocol.pdf</t>
    </r>
  </si>
  <si>
    <t xml:space="preserve">SBTi Steel Target Setting Tool </t>
  </si>
  <si>
    <t xml:space="preserve">How to navigate this Steel Target Setting tool </t>
  </si>
  <si>
    <t xml:space="preserve">Step by step guide using this Steel Target Setting tool </t>
  </si>
  <si>
    <t>Iron &amp; Steel Core Boundary</t>
  </si>
  <si>
    <t>Familiarize yourself with the different target setting methods found in sheets "Target-setting flow chart" and "Iron &amp; steel core boundary" in this tool. Refer to the steel target-setting guidance for more details.</t>
  </si>
  <si>
    <t xml:space="preserve"> * Please refer to the iron &amp; steel core boundary tab for relevant emissions</t>
  </si>
  <si>
    <t>For companies that want to set long term targets, please refer to the net-zero tool:</t>
  </si>
  <si>
    <t>This option is for steel purchasers setting scope 3 category 1 targets. For other target setting options and other scope 3 categories, please use the cross-sector SBT near-term tool.</t>
  </si>
  <si>
    <t>Which near-term target-setting methods can Iron &amp; Steel companies use?</t>
  </si>
  <si>
    <t>Version 1.1</t>
  </si>
  <si>
    <t>Revisions and bug fixes to allow for base years after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</si>
</sst>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_-* #,##0.00_-;\-* #,##0.00_-;_-* &quot;-&quot;??_-;_-@_-"/>
    <numFmt numFmtId="165" formatCode="#\ ##0"/>
    <numFmt numFmtId="166" formatCode="0.000%"/>
    <numFmt numFmtId="167" formatCode="#,##0.000000"/>
    <numFmt numFmtId="168" formatCode="0.0%"/>
    <numFmt numFmtId="169" formatCode="#,##0.0"/>
    <numFmt numFmtId="170" formatCode="0.000"/>
    <numFmt numFmtId="171" formatCode="[$-409]d\-mmm\-yy;@"/>
    <numFmt numFmtId="172" formatCode="#,##0.000"/>
    <numFmt numFmtId="173" formatCode="#,##0.0000"/>
    <numFmt numFmtId="174" formatCode="0.0000"/>
    <numFmt numFmtId="175" formatCode="0.0"/>
    <numFmt numFmtId="176" formatCode="##0\ \ \ \ ;\-##0\ \ \ \ "/>
    <numFmt numFmtId="177" formatCode="0.0\ \ \ ;\-0.0\ \ \ ;\-\ \ \ "/>
    <numFmt numFmtId="178" formatCode="###0\ ;\-###0\ ;\-\ "/>
    <numFmt numFmtId="179" formatCode="0\ \ \ ;\-0\ \ \ ;\-\ \ \ "/>
    <numFmt numFmtId="180" formatCode="#\ ##0\ ;\-#\ ##0\ ;\-\ "/>
    <numFmt numFmtId="181" formatCode="0\ \ ;\-0\ \ ;\-\ \ "/>
    <numFmt numFmtId="182" formatCode="0\ ;\-0\ ;\-\ "/>
    <numFmt numFmtId="183" formatCode="##0.0\ \ \ ;\-##0.0\ \ \ "/>
    <numFmt numFmtId="184" formatCode="##0\ \ \ ;\-##0\ \ \ "/>
    <numFmt numFmtId="185" formatCode="0\ \ ;\-0\ \ "/>
    <numFmt numFmtId="186" formatCode="0\ \ \ ;\-0\ \ \ "/>
    <numFmt numFmtId="187" formatCode="0\ "/>
    <numFmt numFmtId="188" formatCode="0\ \ \ "/>
    <numFmt numFmtId="189" formatCode="#\ ##0\ \ \ ;\-#\ ##0\ \ \ ;\-\ \ \ "/>
    <numFmt numFmtId="190" formatCode="#\ ##0\ ;\-#\ ##0\ ;\-\ \ "/>
    <numFmt numFmtId="191" formatCode="0.0\ \ ;\-0.0\ \ ;\-\ \ "/>
    <numFmt numFmtId="192" formatCode="0.000\ ;\-0.000\ ;\-\ \ \ "/>
    <numFmt numFmtId="193" formatCode="#.\ ##0\ ;\-#.\ ##0\ ;\-\ "/>
    <numFmt numFmtId="194" formatCode="0.00\ ;\-0.00\ ;\-\ \ \ "/>
    <numFmt numFmtId="195" formatCode="0.0;\-0.0;\-"/>
    <numFmt numFmtId="196" formatCode="0.000_ ;\-0.000\ "/>
    <numFmt numFmtId="197" formatCode="_ * #,##0.0_ ;_ * \-#,##0.0_ ;_ * &quot;-&quot;??_ ;_ @_ "/>
  </numFmts>
  <fonts count="112" x14ac:knownFonts="1">
    <font>
      <sz val="10"/>
      <color theme="1"/>
      <name val="Arial"/>
      <family val="2"/>
    </font>
    <font>
      <sz val="11"/>
      <color theme="1"/>
      <name val="Calibri"/>
      <family val="2"/>
      <scheme val="minor"/>
    </font>
    <font>
      <sz val="11"/>
      <color theme="1"/>
      <name val="Calibri"/>
      <family val="2"/>
      <scheme val="minor"/>
    </font>
    <font>
      <b/>
      <sz val="10"/>
      <color theme="1"/>
      <name val="Arial"/>
      <family val="2"/>
    </font>
    <font>
      <sz val="18"/>
      <color theme="1"/>
      <name val="Arial"/>
      <family val="2"/>
    </font>
    <font>
      <sz val="11"/>
      <color theme="1"/>
      <name val="Calibri"/>
      <family val="2"/>
      <scheme val="minor"/>
    </font>
    <font>
      <sz val="10"/>
      <color theme="1"/>
      <name val="Arial"/>
      <family val="2"/>
    </font>
    <font>
      <sz val="9"/>
      <color theme="1"/>
      <name val="Arial"/>
      <family val="2"/>
    </font>
    <font>
      <i/>
      <sz val="10"/>
      <color theme="1"/>
      <name val="Arial"/>
      <family val="2"/>
    </font>
    <font>
      <b/>
      <sz val="11"/>
      <color theme="0"/>
      <name val="Calibri"/>
      <family val="2"/>
      <scheme val="minor"/>
    </font>
    <font>
      <b/>
      <sz val="11"/>
      <color theme="1"/>
      <name val="Calibri"/>
      <family val="2"/>
      <scheme val="minor"/>
    </font>
    <font>
      <b/>
      <sz val="22"/>
      <color theme="0"/>
      <name val="Calibri"/>
      <family val="2"/>
      <scheme val="minor"/>
    </font>
    <font>
      <sz val="14"/>
      <color theme="0"/>
      <name val="Calibri"/>
      <family val="2"/>
      <scheme val="minor"/>
    </font>
    <font>
      <b/>
      <sz val="14"/>
      <color theme="0"/>
      <name val="Calibri"/>
      <family val="2"/>
      <scheme val="minor"/>
    </font>
    <font>
      <b/>
      <i/>
      <sz val="11"/>
      <color theme="1"/>
      <name val="Calibri"/>
      <family val="2"/>
      <scheme val="minor"/>
    </font>
    <font>
      <sz val="11"/>
      <color indexed="8"/>
      <name val="Calibri"/>
      <family val="2"/>
      <scheme val="minor"/>
    </font>
    <font>
      <b/>
      <sz val="14"/>
      <color theme="1"/>
      <name val="Calibri"/>
      <family val="2"/>
      <scheme val="minor"/>
    </font>
    <font>
      <i/>
      <sz val="11"/>
      <color theme="1"/>
      <name val="Calibri"/>
      <family val="2"/>
      <scheme val="minor"/>
    </font>
    <font>
      <b/>
      <sz val="11"/>
      <color rgb="FFFF0000"/>
      <name val="Calibri"/>
      <family val="2"/>
      <scheme val="minor"/>
    </font>
    <font>
      <b/>
      <i/>
      <sz val="11"/>
      <color rgb="FFFF0000"/>
      <name val="Calibri"/>
      <family val="2"/>
      <scheme val="minor"/>
    </font>
    <font>
      <vertAlign val="subscript"/>
      <sz val="11"/>
      <color theme="1"/>
      <name val="Calibri"/>
      <family val="2"/>
      <scheme val="minor"/>
    </font>
    <font>
      <b/>
      <sz val="14"/>
      <color theme="1"/>
      <name val="Arial"/>
      <family val="2"/>
    </font>
    <font>
      <b/>
      <sz val="11"/>
      <color indexed="8"/>
      <name val="Calibri"/>
      <family val="2"/>
      <scheme val="minor"/>
    </font>
    <font>
      <b/>
      <sz val="12"/>
      <color theme="0"/>
      <name val="Calibri"/>
      <family val="2"/>
      <scheme val="minor"/>
    </font>
    <font>
      <sz val="12"/>
      <color theme="1"/>
      <name val="Arial"/>
      <family val="2"/>
    </font>
    <font>
      <b/>
      <sz val="12"/>
      <color theme="1"/>
      <name val="Calibri"/>
      <family val="2"/>
      <scheme val="minor"/>
    </font>
    <font>
      <sz val="11"/>
      <color theme="1"/>
      <name val="Arial"/>
      <family val="2"/>
    </font>
    <font>
      <sz val="9"/>
      <color rgb="FFFF0000"/>
      <name val="Arial"/>
      <family val="2"/>
    </font>
    <font>
      <sz val="9"/>
      <name val="Arial"/>
      <family val="2"/>
    </font>
    <font>
      <sz val="9"/>
      <color rgb="FF7030A0"/>
      <name val="Arial"/>
      <family val="2"/>
    </font>
    <font>
      <b/>
      <sz val="12"/>
      <color theme="1"/>
      <name val="Arial"/>
      <family val="2"/>
    </font>
    <font>
      <b/>
      <sz val="24"/>
      <name val="Arial"/>
      <family val="2"/>
    </font>
    <font>
      <sz val="12"/>
      <color theme="1"/>
      <name val="Calibri"/>
      <family val="2"/>
      <scheme val="minor"/>
    </font>
    <font>
      <b/>
      <sz val="16"/>
      <color theme="5" tint="-0.499984740745262"/>
      <name val="Arial"/>
      <family val="2"/>
    </font>
    <font>
      <b/>
      <sz val="20"/>
      <color rgb="FF00546E"/>
      <name val="Arial"/>
      <family val="2"/>
    </font>
    <font>
      <u/>
      <sz val="12"/>
      <color theme="10"/>
      <name val="Calibri"/>
      <family val="2"/>
      <scheme val="minor"/>
    </font>
    <font>
      <u/>
      <sz val="10"/>
      <color theme="10"/>
      <name val="Arial"/>
      <family val="2"/>
    </font>
    <font>
      <sz val="10"/>
      <color rgb="FF00546E"/>
      <name val="Arial"/>
      <family val="2"/>
    </font>
    <font>
      <b/>
      <sz val="16"/>
      <color rgb="FF00546E"/>
      <name val="Arial"/>
      <family val="2"/>
    </font>
    <font>
      <sz val="10"/>
      <color theme="0"/>
      <name val="Arial"/>
      <family val="2"/>
    </font>
    <font>
      <sz val="11"/>
      <color theme="0"/>
      <name val="Arial"/>
      <family val="2"/>
    </font>
    <font>
      <b/>
      <sz val="22"/>
      <name val="Arial"/>
      <family val="2"/>
    </font>
    <font>
      <b/>
      <sz val="10"/>
      <color theme="0"/>
      <name val="Arial"/>
      <family val="2"/>
    </font>
    <font>
      <b/>
      <u/>
      <sz val="10"/>
      <color theme="0"/>
      <name val="Arial"/>
      <family val="2"/>
    </font>
    <font>
      <sz val="10"/>
      <color rgb="FFC00000"/>
      <name val="Arial"/>
      <family val="2"/>
    </font>
    <font>
      <b/>
      <sz val="10"/>
      <color theme="1"/>
      <name val="Calibri"/>
      <family val="2"/>
      <scheme val="minor"/>
    </font>
    <font>
      <sz val="10"/>
      <color indexed="8"/>
      <name val="Calibri"/>
      <family val="2"/>
      <scheme val="minor"/>
    </font>
    <font>
      <b/>
      <sz val="12"/>
      <color theme="0"/>
      <name val="Arial"/>
      <family val="2"/>
    </font>
    <font>
      <sz val="11"/>
      <color rgb="FF44546A"/>
      <name val="Calibri"/>
      <family val="2"/>
    </font>
    <font>
      <u/>
      <sz val="12"/>
      <color theme="0"/>
      <name val="Arial"/>
      <family val="2"/>
    </font>
    <font>
      <sz val="12"/>
      <color theme="0"/>
      <name val="Arial"/>
      <family val="2"/>
    </font>
    <font>
      <sz val="14"/>
      <color theme="0"/>
      <name val="Arial"/>
      <family val="2"/>
    </font>
    <font>
      <sz val="10"/>
      <name val="Arial"/>
      <family val="2"/>
    </font>
    <font>
      <b/>
      <sz val="20"/>
      <color theme="0"/>
      <name val="Arial"/>
      <family val="2"/>
    </font>
    <font>
      <sz val="11"/>
      <color rgb="FF1F497D"/>
      <name val="Calibri"/>
      <family val="2"/>
    </font>
    <font>
      <i/>
      <sz val="10"/>
      <name val="Arial"/>
      <family val="2"/>
    </font>
    <font>
      <b/>
      <sz val="22"/>
      <color theme="1"/>
      <name val="Arial"/>
      <family val="2"/>
    </font>
    <font>
      <b/>
      <sz val="9"/>
      <color theme="1"/>
      <name val="Arial"/>
      <family val="2"/>
    </font>
    <font>
      <b/>
      <sz val="18"/>
      <color rgb="FFFF0000"/>
      <name val="Arial"/>
      <family val="2"/>
    </font>
    <font>
      <b/>
      <u/>
      <sz val="10"/>
      <color rgb="FFFF0000"/>
      <name val="Arial"/>
      <family val="2"/>
    </font>
    <font>
      <b/>
      <sz val="11"/>
      <color theme="1"/>
      <name val="Arial"/>
      <family val="2"/>
    </font>
    <font>
      <sz val="10"/>
      <color rgb="FFFF0000"/>
      <name val="Arial"/>
      <family val="2"/>
    </font>
    <font>
      <b/>
      <sz val="16"/>
      <color theme="0"/>
      <name val="Calibri"/>
      <family val="2"/>
      <scheme val="minor"/>
    </font>
    <font>
      <sz val="16"/>
      <color theme="0"/>
      <name val="Calibri"/>
      <family val="2"/>
      <scheme val="minor"/>
    </font>
    <font>
      <sz val="9"/>
      <color theme="0"/>
      <name val="Calibri"/>
      <family val="2"/>
      <scheme val="minor"/>
    </font>
    <font>
      <u/>
      <sz val="10"/>
      <color indexed="12"/>
      <name val="Arial"/>
      <family val="2"/>
    </font>
    <font>
      <i/>
      <u/>
      <sz val="9"/>
      <color indexed="12"/>
      <name val="Arial"/>
      <family val="2"/>
    </font>
    <font>
      <b/>
      <sz val="9"/>
      <color rgb="FFFF0000"/>
      <name val="Calibri"/>
      <family val="2"/>
      <scheme val="minor"/>
    </font>
    <font>
      <sz val="9"/>
      <color rgb="FFFF0000"/>
      <name val="Calibri"/>
      <family val="2"/>
      <scheme val="minor"/>
    </font>
    <font>
      <b/>
      <sz val="9"/>
      <color theme="0"/>
      <name val="Calibri"/>
      <family val="2"/>
      <scheme val="minor"/>
    </font>
    <font>
      <sz val="9"/>
      <name val="Calibri"/>
      <family val="2"/>
      <scheme val="minor"/>
    </font>
    <font>
      <b/>
      <sz val="9"/>
      <color rgb="FF2C95AB"/>
      <name val="Calibri"/>
      <family val="2"/>
      <scheme val="minor"/>
    </font>
    <font>
      <sz val="9"/>
      <color theme="1"/>
      <name val="Calibri"/>
      <family val="2"/>
      <scheme val="minor"/>
    </font>
    <font>
      <sz val="9"/>
      <color theme="0" tint="-0.499984740745262"/>
      <name val="Calibri"/>
      <family val="2"/>
      <scheme val="minor"/>
    </font>
    <font>
      <b/>
      <sz val="9"/>
      <name val="Calibri"/>
      <family val="2"/>
      <scheme val="minor"/>
    </font>
    <font>
      <sz val="9"/>
      <color rgb="FF2C95AB"/>
      <name val="Calibri"/>
      <family val="2"/>
      <scheme val="minor"/>
    </font>
    <font>
      <i/>
      <sz val="9"/>
      <color theme="0" tint="-0.499984740745262"/>
      <name val="Calibri"/>
      <family val="2"/>
      <scheme val="minor"/>
    </font>
    <font>
      <b/>
      <sz val="16"/>
      <color theme="0"/>
      <name val="Calibri"/>
      <family val="2"/>
    </font>
    <font>
      <b/>
      <vertAlign val="subscript"/>
      <sz val="9"/>
      <color theme="0"/>
      <name val="Calibri"/>
      <family val="2"/>
      <scheme val="minor"/>
    </font>
    <font>
      <vertAlign val="subscript"/>
      <sz val="9"/>
      <color theme="0"/>
      <name val="Calibri"/>
      <family val="2"/>
      <scheme val="minor"/>
    </font>
    <font>
      <b/>
      <vertAlign val="subscript"/>
      <sz val="9"/>
      <color rgb="FF2C95AB"/>
      <name val="Calibri"/>
      <family val="2"/>
      <scheme val="minor"/>
    </font>
    <font>
      <i/>
      <sz val="8"/>
      <name val="Calibri"/>
      <family val="2"/>
      <scheme val="minor"/>
    </font>
    <font>
      <sz val="8"/>
      <name val="Calibri"/>
      <family val="2"/>
      <scheme val="minor"/>
    </font>
    <font>
      <vertAlign val="subscript"/>
      <sz val="9"/>
      <name val="Calibri"/>
      <family val="2"/>
      <scheme val="minor"/>
    </font>
    <font>
      <b/>
      <sz val="9"/>
      <color rgb="FF0070C0"/>
      <name val="Calibri"/>
      <family val="2"/>
      <scheme val="minor"/>
    </font>
    <font>
      <vertAlign val="superscript"/>
      <sz val="9"/>
      <name val="Calibri"/>
      <family val="2"/>
      <scheme val="minor"/>
    </font>
    <font>
      <sz val="10"/>
      <color rgb="FF7030A0"/>
      <name val="Arial"/>
      <family val="2"/>
    </font>
    <font>
      <b/>
      <sz val="10"/>
      <name val="Arial"/>
      <family val="2"/>
    </font>
    <font>
      <sz val="9"/>
      <color theme="1"/>
      <name val="Calibri"/>
      <family val="2"/>
    </font>
    <font>
      <b/>
      <sz val="18"/>
      <color theme="1"/>
      <name val="Calibri"/>
      <family val="2"/>
      <scheme val="minor"/>
    </font>
    <font>
      <b/>
      <sz val="10.5"/>
      <color theme="1"/>
      <name val="Calibri"/>
      <family val="2"/>
      <scheme val="minor"/>
    </font>
    <font>
      <b/>
      <u/>
      <sz val="12"/>
      <color theme="1"/>
      <name val="Arial"/>
      <family val="2"/>
    </font>
    <font>
      <b/>
      <sz val="10"/>
      <color rgb="FFFF0000"/>
      <name val="Arial"/>
      <family val="2"/>
    </font>
    <font>
      <sz val="14"/>
      <color rgb="FFC00000"/>
      <name val="Arial"/>
      <family val="2"/>
    </font>
    <font>
      <b/>
      <sz val="14"/>
      <color rgb="FFC00000"/>
      <name val="Arial"/>
      <family val="2"/>
    </font>
    <font>
      <sz val="11"/>
      <color rgb="FFFF0000"/>
      <name val="Calibri"/>
      <family val="2"/>
      <scheme val="minor"/>
    </font>
    <font>
      <b/>
      <u/>
      <sz val="11"/>
      <color theme="1"/>
      <name val="Calibri"/>
      <family val="2"/>
      <scheme val="minor"/>
    </font>
    <font>
      <i/>
      <sz val="12"/>
      <color theme="1"/>
      <name val="Calibri"/>
      <family val="2"/>
      <scheme val="minor"/>
    </font>
    <font>
      <b/>
      <i/>
      <sz val="12"/>
      <color theme="1"/>
      <name val="Calibri"/>
      <family val="2"/>
      <scheme val="minor"/>
    </font>
    <font>
      <sz val="11"/>
      <name val="Calibri"/>
      <family val="2"/>
      <scheme val="minor"/>
    </font>
    <font>
      <sz val="8"/>
      <name val="Arial"/>
      <family val="2"/>
    </font>
    <font>
      <sz val="10"/>
      <color theme="5" tint="-0.249977111117893"/>
      <name val="Arial"/>
      <family val="2"/>
    </font>
    <font>
      <sz val="9"/>
      <color theme="5" tint="-0.249977111117893"/>
      <name val="Arial"/>
      <family val="2"/>
    </font>
    <font>
      <b/>
      <sz val="16"/>
      <color rgb="FFFF0000"/>
      <name val="Arial"/>
      <family val="2"/>
    </font>
    <font>
      <b/>
      <sz val="20"/>
      <color rgb="FFFF0000"/>
      <name val="Arial"/>
      <family val="2"/>
    </font>
    <font>
      <b/>
      <sz val="18"/>
      <color theme="0"/>
      <name val="Arial"/>
      <family val="2"/>
    </font>
    <font>
      <u/>
      <sz val="12"/>
      <color rgb="FFFFC000"/>
      <name val="Calibri"/>
      <family val="2"/>
      <scheme val="minor"/>
    </font>
    <font>
      <b/>
      <sz val="11"/>
      <color theme="0"/>
      <name val="Arial"/>
      <family val="2"/>
    </font>
    <font>
      <i/>
      <sz val="10"/>
      <color theme="0"/>
      <name val="Arial"/>
      <family val="2"/>
    </font>
    <font>
      <u/>
      <sz val="12"/>
      <color theme="0"/>
      <name val="Calibri"/>
      <family val="2"/>
      <scheme val="minor"/>
    </font>
    <font>
      <b/>
      <sz val="9"/>
      <color rgb="FF000000"/>
      <name val="Tahoma"/>
      <family val="2"/>
    </font>
    <font>
      <sz val="9"/>
      <color rgb="FF000000"/>
      <name val="Tahoma"/>
      <family val="2"/>
    </font>
  </fonts>
  <fills count="2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7D379"/>
        <bgColor indexed="64"/>
      </patternFill>
    </fill>
    <fill>
      <patternFill patternType="solid">
        <fgColor theme="0" tint="-0.249977111117893"/>
        <bgColor indexed="64"/>
      </patternFill>
    </fill>
    <fill>
      <patternFill patternType="solid">
        <fgColor rgb="FF00546E"/>
        <bgColor indexed="64"/>
      </patternFill>
    </fill>
    <fill>
      <patternFill patternType="solid">
        <fgColor rgb="FFF5A81C"/>
        <bgColor indexed="64"/>
      </patternFill>
    </fill>
    <fill>
      <patternFill patternType="solid">
        <fgColor rgb="FF00759A"/>
        <bgColor indexed="64"/>
      </patternFill>
    </fill>
    <fill>
      <patternFill patternType="solid">
        <fgColor rgb="FFC00000"/>
        <bgColor indexed="64"/>
      </patternFill>
    </fill>
    <fill>
      <patternFill patternType="solid">
        <fgColor theme="1" tint="0.34998626667073579"/>
        <bgColor indexed="64"/>
      </patternFill>
    </fill>
    <fill>
      <patternFill patternType="solid">
        <fgColor indexed="9"/>
        <bgColor indexed="64"/>
      </patternFill>
    </fill>
    <fill>
      <patternFill patternType="solid">
        <fgColor rgb="FF2C95AB"/>
        <bgColor indexed="64"/>
      </patternFill>
    </fill>
    <fill>
      <patternFill patternType="solid">
        <fgColor rgb="FFEAF0F4"/>
        <bgColor indexed="64"/>
      </patternFill>
    </fill>
    <fill>
      <patternFill patternType="solid">
        <fgColor rgb="FFFFFF00"/>
        <bgColor indexed="64"/>
      </patternFill>
    </fill>
    <fill>
      <patternFill patternType="solid">
        <fgColor rgb="FFFFFFFF"/>
        <bgColor rgb="FFFFFFFF"/>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CFF00"/>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0" tint="-0.24994659260841701"/>
        <bgColor indexed="64"/>
      </patternFill>
    </fill>
  </fills>
  <borders count="48">
    <border>
      <left/>
      <right/>
      <top/>
      <bottom/>
      <diagonal/>
    </border>
    <border>
      <left/>
      <right/>
      <top/>
      <bottom style="thin">
        <color rgb="FF00546E"/>
      </bottom>
      <diagonal/>
    </border>
    <border>
      <left/>
      <right/>
      <top style="thin">
        <color rgb="FF00546E"/>
      </top>
      <bottom/>
      <diagonal/>
    </border>
    <border>
      <left/>
      <right/>
      <top style="thick">
        <color theme="0"/>
      </top>
      <bottom/>
      <diagonal/>
    </border>
    <border>
      <left/>
      <right/>
      <top/>
      <bottom style="thick">
        <color theme="0"/>
      </bottom>
      <diagonal/>
    </border>
    <border>
      <left/>
      <right/>
      <top style="thick">
        <color theme="0"/>
      </top>
      <bottom style="thick">
        <color theme="0"/>
      </bottom>
      <diagonal/>
    </border>
    <border>
      <left/>
      <right style="thick">
        <color theme="0"/>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diagonal/>
    </border>
    <border>
      <left style="thick">
        <color theme="0"/>
      </left>
      <right/>
      <top style="thick">
        <color theme="0"/>
      </top>
      <bottom/>
      <diagonal/>
    </border>
    <border>
      <left/>
      <right/>
      <top style="thin">
        <color rgb="FF00546E"/>
      </top>
      <bottom style="thick">
        <color theme="0"/>
      </bottom>
      <diagonal/>
    </border>
    <border>
      <left/>
      <right/>
      <top style="thin">
        <color theme="0"/>
      </top>
      <bottom/>
      <diagonal/>
    </border>
    <border>
      <left style="thin">
        <color theme="0" tint="-0.14996795556505021"/>
      </left>
      <right/>
      <top/>
      <bottom/>
      <diagonal/>
    </border>
    <border>
      <left/>
      <right style="thin">
        <color theme="0" tint="-0.14990691854609822"/>
      </right>
      <top/>
      <bottom/>
      <diagonal/>
    </border>
    <border>
      <left/>
      <right/>
      <top/>
      <bottom style="thin">
        <color rgb="FF2C95AB"/>
      </bottom>
      <diagonal/>
    </border>
    <border>
      <left style="thin">
        <color theme="0" tint="-0.14996795556505021"/>
      </left>
      <right/>
      <top/>
      <bottom style="thin">
        <color rgb="FF2C95AB"/>
      </bottom>
      <diagonal/>
    </border>
    <border>
      <left/>
      <right style="thin">
        <color theme="0" tint="-0.14990691854609822"/>
      </right>
      <top/>
      <bottom style="thin">
        <color rgb="FF2C95AB"/>
      </bottom>
      <diagonal/>
    </border>
    <border>
      <left/>
      <right/>
      <top style="thin">
        <color rgb="FF2C95AB"/>
      </top>
      <bottom/>
      <diagonal/>
    </border>
    <border>
      <left style="thin">
        <color theme="0" tint="-0.14996795556505021"/>
      </left>
      <right/>
      <top style="thin">
        <color rgb="FF2C95AB"/>
      </top>
      <bottom/>
      <diagonal/>
    </border>
    <border>
      <left/>
      <right style="thin">
        <color theme="0" tint="-0.14990691854609822"/>
      </right>
      <top style="thin">
        <color rgb="FF2C95AB"/>
      </top>
      <bottom/>
      <diagonal/>
    </border>
    <border>
      <left/>
      <right/>
      <top/>
      <bottom style="medium">
        <color rgb="FF2C95AB"/>
      </bottom>
      <diagonal/>
    </border>
    <border>
      <left style="thin">
        <color theme="0" tint="-0.14996795556505021"/>
      </left>
      <right/>
      <top/>
      <bottom style="medium">
        <color rgb="FF2C95AB"/>
      </bottom>
      <diagonal/>
    </border>
    <border>
      <left/>
      <right style="thin">
        <color theme="0" tint="-0.14990691854609822"/>
      </right>
      <top/>
      <bottom style="medium">
        <color rgb="FF2C95AB"/>
      </bottom>
      <diagonal/>
    </border>
    <border>
      <left/>
      <right style="thin">
        <color theme="0" tint="-0.14996795556505021"/>
      </right>
      <top/>
      <bottom/>
      <diagonal/>
    </border>
    <border>
      <left/>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right style="thin">
        <color theme="0" tint="-0.14996795556505021"/>
      </right>
      <top/>
      <bottom style="thin">
        <color rgb="FF2C95AB"/>
      </bottom>
      <diagonal/>
    </border>
    <border>
      <left/>
      <right style="thin">
        <color theme="0" tint="-0.14996795556505021"/>
      </right>
      <top/>
      <bottom style="medium">
        <color rgb="FF2C95AB"/>
      </bottom>
      <diagonal/>
    </border>
    <border>
      <left/>
      <right/>
      <top style="thin">
        <color rgb="FF2C95AB"/>
      </top>
      <bottom style="thin">
        <color rgb="FF2C95AB"/>
      </bottom>
      <diagonal/>
    </border>
    <border>
      <left style="thin">
        <color theme="0" tint="-0.14996795556505021"/>
      </left>
      <right/>
      <top style="thin">
        <color rgb="FF2C95AB"/>
      </top>
      <bottom style="thin">
        <color rgb="FF2C95AB"/>
      </bottom>
      <diagonal/>
    </border>
    <border>
      <left/>
      <right style="thin">
        <color theme="0" tint="-0.14993743705557422"/>
      </right>
      <top/>
      <bottom style="medium">
        <color rgb="FF2C95AB"/>
      </bottom>
      <diagonal/>
    </border>
    <border>
      <left/>
      <right/>
      <top style="medium">
        <color rgb="FF2C95AB"/>
      </top>
      <bottom/>
      <diagonal/>
    </border>
    <border>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7" tint="0.39997558519241921"/>
      </top>
      <bottom style="thin">
        <color theme="7" tint="0.39997558519241921"/>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theme="0"/>
      </right>
      <top style="thick">
        <color theme="0"/>
      </top>
      <bottom style="thick">
        <color theme="0"/>
      </bottom>
      <diagonal/>
    </border>
  </borders>
  <cellStyleXfs count="11">
    <xf numFmtId="0" fontId="0" fillId="0" borderId="0"/>
    <xf numFmtId="0" fontId="5" fillId="0" borderId="0"/>
    <xf numFmtId="9" fontId="6" fillId="0" borderId="0" applyFont="0" applyFill="0" applyBorder="0" applyAlignment="0" applyProtection="0"/>
    <xf numFmtId="0" fontId="2" fillId="0" borderId="0"/>
    <xf numFmtId="0" fontId="32" fillId="0" borderId="0"/>
    <xf numFmtId="9" fontId="32" fillId="0" borderId="0" applyFont="0" applyFill="0" applyBorder="0" applyAlignment="0" applyProtection="0"/>
    <xf numFmtId="0" fontId="35" fillId="0" borderId="0" applyNumberFormat="0" applyFill="0" applyBorder="0" applyAlignment="0" applyProtection="0"/>
    <xf numFmtId="0" fontId="52" fillId="0" borderId="0"/>
    <xf numFmtId="0" fontId="65" fillId="0" borderId="0" applyNumberFormat="0" applyFill="0" applyBorder="0" applyAlignment="0" applyProtection="0">
      <alignment vertical="top"/>
      <protection locked="0"/>
    </xf>
    <xf numFmtId="9" fontId="52" fillId="0" borderId="0" applyFont="0" applyFill="0" applyBorder="0" applyAlignment="0" applyProtection="0"/>
    <xf numFmtId="164" fontId="6" fillId="0" borderId="0" applyFont="0" applyFill="0" applyBorder="0" applyAlignment="0" applyProtection="0"/>
  </cellStyleXfs>
  <cellXfs count="686">
    <xf numFmtId="0" fontId="0" fillId="0" borderId="0" xfId="0"/>
    <xf numFmtId="0" fontId="3" fillId="0" borderId="0" xfId="0" applyFont="1"/>
    <xf numFmtId="3" fontId="0" fillId="0" borderId="0" xfId="0" applyNumberFormat="1"/>
    <xf numFmtId="0" fontId="6" fillId="0" borderId="0" xfId="0" applyFont="1"/>
    <xf numFmtId="4" fontId="0" fillId="0" borderId="0" xfId="0" applyNumberFormat="1"/>
    <xf numFmtId="2" fontId="6" fillId="0" borderId="0" xfId="0" applyNumberFormat="1" applyFont="1"/>
    <xf numFmtId="1" fontId="6" fillId="0" borderId="0" xfId="0" applyNumberFormat="1" applyFont="1"/>
    <xf numFmtId="0" fontId="7" fillId="0" borderId="0" xfId="0" applyFont="1"/>
    <xf numFmtId="0" fontId="8" fillId="0" borderId="0" xfId="0" applyFont="1"/>
    <xf numFmtId="165" fontId="11" fillId="2" borderId="0" xfId="0" applyNumberFormat="1" applyFont="1" applyFill="1" applyAlignment="1">
      <alignment horizontal="left" vertical="center"/>
    </xf>
    <xf numFmtId="1" fontId="0" fillId="3" borderId="0" xfId="0" applyNumberFormat="1" applyFill="1"/>
    <xf numFmtId="1" fontId="14" fillId="3" borderId="0" xfId="0" applyNumberFormat="1" applyFont="1" applyFill="1"/>
    <xf numFmtId="165" fontId="0" fillId="3" borderId="0" xfId="0" applyNumberFormat="1" applyFill="1"/>
    <xf numFmtId="165" fontId="10" fillId="3" borderId="0" xfId="0" applyNumberFormat="1" applyFont="1" applyFill="1"/>
    <xf numFmtId="165" fontId="15" fillId="3" borderId="0" xfId="0" applyNumberFormat="1" applyFont="1" applyFill="1"/>
    <xf numFmtId="0" fontId="15" fillId="0" borderId="0" xfId="0" applyFont="1"/>
    <xf numFmtId="165" fontId="16" fillId="3" borderId="0" xfId="0" applyNumberFormat="1" applyFont="1" applyFill="1"/>
    <xf numFmtId="165" fontId="17" fillId="3" borderId="0" xfId="0" applyNumberFormat="1" applyFont="1" applyFill="1"/>
    <xf numFmtId="165" fontId="0" fillId="3" borderId="0" xfId="0" applyNumberFormat="1" applyFill="1" applyAlignment="1">
      <alignment wrapText="1"/>
    </xf>
    <xf numFmtId="165" fontId="10" fillId="3" borderId="0" xfId="0" applyNumberFormat="1" applyFont="1" applyFill="1" applyAlignment="1">
      <alignment wrapText="1"/>
    </xf>
    <xf numFmtId="1" fontId="18" fillId="3" borderId="0" xfId="0" applyNumberFormat="1" applyFont="1" applyFill="1"/>
    <xf numFmtId="1" fontId="19" fillId="3" borderId="0" xfId="0" applyNumberFormat="1" applyFont="1" applyFill="1"/>
    <xf numFmtId="0" fontId="0" fillId="3" borderId="0" xfId="0" applyFill="1"/>
    <xf numFmtId="165" fontId="14" fillId="3" borderId="0" xfId="0" applyNumberFormat="1" applyFont="1" applyFill="1"/>
    <xf numFmtId="1" fontId="18" fillId="3" borderId="0" xfId="0" applyNumberFormat="1" applyFont="1" applyFill="1" applyAlignment="1">
      <alignment horizontal="center" vertical="center"/>
    </xf>
    <xf numFmtId="1" fontId="19" fillId="3" borderId="0" xfId="0" applyNumberFormat="1" applyFont="1" applyFill="1" applyAlignment="1">
      <alignment horizontal="center" vertical="center"/>
    </xf>
    <xf numFmtId="1" fontId="13" fillId="2" borderId="0" xfId="0" applyNumberFormat="1" applyFont="1" applyFill="1" applyAlignment="1">
      <alignment vertical="center"/>
    </xf>
    <xf numFmtId="1" fontId="18" fillId="2" borderId="0" xfId="0" applyNumberFormat="1" applyFont="1" applyFill="1"/>
    <xf numFmtId="1" fontId="19" fillId="2" borderId="0" xfId="0" applyNumberFormat="1" applyFont="1" applyFill="1"/>
    <xf numFmtId="1" fontId="9" fillId="2" borderId="0" xfId="0" applyNumberFormat="1" applyFont="1" applyFill="1" applyAlignment="1">
      <alignment vertical="center"/>
    </xf>
    <xf numFmtId="165" fontId="21" fillId="3" borderId="0" xfId="0" applyNumberFormat="1" applyFont="1" applyFill="1"/>
    <xf numFmtId="0" fontId="21" fillId="0" borderId="0" xfId="0" applyFont="1"/>
    <xf numFmtId="1" fontId="12" fillId="4" borderId="0" xfId="0" applyNumberFormat="1" applyFont="1" applyFill="1" applyAlignment="1">
      <alignment vertical="center"/>
    </xf>
    <xf numFmtId="1" fontId="13" fillId="4" borderId="0" xfId="0" applyNumberFormat="1" applyFont="1" applyFill="1" applyAlignment="1">
      <alignment vertical="center"/>
    </xf>
    <xf numFmtId="0" fontId="0" fillId="4" borderId="0" xfId="0" applyFill="1"/>
    <xf numFmtId="165" fontId="22" fillId="3" borderId="0" xfId="0" applyNumberFormat="1" applyFont="1" applyFill="1"/>
    <xf numFmtId="165" fontId="11" fillId="0" borderId="0" xfId="0" applyNumberFormat="1" applyFont="1" applyAlignment="1">
      <alignment horizontal="left" vertical="center"/>
    </xf>
    <xf numFmtId="1" fontId="12" fillId="0" borderId="0" xfId="0" applyNumberFormat="1" applyFont="1" applyAlignment="1">
      <alignment vertical="center"/>
    </xf>
    <xf numFmtId="1" fontId="0" fillId="0" borderId="0" xfId="0" applyNumberFormat="1"/>
    <xf numFmtId="165" fontId="9" fillId="0" borderId="0" xfId="0" applyNumberFormat="1" applyFont="1"/>
    <xf numFmtId="165" fontId="0" fillId="0" borderId="0" xfId="0" applyNumberFormat="1"/>
    <xf numFmtId="165" fontId="10" fillId="0" borderId="0" xfId="0" applyNumberFormat="1" applyFont="1"/>
    <xf numFmtId="165" fontId="16" fillId="0" borderId="0" xfId="0" applyNumberFormat="1" applyFont="1"/>
    <xf numFmtId="0" fontId="0" fillId="7" borderId="0" xfId="0" applyFill="1"/>
    <xf numFmtId="1" fontId="23" fillId="4" borderId="0" xfId="0" applyNumberFormat="1" applyFont="1" applyFill="1" applyAlignment="1">
      <alignment vertical="center"/>
    </xf>
    <xf numFmtId="0" fontId="24" fillId="0" borderId="0" xfId="0" applyFont="1"/>
    <xf numFmtId="0" fontId="25" fillId="5" borderId="0" xfId="0" applyFont="1" applyFill="1" applyAlignment="1">
      <alignment horizontal="center" vertical="center"/>
    </xf>
    <xf numFmtId="2" fontId="7" fillId="0" borderId="0" xfId="0" applyNumberFormat="1" applyFont="1"/>
    <xf numFmtId="10" fontId="7" fillId="0" borderId="0" xfId="2" applyNumberFormat="1" applyFont="1"/>
    <xf numFmtId="166" fontId="7" fillId="0" borderId="0" xfId="2" applyNumberFormat="1" applyFont="1"/>
    <xf numFmtId="0" fontId="7" fillId="6" borderId="0" xfId="0" applyFont="1" applyFill="1"/>
    <xf numFmtId="4" fontId="27" fillId="0" borderId="0" xfId="0" applyNumberFormat="1" applyFont="1" applyAlignment="1">
      <alignment horizontal="center"/>
    </xf>
    <xf numFmtId="4" fontId="28" fillId="0" borderId="0" xfId="0" applyNumberFormat="1" applyFont="1" applyAlignment="1">
      <alignment horizontal="center"/>
    </xf>
    <xf numFmtId="4" fontId="7" fillId="0" borderId="0" xfId="0" applyNumberFormat="1" applyFont="1"/>
    <xf numFmtId="4" fontId="7" fillId="6" borderId="0" xfId="0" applyNumberFormat="1" applyFont="1" applyFill="1"/>
    <xf numFmtId="4" fontId="29" fillId="0" borderId="0" xfId="0" applyNumberFormat="1" applyFont="1" applyAlignment="1">
      <alignment horizontal="center"/>
    </xf>
    <xf numFmtId="3" fontId="0" fillId="7" borderId="0" xfId="0" applyNumberFormat="1" applyFill="1"/>
    <xf numFmtId="0" fontId="30" fillId="0" borderId="0" xfId="0" applyFont="1"/>
    <xf numFmtId="0" fontId="3" fillId="7" borderId="0" xfId="0" applyFont="1" applyFill="1"/>
    <xf numFmtId="0" fontId="0" fillId="3" borderId="0" xfId="0" applyFill="1" applyAlignment="1">
      <alignment horizontal="left" vertical="top" wrapText="1"/>
    </xf>
    <xf numFmtId="0" fontId="26" fillId="3" borderId="0" xfId="0" applyFont="1" applyFill="1" applyAlignment="1">
      <alignment horizontal="left" vertical="top" wrapText="1"/>
    </xf>
    <xf numFmtId="0" fontId="33" fillId="3" borderId="1" xfId="0" applyFont="1" applyFill="1" applyBorder="1" applyAlignment="1" applyProtection="1">
      <alignment vertical="center"/>
      <protection hidden="1"/>
    </xf>
    <xf numFmtId="0" fontId="34" fillId="3" borderId="1" xfId="0" applyFont="1" applyFill="1" applyBorder="1" applyAlignment="1" applyProtection="1">
      <alignment vertical="center"/>
      <protection hidden="1"/>
    </xf>
    <xf numFmtId="3" fontId="0" fillId="8" borderId="0" xfId="0" applyNumberFormat="1" applyFill="1"/>
    <xf numFmtId="0" fontId="4" fillId="7" borderId="0" xfId="0" applyFont="1" applyFill="1"/>
    <xf numFmtId="10" fontId="0" fillId="0" borderId="0" xfId="2" applyNumberFormat="1" applyFont="1"/>
    <xf numFmtId="167" fontId="0" fillId="0" borderId="0" xfId="0" applyNumberFormat="1"/>
    <xf numFmtId="9" fontId="6" fillId="0" borderId="0" xfId="2" applyFont="1" applyAlignment="1">
      <alignment horizontal="center"/>
    </xf>
    <xf numFmtId="4" fontId="6" fillId="0" borderId="0" xfId="0" applyNumberFormat="1" applyFont="1"/>
    <xf numFmtId="168" fontId="0" fillId="0" borderId="0" xfId="2" applyNumberFormat="1" applyFont="1"/>
    <xf numFmtId="0" fontId="38" fillId="3" borderId="1" xfId="0" applyFont="1" applyFill="1" applyBorder="1" applyAlignment="1" applyProtection="1">
      <alignment vertical="center"/>
      <protection hidden="1"/>
    </xf>
    <xf numFmtId="0" fontId="0" fillId="3" borderId="0" xfId="0" applyFill="1" applyAlignment="1" applyProtection="1">
      <alignment vertical="center"/>
      <protection hidden="1"/>
    </xf>
    <xf numFmtId="0" fontId="36" fillId="3" borderId="0" xfId="6" applyFont="1" applyFill="1" applyBorder="1" applyAlignment="1" applyProtection="1">
      <alignment vertical="center"/>
      <protection hidden="1"/>
    </xf>
    <xf numFmtId="0" fontId="31" fillId="3" borderId="0" xfId="0" applyFont="1" applyFill="1" applyAlignment="1" applyProtection="1">
      <alignment vertical="center"/>
      <protection hidden="1"/>
    </xf>
    <xf numFmtId="0" fontId="3" fillId="0" borderId="0" xfId="0" applyFont="1" applyAlignment="1">
      <alignment horizontal="right"/>
    </xf>
    <xf numFmtId="165" fontId="45" fillId="3" borderId="0" xfId="0" applyNumberFormat="1" applyFont="1" applyFill="1"/>
    <xf numFmtId="165" fontId="46" fillId="3" borderId="0" xfId="0" applyNumberFormat="1" applyFont="1" applyFill="1"/>
    <xf numFmtId="0" fontId="46" fillId="0" borderId="0" xfId="0" applyFont="1"/>
    <xf numFmtId="168" fontId="6" fillId="0" borderId="0" xfId="2" applyNumberFormat="1" applyFont="1"/>
    <xf numFmtId="0" fontId="34" fillId="3" borderId="0" xfId="0" applyFont="1" applyFill="1" applyAlignment="1" applyProtection="1">
      <alignment vertical="center"/>
      <protection hidden="1"/>
    </xf>
    <xf numFmtId="0" fontId="40" fillId="3" borderId="0" xfId="0" applyFont="1" applyFill="1" applyAlignment="1">
      <alignment vertical="center" wrapText="1"/>
    </xf>
    <xf numFmtId="0" fontId="47" fillId="3" borderId="0" xfId="0" applyFont="1" applyFill="1" applyAlignment="1">
      <alignment vertical="center" wrapText="1"/>
    </xf>
    <xf numFmtId="0" fontId="38" fillId="3" borderId="0" xfId="0" applyFont="1" applyFill="1" applyAlignment="1" applyProtection="1">
      <alignment vertical="center"/>
      <protection hidden="1"/>
    </xf>
    <xf numFmtId="0" fontId="33" fillId="3" borderId="0" xfId="0" applyFont="1" applyFill="1" applyAlignment="1" applyProtection="1">
      <alignment vertical="center"/>
      <protection hidden="1"/>
    </xf>
    <xf numFmtId="0" fontId="34" fillId="11" borderId="0" xfId="0" applyFont="1" applyFill="1" applyAlignment="1" applyProtection="1">
      <alignment vertical="center"/>
      <protection hidden="1"/>
    </xf>
    <xf numFmtId="0" fontId="53" fillId="11" borderId="0" xfId="0" applyFont="1" applyFill="1" applyAlignment="1" applyProtection="1">
      <alignment vertical="center"/>
      <protection hidden="1"/>
    </xf>
    <xf numFmtId="10" fontId="52" fillId="0" borderId="0" xfId="2" applyNumberFormat="1" applyFont="1" applyFill="1"/>
    <xf numFmtId="0" fontId="52" fillId="0" borderId="0" xfId="0" applyFont="1"/>
    <xf numFmtId="0" fontId="26" fillId="11" borderId="0" xfId="0" applyFont="1" applyFill="1" applyAlignment="1">
      <alignment horizontal="left" vertical="top" wrapText="1"/>
    </xf>
    <xf numFmtId="0" fontId="0" fillId="0" borderId="0" xfId="0" applyAlignment="1">
      <alignment horizontal="right"/>
    </xf>
    <xf numFmtId="165" fontId="42" fillId="2" borderId="0" xfId="0" applyNumberFormat="1" applyFont="1" applyFill="1"/>
    <xf numFmtId="3" fontId="0" fillId="3" borderId="0" xfId="0" applyNumberFormat="1" applyFill="1"/>
    <xf numFmtId="0" fontId="50" fillId="11" borderId="0" xfId="0" applyFont="1" applyFill="1" applyAlignment="1">
      <alignment horizontal="left" vertical="top" wrapText="1"/>
    </xf>
    <xf numFmtId="169" fontId="0" fillId="8" borderId="0" xfId="0" applyNumberFormat="1" applyFill="1"/>
    <xf numFmtId="0" fontId="0" fillId="3" borderId="0" xfId="0" applyFill="1" applyAlignment="1">
      <alignment vertical="center"/>
    </xf>
    <xf numFmtId="0" fontId="32" fillId="3" borderId="1" xfId="4" applyFill="1" applyBorder="1"/>
    <xf numFmtId="0" fontId="32" fillId="3" borderId="0" xfId="4" applyFill="1" applyAlignment="1">
      <alignment vertical="top" wrapText="1"/>
    </xf>
    <xf numFmtId="0" fontId="37" fillId="3" borderId="0" xfId="4" applyFont="1" applyFill="1" applyAlignment="1">
      <alignment horizontal="left" vertical="top" wrapText="1"/>
    </xf>
    <xf numFmtId="0" fontId="6" fillId="3" borderId="0" xfId="0" applyFont="1" applyFill="1"/>
    <xf numFmtId="0" fontId="54" fillId="0" borderId="0" xfId="0" applyFont="1"/>
    <xf numFmtId="0" fontId="42" fillId="11" borderId="6" xfId="0" applyFont="1" applyFill="1" applyBorder="1" applyAlignment="1">
      <alignment horizontal="center" vertical="center"/>
    </xf>
    <xf numFmtId="0" fontId="39" fillId="11" borderId="8" xfId="0" quotePrefix="1" applyFont="1" applyFill="1" applyBorder="1" applyAlignment="1">
      <alignment horizontal="center" vertical="center"/>
    </xf>
    <xf numFmtId="0" fontId="42" fillId="11" borderId="8" xfId="0" quotePrefix="1" applyFont="1" applyFill="1" applyBorder="1" applyAlignment="1">
      <alignment horizontal="center" vertical="center"/>
    </xf>
    <xf numFmtId="0" fontId="51" fillId="11" borderId="0" xfId="4" applyFont="1" applyFill="1" applyAlignment="1">
      <alignment vertical="top" wrapText="1"/>
    </xf>
    <xf numFmtId="0" fontId="24" fillId="3" borderId="0" xfId="0" applyFont="1" applyFill="1" applyAlignment="1">
      <alignment vertical="center"/>
    </xf>
    <xf numFmtId="0" fontId="26" fillId="3" borderId="0" xfId="0" applyFont="1" applyFill="1" applyAlignment="1">
      <alignment vertical="center"/>
    </xf>
    <xf numFmtId="0" fontId="26" fillId="3" borderId="0" xfId="0" applyFont="1" applyFill="1"/>
    <xf numFmtId="0" fontId="48" fillId="0" borderId="0" xfId="0" applyFont="1"/>
    <xf numFmtId="0" fontId="0" fillId="11" borderId="0" xfId="0" applyFill="1"/>
    <xf numFmtId="0" fontId="47" fillId="11" borderId="0" xfId="0" applyFont="1" applyFill="1" applyAlignment="1">
      <alignment horizontal="center" vertical="top"/>
    </xf>
    <xf numFmtId="0" fontId="50" fillId="11" borderId="0" xfId="0" applyFont="1" applyFill="1"/>
    <xf numFmtId="0" fontId="4" fillId="0" borderId="0" xfId="0" applyFont="1"/>
    <xf numFmtId="0" fontId="56" fillId="0" borderId="0" xfId="0" applyFont="1" applyAlignment="1">
      <alignment vertical="center"/>
    </xf>
    <xf numFmtId="0" fontId="0" fillId="0" borderId="0" xfId="0" applyAlignment="1">
      <alignment vertical="center"/>
    </xf>
    <xf numFmtId="0" fontId="3" fillId="0" borderId="0" xfId="0" applyFont="1" applyAlignment="1">
      <alignment horizontal="right" vertical="center"/>
    </xf>
    <xf numFmtId="0" fontId="36" fillId="0" borderId="0" xfId="6" applyFont="1" applyFill="1" applyBorder="1" applyAlignment="1" applyProtection="1">
      <alignment vertical="center"/>
    </xf>
    <xf numFmtId="0" fontId="24" fillId="13" borderId="0" xfId="4" applyFont="1" applyFill="1"/>
    <xf numFmtId="0" fontId="39" fillId="11" borderId="4" xfId="4" applyFont="1" applyFill="1" applyBorder="1" applyAlignment="1">
      <alignment horizontal="left" vertical="center" indent="2"/>
    </xf>
    <xf numFmtId="0" fontId="8" fillId="0" borderId="0" xfId="0" applyFont="1" applyAlignment="1">
      <alignment vertical="center"/>
    </xf>
    <xf numFmtId="0" fontId="39" fillId="11" borderId="5" xfId="4" applyFont="1" applyFill="1" applyBorder="1" applyAlignment="1">
      <alignment horizontal="left" vertical="center" indent="2"/>
    </xf>
    <xf numFmtId="0" fontId="0" fillId="0" borderId="0" xfId="0" applyAlignment="1">
      <alignment vertical="top" wrapText="1"/>
    </xf>
    <xf numFmtId="3"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top" indent="2"/>
    </xf>
    <xf numFmtId="168" fontId="0" fillId="0" borderId="0" xfId="2" applyNumberFormat="1" applyFont="1" applyProtection="1"/>
    <xf numFmtId="0" fontId="3" fillId="0" borderId="0" xfId="0" applyFont="1" applyAlignment="1">
      <alignment vertical="top"/>
    </xf>
    <xf numFmtId="0" fontId="7" fillId="0" borderId="0" xfId="0" applyFont="1" applyAlignment="1">
      <alignment horizontal="center" wrapText="1"/>
    </xf>
    <xf numFmtId="3" fontId="0" fillId="0" borderId="0" xfId="0" applyNumberFormat="1" applyAlignment="1">
      <alignment vertical="center"/>
    </xf>
    <xf numFmtId="169" fontId="7" fillId="0" borderId="0" xfId="0" applyNumberFormat="1" applyFont="1"/>
    <xf numFmtId="0" fontId="57" fillId="0" borderId="0" xfId="0" applyFont="1" applyAlignment="1">
      <alignment horizontal="center" vertical="center"/>
    </xf>
    <xf numFmtId="0" fontId="6" fillId="9" borderId="3" xfId="4" applyFont="1" applyFill="1" applyBorder="1" applyAlignment="1" applyProtection="1">
      <alignment horizontal="center" vertical="center"/>
      <protection locked="0"/>
    </xf>
    <xf numFmtId="3" fontId="6" fillId="9" borderId="3" xfId="4" applyNumberFormat="1" applyFont="1" applyFill="1" applyBorder="1" applyAlignment="1" applyProtection="1">
      <alignment horizontal="center" vertical="center"/>
      <protection locked="0"/>
    </xf>
    <xf numFmtId="0" fontId="24" fillId="0" borderId="0" xfId="4" applyFont="1"/>
    <xf numFmtId="0" fontId="55" fillId="0" borderId="0" xfId="0" applyFont="1" applyAlignment="1">
      <alignment vertical="center"/>
    </xf>
    <xf numFmtId="10" fontId="0" fillId="0" borderId="0" xfId="2" applyNumberFormat="1" applyFont="1" applyProtection="1"/>
    <xf numFmtId="169" fontId="7" fillId="0" borderId="0" xfId="0" applyNumberFormat="1" applyFont="1" applyAlignment="1" applyProtection="1">
      <alignment horizontal="center"/>
      <protection locked="0"/>
    </xf>
    <xf numFmtId="1" fontId="3" fillId="0" borderId="0" xfId="0" applyNumberFormat="1" applyFont="1"/>
    <xf numFmtId="0" fontId="0" fillId="0" borderId="0" xfId="0" applyProtection="1">
      <protection locked="0"/>
    </xf>
    <xf numFmtId="169" fontId="3" fillId="0" borderId="0" xfId="0" applyNumberFormat="1" applyFont="1" applyProtection="1">
      <protection locked="0"/>
    </xf>
    <xf numFmtId="169" fontId="0" fillId="0" borderId="0" xfId="0" applyNumberFormat="1" applyProtection="1">
      <protection locked="0"/>
    </xf>
    <xf numFmtId="168" fontId="0" fillId="0" borderId="0" xfId="2" applyNumberFormat="1" applyFont="1" applyProtection="1">
      <protection locked="0"/>
    </xf>
    <xf numFmtId="0" fontId="58" fillId="0" borderId="0" xfId="0" applyFont="1"/>
    <xf numFmtId="0" fontId="59" fillId="0" borderId="0" xfId="0" applyFont="1"/>
    <xf numFmtId="0" fontId="60" fillId="0" borderId="0" xfId="0" applyFont="1" applyAlignment="1">
      <alignment horizontal="left"/>
    </xf>
    <xf numFmtId="0" fontId="39" fillId="0" borderId="0" xfId="0" applyFont="1"/>
    <xf numFmtId="170" fontId="0" fillId="0" borderId="0" xfId="0" applyNumberFormat="1"/>
    <xf numFmtId="168" fontId="6" fillId="8" borderId="4" xfId="2" applyNumberFormat="1" applyFont="1" applyFill="1" applyBorder="1" applyAlignment="1" applyProtection="1">
      <alignment horizontal="center" vertical="center"/>
    </xf>
    <xf numFmtId="3" fontId="6" fillId="8" borderId="4" xfId="4" applyNumberFormat="1" applyFont="1" applyFill="1" applyBorder="1" applyAlignment="1">
      <alignment horizontal="center" vertical="center"/>
    </xf>
    <xf numFmtId="168" fontId="6" fillId="10" borderId="4" xfId="2" applyNumberFormat="1" applyFont="1" applyFill="1" applyBorder="1" applyAlignment="1" applyProtection="1">
      <alignment horizontal="center" vertical="center"/>
    </xf>
    <xf numFmtId="173" fontId="0" fillId="7" borderId="0" xfId="0" applyNumberFormat="1" applyFill="1"/>
    <xf numFmtId="4" fontId="6" fillId="8" borderId="4" xfId="4" applyNumberFormat="1" applyFont="1" applyFill="1" applyBorder="1" applyAlignment="1">
      <alignment horizontal="center" vertical="center"/>
    </xf>
    <xf numFmtId="4" fontId="3" fillId="0" borderId="0" xfId="0" applyNumberFormat="1" applyFont="1" applyProtection="1">
      <protection locked="0"/>
    </xf>
    <xf numFmtId="0" fontId="3" fillId="0" borderId="0" xfId="0" applyFont="1" applyAlignment="1">
      <alignment wrapText="1"/>
    </xf>
    <xf numFmtId="0" fontId="42" fillId="0" borderId="0" xfId="0" applyFont="1"/>
    <xf numFmtId="9" fontId="39" fillId="0" borderId="0" xfId="2" applyFont="1" applyAlignment="1">
      <alignment horizontal="center"/>
    </xf>
    <xf numFmtId="0" fontId="3" fillId="0" borderId="0" xfId="0" applyFont="1" applyAlignment="1">
      <alignment horizontal="left" wrapText="1" indent="1"/>
    </xf>
    <xf numFmtId="0" fontId="6" fillId="0" borderId="0" xfId="0" applyFont="1" applyAlignment="1">
      <alignment horizontal="left" indent="1"/>
    </xf>
    <xf numFmtId="0" fontId="0" fillId="0" borderId="0" xfId="0" applyAlignment="1">
      <alignment horizontal="left" indent="1"/>
    </xf>
    <xf numFmtId="2" fontId="6" fillId="0" borderId="0" xfId="0" applyNumberFormat="1" applyFont="1" applyAlignment="1">
      <alignment horizontal="left" indent="1"/>
    </xf>
    <xf numFmtId="2" fontId="0" fillId="0" borderId="0" xfId="0" applyNumberFormat="1" applyAlignment="1">
      <alignment horizontal="left" indent="1"/>
    </xf>
    <xf numFmtId="0" fontId="0" fillId="0" borderId="0" xfId="0" applyAlignment="1">
      <alignment horizontal="center"/>
    </xf>
    <xf numFmtId="0" fontId="3" fillId="0" borderId="0" xfId="0" applyFont="1" applyAlignment="1">
      <alignment horizontal="center"/>
    </xf>
    <xf numFmtId="9" fontId="0" fillId="0" borderId="0" xfId="2" applyFont="1" applyAlignment="1">
      <alignment horizontal="center"/>
    </xf>
    <xf numFmtId="9" fontId="0" fillId="0" borderId="0" xfId="0" applyNumberFormat="1" applyAlignment="1">
      <alignment horizontal="center"/>
    </xf>
    <xf numFmtId="0" fontId="63" fillId="15" borderId="0" xfId="7" applyFont="1" applyFill="1" applyAlignment="1" applyProtection="1">
      <alignment vertical="center"/>
      <protection locked="0"/>
    </xf>
    <xf numFmtId="0" fontId="64" fillId="3" borderId="0" xfId="7" applyFont="1" applyFill="1" applyAlignment="1">
      <alignment vertical="center"/>
    </xf>
    <xf numFmtId="1" fontId="64" fillId="3" borderId="0" xfId="7" applyNumberFormat="1" applyFont="1" applyFill="1" applyAlignment="1">
      <alignment vertical="center"/>
    </xf>
    <xf numFmtId="176" fontId="64" fillId="3" borderId="0" xfId="7" applyNumberFormat="1" applyFont="1" applyFill="1" applyAlignment="1">
      <alignment vertical="center"/>
    </xf>
    <xf numFmtId="0" fontId="64" fillId="3" borderId="0" xfId="7" applyFont="1" applyFill="1" applyAlignment="1" applyProtection="1">
      <alignment vertical="center"/>
      <protection locked="0"/>
    </xf>
    <xf numFmtId="0" fontId="66" fillId="16" borderId="0" xfId="8" applyFont="1" applyFill="1" applyBorder="1" applyAlignment="1" applyProtection="1">
      <alignment vertical="center"/>
    </xf>
    <xf numFmtId="0" fontId="67" fillId="16" borderId="0" xfId="7" applyFont="1" applyFill="1" applyAlignment="1">
      <alignment vertical="center"/>
    </xf>
    <xf numFmtId="177" fontId="67" fillId="16" borderId="0" xfId="7" applyNumberFormat="1" applyFont="1" applyFill="1" applyAlignment="1">
      <alignment vertical="center"/>
    </xf>
    <xf numFmtId="0" fontId="68" fillId="16" borderId="0" xfId="7" applyFont="1" applyFill="1" applyAlignment="1" applyProtection="1">
      <alignment vertical="center"/>
      <protection locked="0"/>
    </xf>
    <xf numFmtId="0" fontId="69" fillId="17" borderId="0" xfId="7" applyFont="1" applyFill="1" applyAlignment="1">
      <alignment vertical="center"/>
    </xf>
    <xf numFmtId="0" fontId="69" fillId="17" borderId="0" xfId="7" applyFont="1" applyFill="1" applyAlignment="1">
      <alignment horizontal="centerContinuous" vertical="center"/>
    </xf>
    <xf numFmtId="0" fontId="69" fillId="17" borderId="0" xfId="7" applyFont="1" applyFill="1" applyAlignment="1">
      <alignment horizontal="centerContinuous" vertical="center" wrapText="1"/>
    </xf>
    <xf numFmtId="0" fontId="64" fillId="17" borderId="0" xfId="7" applyFont="1" applyFill="1" applyAlignment="1">
      <alignment horizontal="centerContinuous" vertical="center" wrapText="1"/>
    </xf>
    <xf numFmtId="0" fontId="70" fillId="16" borderId="0" xfId="7" applyFont="1" applyFill="1" applyAlignment="1" applyProtection="1">
      <alignment vertical="center"/>
      <protection locked="0"/>
    </xf>
    <xf numFmtId="9" fontId="69" fillId="17" borderId="0" xfId="7" applyNumberFormat="1" applyFont="1" applyFill="1" applyAlignment="1">
      <alignment horizontal="left" vertical="center"/>
    </xf>
    <xf numFmtId="0" fontId="69" fillId="17" borderId="12" xfId="7" applyFont="1" applyFill="1" applyBorder="1" applyAlignment="1">
      <alignment horizontal="center" vertical="center"/>
    </xf>
    <xf numFmtId="178" fontId="69" fillId="17" borderId="0" xfId="7" applyNumberFormat="1" applyFont="1" applyFill="1" applyAlignment="1">
      <alignment vertical="center"/>
    </xf>
    <xf numFmtId="0" fontId="69" fillId="17" borderId="12" xfId="7" applyFont="1" applyFill="1" applyBorder="1" applyAlignment="1">
      <alignment horizontal="center" vertical="center" wrapText="1"/>
    </xf>
    <xf numFmtId="0" fontId="71" fillId="18" borderId="0" xfId="7" applyFont="1" applyFill="1" applyAlignment="1">
      <alignment horizontal="left" vertical="center"/>
    </xf>
    <xf numFmtId="179" fontId="71" fillId="18" borderId="0" xfId="7" applyNumberFormat="1" applyFont="1" applyFill="1" applyAlignment="1">
      <alignment horizontal="right" vertical="center"/>
    </xf>
    <xf numFmtId="180" fontId="71" fillId="18" borderId="13" xfId="7" applyNumberFormat="1" applyFont="1" applyFill="1" applyBorder="1" applyAlignment="1">
      <alignment horizontal="right" vertical="center"/>
    </xf>
    <xf numFmtId="181" fontId="71" fillId="18" borderId="0" xfId="9" applyNumberFormat="1" applyFont="1" applyFill="1" applyBorder="1" applyAlignment="1" applyProtection="1">
      <alignment horizontal="right" vertical="center"/>
    </xf>
    <xf numFmtId="182" fontId="71" fillId="18" borderId="14" xfId="9" applyNumberFormat="1" applyFont="1" applyFill="1" applyBorder="1" applyAlignment="1" applyProtection="1">
      <alignment horizontal="right" vertical="center"/>
    </xf>
    <xf numFmtId="183" fontId="71" fillId="18" borderId="0" xfId="9" applyNumberFormat="1" applyFont="1" applyFill="1" applyBorder="1" applyAlignment="1" applyProtection="1">
      <alignment horizontal="right" vertical="center"/>
    </xf>
    <xf numFmtId="179" fontId="70" fillId="16" borderId="0" xfId="7" applyNumberFormat="1" applyFont="1" applyFill="1" applyAlignment="1" applyProtection="1">
      <alignment vertical="center"/>
      <protection locked="0"/>
    </xf>
    <xf numFmtId="0" fontId="70" fillId="16" borderId="0" xfId="7" applyFont="1" applyFill="1" applyAlignment="1">
      <alignment horizontal="left" vertical="center"/>
    </xf>
    <xf numFmtId="179" fontId="70" fillId="16" borderId="0" xfId="7" applyNumberFormat="1" applyFont="1" applyFill="1" applyAlignment="1">
      <alignment horizontal="right" vertical="center"/>
    </xf>
    <xf numFmtId="179" fontId="72" fillId="18" borderId="0" xfId="7" applyNumberFormat="1" applyFont="1" applyFill="1" applyAlignment="1">
      <alignment horizontal="right" vertical="center"/>
    </xf>
    <xf numFmtId="180" fontId="70" fillId="16" borderId="13" xfId="7" applyNumberFormat="1" applyFont="1" applyFill="1" applyBorder="1" applyAlignment="1">
      <alignment horizontal="right" vertical="center"/>
    </xf>
    <xf numFmtId="181" fontId="70" fillId="16" borderId="0" xfId="9" applyNumberFormat="1" applyFont="1" applyFill="1" applyBorder="1" applyAlignment="1" applyProtection="1">
      <alignment horizontal="right" vertical="center"/>
    </xf>
    <xf numFmtId="182" fontId="70" fillId="16" borderId="14" xfId="9" applyNumberFormat="1" applyFont="1" applyFill="1" applyBorder="1" applyAlignment="1" applyProtection="1">
      <alignment horizontal="right" vertical="center"/>
    </xf>
    <xf numFmtId="183" fontId="70" fillId="16" borderId="0" xfId="9" applyNumberFormat="1" applyFont="1" applyFill="1" applyBorder="1" applyAlignment="1" applyProtection="1">
      <alignment horizontal="right" vertical="center"/>
    </xf>
    <xf numFmtId="0" fontId="73" fillId="16" borderId="0" xfId="7" applyFont="1" applyFill="1" applyAlignment="1">
      <alignment horizontal="left" vertical="center" wrapText="1" indent="1"/>
    </xf>
    <xf numFmtId="179" fontId="73" fillId="16" borderId="0" xfId="7" applyNumberFormat="1" applyFont="1" applyFill="1" applyAlignment="1">
      <alignment horizontal="right" vertical="center"/>
    </xf>
    <xf numFmtId="179" fontId="73" fillId="18" borderId="0" xfId="7" applyNumberFormat="1" applyFont="1" applyFill="1" applyAlignment="1">
      <alignment horizontal="right" vertical="center"/>
    </xf>
    <xf numFmtId="180" fontId="73" fillId="16" borderId="13" xfId="7" applyNumberFormat="1" applyFont="1" applyFill="1" applyBorder="1" applyAlignment="1">
      <alignment horizontal="right" vertical="center"/>
    </xf>
    <xf numFmtId="181" fontId="73" fillId="16" borderId="0" xfId="9" applyNumberFormat="1" applyFont="1" applyFill="1" applyBorder="1" applyAlignment="1" applyProtection="1">
      <alignment horizontal="right" vertical="center"/>
    </xf>
    <xf numFmtId="182" fontId="73" fillId="16" borderId="14" xfId="9" applyNumberFormat="1" applyFont="1" applyFill="1" applyBorder="1" applyAlignment="1" applyProtection="1">
      <alignment horizontal="right" vertical="center"/>
    </xf>
    <xf numFmtId="184" fontId="73" fillId="16" borderId="0" xfId="9" applyNumberFormat="1" applyFont="1" applyFill="1" applyBorder="1" applyAlignment="1" applyProtection="1">
      <alignment horizontal="right" vertical="center"/>
    </xf>
    <xf numFmtId="183" fontId="73" fillId="16" borderId="0" xfId="9" applyNumberFormat="1" applyFont="1" applyFill="1" applyBorder="1" applyAlignment="1" applyProtection="1">
      <alignment horizontal="right" vertical="center"/>
    </xf>
    <xf numFmtId="185" fontId="73" fillId="16" borderId="0" xfId="9" applyNumberFormat="1" applyFont="1" applyFill="1" applyBorder="1" applyAlignment="1" applyProtection="1">
      <alignment horizontal="right" vertical="center"/>
    </xf>
    <xf numFmtId="177" fontId="70" fillId="16" borderId="0" xfId="9" applyNumberFormat="1" applyFont="1" applyFill="1" applyBorder="1" applyAlignment="1" applyProtection="1">
      <alignment horizontal="right" vertical="center"/>
    </xf>
    <xf numFmtId="0" fontId="70" fillId="16" borderId="0" xfId="7" applyFont="1" applyFill="1" applyAlignment="1">
      <alignment horizontal="left" vertical="center" wrapText="1"/>
    </xf>
    <xf numFmtId="185" fontId="70" fillId="16" borderId="0" xfId="9" applyNumberFormat="1" applyFont="1" applyFill="1" applyBorder="1" applyAlignment="1" applyProtection="1">
      <alignment horizontal="right" vertical="center"/>
    </xf>
    <xf numFmtId="184" fontId="70" fillId="16" borderId="0" xfId="9" applyNumberFormat="1" applyFont="1" applyFill="1" applyBorder="1" applyAlignment="1" applyProtection="1">
      <alignment horizontal="right" vertical="center"/>
    </xf>
    <xf numFmtId="0" fontId="70" fillId="16" borderId="15" xfId="7" applyFont="1" applyFill="1" applyBorder="1" applyAlignment="1">
      <alignment horizontal="left" vertical="center" wrapText="1"/>
    </xf>
    <xf numFmtId="186" fontId="70" fillId="16" borderId="15" xfId="7" applyNumberFormat="1" applyFont="1" applyFill="1" applyBorder="1" applyAlignment="1">
      <alignment horizontal="right" vertical="center"/>
    </xf>
    <xf numFmtId="186" fontId="72" fillId="18" borderId="15" xfId="7" applyNumberFormat="1" applyFont="1" applyFill="1" applyBorder="1" applyAlignment="1">
      <alignment horizontal="right" vertical="center"/>
    </xf>
    <xf numFmtId="179" fontId="70" fillId="16" borderId="15" xfId="7" applyNumberFormat="1" applyFont="1" applyFill="1" applyBorder="1" applyAlignment="1">
      <alignment horizontal="right" vertical="center"/>
    </xf>
    <xf numFmtId="180" fontId="70" fillId="16" borderId="16" xfId="7" applyNumberFormat="1" applyFont="1" applyFill="1" applyBorder="1" applyAlignment="1">
      <alignment horizontal="right" vertical="center"/>
    </xf>
    <xf numFmtId="185" fontId="70" fillId="16" borderId="15" xfId="9" applyNumberFormat="1" applyFont="1" applyFill="1" applyBorder="1" applyAlignment="1" applyProtection="1">
      <alignment horizontal="right" vertical="center"/>
    </xf>
    <xf numFmtId="181" fontId="70" fillId="16" borderId="15" xfId="9" applyNumberFormat="1" applyFont="1" applyFill="1" applyBorder="1" applyAlignment="1" applyProtection="1">
      <alignment horizontal="right" vertical="center"/>
    </xf>
    <xf numFmtId="182" fontId="70" fillId="16" borderId="17" xfId="9" applyNumberFormat="1" applyFont="1" applyFill="1" applyBorder="1" applyAlignment="1" applyProtection="1">
      <alignment horizontal="right" vertical="center"/>
    </xf>
    <xf numFmtId="184" fontId="70" fillId="16" borderId="15" xfId="9" applyNumberFormat="1" applyFont="1" applyFill="1" applyBorder="1" applyAlignment="1" applyProtection="1">
      <alignment horizontal="right" vertical="center"/>
    </xf>
    <xf numFmtId="0" fontId="74" fillId="16" borderId="0" xfId="7" applyFont="1" applyFill="1" applyAlignment="1" applyProtection="1">
      <alignment vertical="center"/>
      <protection locked="0"/>
    </xf>
    <xf numFmtId="0" fontId="71" fillId="18" borderId="18" xfId="7" applyFont="1" applyFill="1" applyBorder="1" applyAlignment="1">
      <alignment horizontal="left" vertical="center" wrapText="1"/>
    </xf>
    <xf numFmtId="179" fontId="71" fillId="18" borderId="18" xfId="7" applyNumberFormat="1" applyFont="1" applyFill="1" applyBorder="1" applyAlignment="1">
      <alignment horizontal="right" vertical="center"/>
    </xf>
    <xf numFmtId="180" fontId="71" fillId="18" borderId="19" xfId="7" applyNumberFormat="1" applyFont="1" applyFill="1" applyBorder="1" applyAlignment="1">
      <alignment horizontal="right" vertical="center"/>
    </xf>
    <xf numFmtId="181" fontId="71" fillId="18" borderId="18" xfId="9" applyNumberFormat="1" applyFont="1" applyFill="1" applyBorder="1" applyAlignment="1" applyProtection="1">
      <alignment horizontal="right" vertical="center"/>
    </xf>
    <xf numFmtId="182" fontId="71" fillId="18" borderId="20" xfId="9" applyNumberFormat="1" applyFont="1" applyFill="1" applyBorder="1" applyAlignment="1" applyProtection="1">
      <alignment horizontal="right" vertical="center"/>
    </xf>
    <xf numFmtId="183" fontId="71" fillId="18" borderId="18" xfId="9" applyNumberFormat="1" applyFont="1" applyFill="1" applyBorder="1" applyAlignment="1" applyProtection="1">
      <alignment horizontal="right" vertical="center"/>
    </xf>
    <xf numFmtId="186" fontId="70" fillId="16" borderId="0" xfId="7" applyNumberFormat="1" applyFont="1" applyFill="1" applyAlignment="1">
      <alignment horizontal="right" vertical="center"/>
    </xf>
    <xf numFmtId="0" fontId="70" fillId="16" borderId="15" xfId="7" applyFont="1" applyFill="1" applyBorder="1" applyAlignment="1">
      <alignment horizontal="left" vertical="center"/>
    </xf>
    <xf numFmtId="186" fontId="72" fillId="18" borderId="0" xfId="7" applyNumberFormat="1" applyFont="1" applyFill="1" applyAlignment="1">
      <alignment horizontal="right" vertical="center"/>
    </xf>
    <xf numFmtId="186" fontId="70" fillId="16" borderId="0" xfId="9" applyNumberFormat="1" applyFont="1" applyFill="1" applyBorder="1" applyAlignment="1" applyProtection="1">
      <alignment horizontal="right" vertical="center"/>
    </xf>
    <xf numFmtId="0" fontId="70" fillId="16" borderId="21" xfId="7" applyFont="1" applyFill="1" applyBorder="1" applyAlignment="1">
      <alignment horizontal="left" vertical="center"/>
    </xf>
    <xf numFmtId="179" fontId="70" fillId="16" borderId="21" xfId="7" applyNumberFormat="1" applyFont="1" applyFill="1" applyBorder="1" applyAlignment="1">
      <alignment horizontal="right" vertical="center"/>
    </xf>
    <xf numFmtId="179" fontId="72" fillId="18" borderId="21" xfId="7" applyNumberFormat="1" applyFont="1" applyFill="1" applyBorder="1" applyAlignment="1">
      <alignment horizontal="right" vertical="center"/>
    </xf>
    <xf numFmtId="180" fontId="70" fillId="16" borderId="22" xfId="7" applyNumberFormat="1" applyFont="1" applyFill="1" applyBorder="1" applyAlignment="1">
      <alignment horizontal="right" vertical="center"/>
    </xf>
    <xf numFmtId="181" fontId="70" fillId="16" borderId="21" xfId="9" applyNumberFormat="1" applyFont="1" applyFill="1" applyBorder="1" applyAlignment="1" applyProtection="1">
      <alignment horizontal="right" vertical="center"/>
    </xf>
    <xf numFmtId="182" fontId="70" fillId="16" borderId="23" xfId="9" applyNumberFormat="1" applyFont="1" applyFill="1" applyBorder="1" applyAlignment="1" applyProtection="1">
      <alignment horizontal="right" vertical="center"/>
    </xf>
    <xf numFmtId="183" fontId="70" fillId="16" borderId="21" xfId="9" applyNumberFormat="1" applyFont="1" applyFill="1" applyBorder="1" applyAlignment="1" applyProtection="1">
      <alignment horizontal="right" vertical="center"/>
    </xf>
    <xf numFmtId="0" fontId="73" fillId="16" borderId="0" xfId="7" applyFont="1" applyFill="1" applyAlignment="1" applyProtection="1">
      <alignment vertical="center"/>
      <protection locked="0"/>
    </xf>
    <xf numFmtId="180" fontId="67" fillId="16" borderId="0" xfId="7" applyNumberFormat="1" applyFont="1" applyFill="1" applyAlignment="1">
      <alignment vertical="center"/>
    </xf>
    <xf numFmtId="0" fontId="69" fillId="17" borderId="0" xfId="7" applyFont="1" applyFill="1" applyAlignment="1">
      <alignment horizontal="center" vertical="center"/>
    </xf>
    <xf numFmtId="178" fontId="69" fillId="17" borderId="0" xfId="7" applyNumberFormat="1" applyFont="1" applyFill="1" applyAlignment="1">
      <alignment horizontal="center" vertical="center"/>
    </xf>
    <xf numFmtId="182" fontId="71" fillId="18" borderId="24" xfId="9" applyNumberFormat="1" applyFont="1" applyFill="1" applyBorder="1" applyAlignment="1" applyProtection="1">
      <alignment horizontal="right" vertical="center"/>
    </xf>
    <xf numFmtId="183" fontId="71" fillId="18" borderId="13" xfId="9" applyNumberFormat="1" applyFont="1" applyFill="1" applyBorder="1" applyAlignment="1" applyProtection="1">
      <alignment horizontal="right" vertical="center"/>
    </xf>
    <xf numFmtId="182" fontId="70" fillId="16" borderId="24" xfId="9" applyNumberFormat="1" applyFont="1" applyFill="1" applyBorder="1" applyAlignment="1" applyProtection="1">
      <alignment horizontal="right" vertical="center"/>
    </xf>
    <xf numFmtId="183" fontId="70" fillId="16" borderId="13" xfId="9" applyNumberFormat="1" applyFont="1" applyFill="1" applyBorder="1" applyAlignment="1" applyProtection="1">
      <alignment horizontal="right" vertical="center"/>
    </xf>
    <xf numFmtId="184" fontId="70" fillId="16" borderId="13" xfId="9" applyNumberFormat="1" applyFont="1" applyFill="1" applyBorder="1" applyAlignment="1" applyProtection="1">
      <alignment horizontal="right" vertical="center"/>
    </xf>
    <xf numFmtId="182" fontId="73" fillId="16" borderId="24" xfId="9" applyNumberFormat="1" applyFont="1" applyFill="1" applyBorder="1" applyAlignment="1" applyProtection="1">
      <alignment horizontal="right" vertical="center"/>
    </xf>
    <xf numFmtId="184" fontId="73" fillId="16" borderId="13" xfId="9" applyNumberFormat="1" applyFont="1" applyFill="1" applyBorder="1" applyAlignment="1" applyProtection="1">
      <alignment horizontal="right" vertical="center"/>
    </xf>
    <xf numFmtId="0" fontId="73" fillId="16" borderId="0" xfId="7" applyFont="1" applyFill="1" applyAlignment="1">
      <alignment horizontal="left" vertical="center" indent="1"/>
    </xf>
    <xf numFmtId="177" fontId="73" fillId="16" borderId="13" xfId="9" applyNumberFormat="1" applyFont="1" applyFill="1" applyBorder="1" applyAlignment="1" applyProtection="1">
      <alignment horizontal="right" vertical="center"/>
    </xf>
    <xf numFmtId="177" fontId="73" fillId="16" borderId="0" xfId="9" applyNumberFormat="1" applyFont="1" applyFill="1" applyBorder="1" applyAlignment="1" applyProtection="1">
      <alignment horizontal="right" vertical="center"/>
    </xf>
    <xf numFmtId="183" fontId="73" fillId="16" borderId="13" xfId="9" applyNumberFormat="1" applyFont="1" applyFill="1" applyBorder="1" applyAlignment="1" applyProtection="1">
      <alignment horizontal="right" vertical="center"/>
    </xf>
    <xf numFmtId="185" fontId="73" fillId="16" borderId="0" xfId="7" applyNumberFormat="1" applyFont="1" applyFill="1" applyAlignment="1">
      <alignment horizontal="right" vertical="center"/>
    </xf>
    <xf numFmtId="186" fontId="73" fillId="16" borderId="0" xfId="7" applyNumberFormat="1" applyFont="1" applyFill="1" applyAlignment="1">
      <alignment horizontal="right" vertical="center"/>
    </xf>
    <xf numFmtId="186" fontId="73" fillId="18" borderId="0" xfId="7" applyNumberFormat="1" applyFont="1" applyFill="1" applyAlignment="1">
      <alignment horizontal="right" vertical="center"/>
    </xf>
    <xf numFmtId="186" fontId="73" fillId="16" borderId="0" xfId="9" applyNumberFormat="1" applyFont="1" applyFill="1" applyBorder="1" applyAlignment="1" applyProtection="1">
      <alignment horizontal="right" vertical="center"/>
    </xf>
    <xf numFmtId="0" fontId="75" fillId="16" borderId="25" xfId="7" applyFont="1" applyFill="1" applyBorder="1" applyAlignment="1">
      <alignment horizontal="left" vertical="center"/>
    </xf>
    <xf numFmtId="179" fontId="75" fillId="16" borderId="25" xfId="7" applyNumberFormat="1" applyFont="1" applyFill="1" applyBorder="1" applyAlignment="1">
      <alignment horizontal="right" vertical="center"/>
    </xf>
    <xf numFmtId="179" fontId="75" fillId="18" borderId="25" xfId="7" applyNumberFormat="1" applyFont="1" applyFill="1" applyBorder="1" applyAlignment="1">
      <alignment horizontal="right" vertical="center"/>
    </xf>
    <xf numFmtId="180" fontId="75" fillId="16" borderId="26" xfId="7" applyNumberFormat="1" applyFont="1" applyFill="1" applyBorder="1" applyAlignment="1">
      <alignment horizontal="right" vertical="center"/>
    </xf>
    <xf numFmtId="181" fontId="75" fillId="16" borderId="25" xfId="9" applyNumberFormat="1" applyFont="1" applyFill="1" applyBorder="1" applyAlignment="1" applyProtection="1">
      <alignment horizontal="right" vertical="center"/>
    </xf>
    <xf numFmtId="182" fontId="75" fillId="16" borderId="27" xfId="9" applyNumberFormat="1" applyFont="1" applyFill="1" applyBorder="1" applyAlignment="1" applyProtection="1">
      <alignment horizontal="right" vertical="center"/>
    </xf>
    <xf numFmtId="183" fontId="75" fillId="16" borderId="26" xfId="9" applyNumberFormat="1" applyFont="1" applyFill="1" applyBorder="1" applyAlignment="1" applyProtection="1">
      <alignment horizontal="right" vertical="center"/>
    </xf>
    <xf numFmtId="183" fontId="75" fillId="16" borderId="25" xfId="9" applyNumberFormat="1" applyFont="1" applyFill="1" applyBorder="1" applyAlignment="1" applyProtection="1">
      <alignment horizontal="right" vertical="center"/>
    </xf>
    <xf numFmtId="180" fontId="70" fillId="16" borderId="13" xfId="7" applyNumberFormat="1" applyFont="1" applyFill="1" applyBorder="1" applyAlignment="1" applyProtection="1">
      <alignment vertical="center"/>
      <protection locked="0"/>
    </xf>
    <xf numFmtId="0" fontId="75" fillId="16" borderId="0" xfId="7" applyFont="1" applyFill="1" applyAlignment="1">
      <alignment horizontal="left" vertical="center"/>
    </xf>
    <xf numFmtId="179" fontId="75" fillId="16" borderId="0" xfId="7" applyNumberFormat="1" applyFont="1" applyFill="1" applyAlignment="1">
      <alignment horizontal="right" vertical="center"/>
    </xf>
    <xf numFmtId="179" fontId="75" fillId="18" borderId="0" xfId="7" applyNumberFormat="1" applyFont="1" applyFill="1" applyAlignment="1">
      <alignment horizontal="right" vertical="center"/>
    </xf>
    <xf numFmtId="180" fontId="75" fillId="16" borderId="13" xfId="7" applyNumberFormat="1" applyFont="1" applyFill="1" applyBorder="1" applyAlignment="1">
      <alignment horizontal="right" vertical="center"/>
    </xf>
    <xf numFmtId="181" fontId="75" fillId="16" borderId="0" xfId="9" applyNumberFormat="1" applyFont="1" applyFill="1" applyBorder="1" applyAlignment="1" applyProtection="1">
      <alignment horizontal="right" vertical="center"/>
    </xf>
    <xf numFmtId="182" fontId="75" fillId="16" borderId="24" xfId="9" applyNumberFormat="1" applyFont="1" applyFill="1" applyBorder="1" applyAlignment="1" applyProtection="1">
      <alignment horizontal="right" vertical="center"/>
    </xf>
    <xf numFmtId="183" fontId="75" fillId="16" borderId="13" xfId="9" applyNumberFormat="1" applyFont="1" applyFill="1" applyBorder="1" applyAlignment="1" applyProtection="1">
      <alignment horizontal="right" vertical="center"/>
    </xf>
    <xf numFmtId="183" fontId="75" fillId="16" borderId="0" xfId="9" applyNumberFormat="1" applyFont="1" applyFill="1" applyBorder="1" applyAlignment="1" applyProtection="1">
      <alignment horizontal="right" vertical="center"/>
    </xf>
    <xf numFmtId="0" fontId="75" fillId="16" borderId="15" xfId="7" applyFont="1" applyFill="1" applyBorder="1" applyAlignment="1">
      <alignment horizontal="left" vertical="center"/>
    </xf>
    <xf numFmtId="179" fontId="75" fillId="16" borderId="15" xfId="7" applyNumberFormat="1" applyFont="1" applyFill="1" applyBorder="1" applyAlignment="1">
      <alignment horizontal="right" vertical="center"/>
    </xf>
    <xf numFmtId="179" fontId="75" fillId="18" borderId="15" xfId="7" applyNumberFormat="1" applyFont="1" applyFill="1" applyBorder="1" applyAlignment="1">
      <alignment horizontal="right" vertical="center"/>
    </xf>
    <xf numFmtId="180" fontId="75" fillId="16" borderId="16" xfId="7" applyNumberFormat="1" applyFont="1" applyFill="1" applyBorder="1" applyAlignment="1">
      <alignment horizontal="right" vertical="center"/>
    </xf>
    <xf numFmtId="181" fontId="75" fillId="16" borderId="15" xfId="9" applyNumberFormat="1" applyFont="1" applyFill="1" applyBorder="1" applyAlignment="1" applyProtection="1">
      <alignment horizontal="right" vertical="center"/>
    </xf>
    <xf numFmtId="182" fontId="75" fillId="16" borderId="28" xfId="9" applyNumberFormat="1" applyFont="1" applyFill="1" applyBorder="1" applyAlignment="1" applyProtection="1">
      <alignment horizontal="right" vertical="center"/>
    </xf>
    <xf numFmtId="183" fontId="75" fillId="16" borderId="16" xfId="9" applyNumberFormat="1" applyFont="1" applyFill="1" applyBorder="1" applyAlignment="1" applyProtection="1">
      <alignment horizontal="right" vertical="center"/>
    </xf>
    <xf numFmtId="183" fontId="75" fillId="16" borderId="15" xfId="9" applyNumberFormat="1" applyFont="1" applyFill="1" applyBorder="1" applyAlignment="1" applyProtection="1">
      <alignment horizontal="right" vertical="center"/>
    </xf>
    <xf numFmtId="179" fontId="72" fillId="18" borderId="15" xfId="7" applyNumberFormat="1" applyFont="1" applyFill="1" applyBorder="1" applyAlignment="1">
      <alignment horizontal="right" vertical="center"/>
    </xf>
    <xf numFmtId="182" fontId="70" fillId="16" borderId="28" xfId="9" applyNumberFormat="1" applyFont="1" applyFill="1" applyBorder="1" applyAlignment="1" applyProtection="1">
      <alignment horizontal="right" vertical="center"/>
    </xf>
    <xf numFmtId="183" fontId="70" fillId="16" borderId="16" xfId="9" applyNumberFormat="1" applyFont="1" applyFill="1" applyBorder="1" applyAlignment="1" applyProtection="1">
      <alignment horizontal="right" vertical="center"/>
    </xf>
    <xf numFmtId="183" fontId="70" fillId="16" borderId="15" xfId="9" applyNumberFormat="1" applyFont="1" applyFill="1" applyBorder="1" applyAlignment="1" applyProtection="1">
      <alignment horizontal="right" vertical="center"/>
    </xf>
    <xf numFmtId="0" fontId="73" fillId="3" borderId="0" xfId="7" applyFont="1" applyFill="1" applyAlignment="1">
      <alignment horizontal="left" vertical="center" indent="1"/>
    </xf>
    <xf numFmtId="0" fontId="71" fillId="18" borderId="21" xfId="7" applyFont="1" applyFill="1" applyBorder="1" applyAlignment="1">
      <alignment horizontal="left" vertical="center"/>
    </xf>
    <xf numFmtId="179" fontId="71" fillId="18" borderId="21" xfId="7" applyNumberFormat="1" applyFont="1" applyFill="1" applyBorder="1" applyAlignment="1">
      <alignment horizontal="right" vertical="center"/>
    </xf>
    <xf numFmtId="180" fontId="71" fillId="18" borderId="22" xfId="7" applyNumberFormat="1" applyFont="1" applyFill="1" applyBorder="1" applyAlignment="1">
      <alignment horizontal="right" vertical="center"/>
    </xf>
    <xf numFmtId="181" fontId="71" fillId="18" borderId="21" xfId="9" applyNumberFormat="1" applyFont="1" applyFill="1" applyBorder="1" applyAlignment="1" applyProtection="1">
      <alignment horizontal="right" vertical="center"/>
    </xf>
    <xf numFmtId="182" fontId="71" fillId="18" borderId="29" xfId="9" applyNumberFormat="1" applyFont="1" applyFill="1" applyBorder="1" applyAlignment="1" applyProtection="1">
      <alignment horizontal="right" vertical="center"/>
    </xf>
    <xf numFmtId="183" fontId="71" fillId="18" borderId="22" xfId="9" applyNumberFormat="1" applyFont="1" applyFill="1" applyBorder="1" applyAlignment="1" applyProtection="1">
      <alignment horizontal="right" vertical="center"/>
    </xf>
    <xf numFmtId="183" fontId="71" fillId="18" borderId="21" xfId="9" applyNumberFormat="1" applyFont="1" applyFill="1" applyBorder="1" applyAlignment="1" applyProtection="1">
      <alignment horizontal="right" vertical="center"/>
    </xf>
    <xf numFmtId="0" fontId="75" fillId="16" borderId="21" xfId="7" applyFont="1" applyFill="1" applyBorder="1" applyAlignment="1">
      <alignment horizontal="left" vertical="center"/>
    </xf>
    <xf numFmtId="179" fontId="75" fillId="16" borderId="21" xfId="7" applyNumberFormat="1" applyFont="1" applyFill="1" applyBorder="1" applyAlignment="1">
      <alignment horizontal="right" vertical="center"/>
    </xf>
    <xf numFmtId="179" fontId="75" fillId="18" borderId="21" xfId="7" applyNumberFormat="1" applyFont="1" applyFill="1" applyBorder="1" applyAlignment="1">
      <alignment horizontal="right" vertical="center"/>
    </xf>
    <xf numFmtId="180" fontId="75" fillId="16" borderId="22" xfId="7" applyNumberFormat="1" applyFont="1" applyFill="1" applyBorder="1" applyAlignment="1">
      <alignment horizontal="right" vertical="center"/>
    </xf>
    <xf numFmtId="181" fontId="75" fillId="16" borderId="21" xfId="9" applyNumberFormat="1" applyFont="1" applyFill="1" applyBorder="1" applyAlignment="1" applyProtection="1">
      <alignment horizontal="right" vertical="center"/>
    </xf>
    <xf numFmtId="182" fontId="75" fillId="16" borderId="29" xfId="9" applyNumberFormat="1" applyFont="1" applyFill="1" applyBorder="1" applyAlignment="1" applyProtection="1">
      <alignment horizontal="right" vertical="center"/>
    </xf>
    <xf numFmtId="183" fontId="75" fillId="16" borderId="22" xfId="9" applyNumberFormat="1" applyFont="1" applyFill="1" applyBorder="1" applyAlignment="1" applyProtection="1">
      <alignment horizontal="right" vertical="center"/>
    </xf>
    <xf numFmtId="183" fontId="75" fillId="16" borderId="21" xfId="9" applyNumberFormat="1" applyFont="1" applyFill="1" applyBorder="1" applyAlignment="1" applyProtection="1">
      <alignment horizontal="right" vertical="center"/>
    </xf>
    <xf numFmtId="175" fontId="64" fillId="3" borderId="0" xfId="7" applyNumberFormat="1" applyFont="1" applyFill="1" applyAlignment="1">
      <alignment vertical="center"/>
    </xf>
    <xf numFmtId="187" fontId="69" fillId="17" borderId="0" xfId="7" applyNumberFormat="1" applyFont="1" applyFill="1" applyAlignment="1">
      <alignment horizontal="center" vertical="center"/>
    </xf>
    <xf numFmtId="180" fontId="71" fillId="18" borderId="0" xfId="7" applyNumberFormat="1" applyFont="1" applyFill="1" applyAlignment="1">
      <alignment horizontal="right" vertical="center"/>
    </xf>
    <xf numFmtId="180" fontId="70" fillId="16" borderId="0" xfId="7" applyNumberFormat="1" applyFont="1" applyFill="1" applyAlignment="1" applyProtection="1">
      <alignment vertical="center"/>
      <protection locked="0"/>
    </xf>
    <xf numFmtId="180" fontId="70" fillId="16" borderId="0" xfId="7" applyNumberFormat="1" applyFont="1" applyFill="1" applyAlignment="1">
      <alignment horizontal="right" vertical="center"/>
    </xf>
    <xf numFmtId="180" fontId="72" fillId="18" borderId="0" xfId="7" applyNumberFormat="1" applyFont="1" applyFill="1" applyAlignment="1">
      <alignment horizontal="right" vertical="center"/>
    </xf>
    <xf numFmtId="180" fontId="73" fillId="16" borderId="0" xfId="7" applyNumberFormat="1" applyFont="1" applyFill="1" applyAlignment="1">
      <alignment horizontal="right" vertical="center"/>
    </xf>
    <xf numFmtId="180" fontId="73" fillId="18" borderId="0" xfId="7" applyNumberFormat="1" applyFont="1" applyFill="1" applyAlignment="1">
      <alignment horizontal="right" vertical="center"/>
    </xf>
    <xf numFmtId="0" fontId="76" fillId="16" borderId="0" xfId="7" applyFont="1" applyFill="1" applyAlignment="1">
      <alignment horizontal="left" vertical="center" wrapText="1" indent="1"/>
    </xf>
    <xf numFmtId="180" fontId="76" fillId="16" borderId="0" xfId="7" applyNumberFormat="1" applyFont="1" applyFill="1" applyAlignment="1">
      <alignment horizontal="right" vertical="center"/>
    </xf>
    <xf numFmtId="180" fontId="76" fillId="18" borderId="0" xfId="7" applyNumberFormat="1" applyFont="1" applyFill="1" applyAlignment="1">
      <alignment horizontal="right" vertical="center"/>
    </xf>
    <xf numFmtId="180" fontId="76" fillId="16" borderId="13" xfId="7" applyNumberFormat="1" applyFont="1" applyFill="1" applyBorder="1" applyAlignment="1">
      <alignment horizontal="right" vertical="center"/>
    </xf>
    <xf numFmtId="181" fontId="76" fillId="16" borderId="0" xfId="9" applyNumberFormat="1" applyFont="1" applyFill="1" applyBorder="1" applyAlignment="1" applyProtection="1">
      <alignment horizontal="right" vertical="center"/>
    </xf>
    <xf numFmtId="186" fontId="76" fillId="16" borderId="0" xfId="9" applyNumberFormat="1" applyFont="1" applyFill="1" applyBorder="1" applyAlignment="1" applyProtection="1">
      <alignment horizontal="right" vertical="center"/>
    </xf>
    <xf numFmtId="182" fontId="76" fillId="16" borderId="24" xfId="9" applyNumberFormat="1" applyFont="1" applyFill="1" applyBorder="1" applyAlignment="1" applyProtection="1">
      <alignment horizontal="right" vertical="center"/>
    </xf>
    <xf numFmtId="177" fontId="76" fillId="16" borderId="0" xfId="9" applyNumberFormat="1" applyFont="1" applyFill="1" applyBorder="1" applyAlignment="1" applyProtection="1">
      <alignment horizontal="right" vertical="center"/>
    </xf>
    <xf numFmtId="0" fontId="76" fillId="16" borderId="0" xfId="7" applyFont="1" applyFill="1" applyAlignment="1" applyProtection="1">
      <alignment vertical="center"/>
      <protection locked="0"/>
    </xf>
    <xf numFmtId="0" fontId="73" fillId="16" borderId="21" xfId="7" applyFont="1" applyFill="1" applyBorder="1" applyAlignment="1">
      <alignment horizontal="left" vertical="center" wrapText="1" indent="1"/>
    </xf>
    <xf numFmtId="180" fontId="73" fillId="16" borderId="21" xfId="7" applyNumberFormat="1" applyFont="1" applyFill="1" applyBorder="1" applyAlignment="1">
      <alignment horizontal="right" vertical="center"/>
    </xf>
    <xf numFmtId="180" fontId="73" fillId="18" borderId="21" xfId="7" applyNumberFormat="1" applyFont="1" applyFill="1" applyBorder="1" applyAlignment="1">
      <alignment horizontal="right" vertical="center"/>
    </xf>
    <xf numFmtId="180" fontId="73" fillId="16" borderId="22" xfId="7" applyNumberFormat="1" applyFont="1" applyFill="1" applyBorder="1" applyAlignment="1">
      <alignment horizontal="right" vertical="center"/>
    </xf>
    <xf numFmtId="181" fontId="73" fillId="16" borderId="21" xfId="9" applyNumberFormat="1" applyFont="1" applyFill="1" applyBorder="1" applyAlignment="1" applyProtection="1">
      <alignment vertical="center"/>
    </xf>
    <xf numFmtId="186" fontId="73" fillId="16" borderId="21" xfId="9" applyNumberFormat="1" applyFont="1" applyFill="1" applyBorder="1" applyAlignment="1" applyProtection="1">
      <alignment vertical="center"/>
    </xf>
    <xf numFmtId="182" fontId="73" fillId="16" borderId="29" xfId="9" applyNumberFormat="1" applyFont="1" applyFill="1" applyBorder="1" applyAlignment="1" applyProtection="1">
      <alignment vertical="center"/>
    </xf>
    <xf numFmtId="184" fontId="73" fillId="16" borderId="21" xfId="9" applyNumberFormat="1" applyFont="1" applyFill="1" applyBorder="1" applyAlignment="1" applyProtection="1">
      <alignment horizontal="right" vertical="center"/>
    </xf>
    <xf numFmtId="181" fontId="73" fillId="16" borderId="0" xfId="9" applyNumberFormat="1" applyFont="1" applyFill="1" applyBorder="1" applyAlignment="1" applyProtection="1">
      <alignment vertical="center"/>
    </xf>
    <xf numFmtId="182" fontId="73" fillId="16" borderId="24" xfId="9" applyNumberFormat="1" applyFont="1" applyFill="1" applyBorder="1" applyAlignment="1" applyProtection="1">
      <alignment vertical="center"/>
    </xf>
    <xf numFmtId="181" fontId="76" fillId="16" borderId="0" xfId="9" applyNumberFormat="1" applyFont="1" applyFill="1" applyBorder="1" applyAlignment="1" applyProtection="1">
      <alignment vertical="center"/>
    </xf>
    <xf numFmtId="185" fontId="76" fillId="16" borderId="0" xfId="9" applyNumberFormat="1" applyFont="1" applyFill="1" applyBorder="1" applyAlignment="1" applyProtection="1">
      <alignment vertical="center"/>
    </xf>
    <xf numFmtId="182" fontId="76" fillId="16" borderId="24" xfId="9" applyNumberFormat="1" applyFont="1" applyFill="1" applyBorder="1" applyAlignment="1" applyProtection="1">
      <alignment vertical="center"/>
    </xf>
    <xf numFmtId="185" fontId="73" fillId="16" borderId="0" xfId="9" applyNumberFormat="1" applyFont="1" applyFill="1" applyBorder="1" applyAlignment="1" applyProtection="1">
      <alignment vertical="center"/>
    </xf>
    <xf numFmtId="185" fontId="70" fillId="16" borderId="0" xfId="7" applyNumberFormat="1" applyFont="1" applyFill="1" applyAlignment="1">
      <alignment horizontal="right" vertical="center"/>
    </xf>
    <xf numFmtId="180" fontId="70" fillId="18" borderId="0" xfId="7" applyNumberFormat="1" applyFont="1" applyFill="1" applyAlignment="1">
      <alignment horizontal="right" vertical="center"/>
    </xf>
    <xf numFmtId="0" fontId="72" fillId="16" borderId="21" xfId="7" applyFont="1" applyFill="1" applyBorder="1" applyAlignment="1" applyProtection="1">
      <alignment vertical="center"/>
      <protection locked="0"/>
    </xf>
    <xf numFmtId="180" fontId="72" fillId="16" borderId="21" xfId="7" applyNumberFormat="1" applyFont="1" applyFill="1" applyBorder="1" applyAlignment="1">
      <alignment horizontal="right" vertical="center"/>
    </xf>
    <xf numFmtId="180" fontId="72" fillId="18" borderId="21" xfId="7" applyNumberFormat="1" applyFont="1" applyFill="1" applyBorder="1" applyAlignment="1">
      <alignment horizontal="right" vertical="center"/>
    </xf>
    <xf numFmtId="180" fontId="72" fillId="16" borderId="22" xfId="7" applyNumberFormat="1" applyFont="1" applyFill="1" applyBorder="1" applyAlignment="1">
      <alignment horizontal="right" vertical="center"/>
    </xf>
    <xf numFmtId="185" fontId="72" fillId="16" borderId="21" xfId="9" applyNumberFormat="1" applyFont="1" applyFill="1" applyBorder="1" applyAlignment="1" applyProtection="1">
      <alignment horizontal="right" vertical="center"/>
    </xf>
    <xf numFmtId="181" fontId="72" fillId="16" borderId="21" xfId="9" applyNumberFormat="1" applyFont="1" applyFill="1" applyBorder="1" applyAlignment="1" applyProtection="1">
      <alignment horizontal="right" vertical="center"/>
    </xf>
    <xf numFmtId="182" fontId="72" fillId="16" borderId="29" xfId="9" applyNumberFormat="1" applyFont="1" applyFill="1" applyBorder="1" applyAlignment="1" applyProtection="1">
      <alignment horizontal="right" vertical="center"/>
    </xf>
    <xf numFmtId="184" fontId="72" fillId="16" borderId="21" xfId="9" applyNumberFormat="1" applyFont="1" applyFill="1" applyBorder="1" applyAlignment="1" applyProtection="1">
      <alignment horizontal="right" vertical="center"/>
    </xf>
    <xf numFmtId="1" fontId="64" fillId="16" borderId="0" xfId="7" applyNumberFormat="1" applyFont="1" applyFill="1" applyAlignment="1">
      <alignment vertical="center"/>
    </xf>
    <xf numFmtId="0" fontId="64" fillId="16" borderId="0" xfId="7" applyFont="1" applyFill="1" applyAlignment="1" applyProtection="1">
      <alignment vertical="center"/>
      <protection locked="0"/>
    </xf>
    <xf numFmtId="188" fontId="69" fillId="17" borderId="12" xfId="7" applyNumberFormat="1" applyFont="1" applyFill="1" applyBorder="1" applyAlignment="1">
      <alignment horizontal="right" vertical="center"/>
    </xf>
    <xf numFmtId="189" fontId="71" fillId="18" borderId="0" xfId="7" applyNumberFormat="1" applyFont="1" applyFill="1" applyAlignment="1">
      <alignment horizontal="right" vertical="center"/>
    </xf>
    <xf numFmtId="1" fontId="71" fillId="18" borderId="0" xfId="7" applyNumberFormat="1" applyFont="1" applyFill="1" applyAlignment="1">
      <alignment horizontal="right" vertical="center"/>
    </xf>
    <xf numFmtId="179" fontId="71" fillId="18" borderId="0" xfId="9" applyNumberFormat="1" applyFont="1" applyFill="1" applyBorder="1" applyAlignment="1" applyProtection="1">
      <alignment horizontal="right" vertical="center"/>
    </xf>
    <xf numFmtId="189" fontId="70" fillId="16" borderId="0" xfId="7" applyNumberFormat="1" applyFont="1" applyFill="1" applyAlignment="1" applyProtection="1">
      <alignment vertical="center"/>
      <protection locked="0"/>
    </xf>
    <xf numFmtId="0" fontId="71" fillId="16" borderId="18" xfId="7" applyFont="1" applyFill="1" applyBorder="1" applyAlignment="1">
      <alignment horizontal="left" vertical="center"/>
    </xf>
    <xf numFmtId="189" fontId="71" fillId="16" borderId="18" xfId="7" applyNumberFormat="1" applyFont="1" applyFill="1" applyBorder="1" applyAlignment="1">
      <alignment horizontal="right" vertical="center"/>
    </xf>
    <xf numFmtId="189" fontId="71" fillId="18" borderId="18" xfId="7" applyNumberFormat="1" applyFont="1" applyFill="1" applyBorder="1" applyAlignment="1">
      <alignment horizontal="right" vertical="center"/>
    </xf>
    <xf numFmtId="180" fontId="71" fillId="16" borderId="19" xfId="7" applyNumberFormat="1" applyFont="1" applyFill="1" applyBorder="1" applyAlignment="1">
      <alignment horizontal="right" vertical="center"/>
    </xf>
    <xf numFmtId="183" fontId="71" fillId="16" borderId="18" xfId="9" applyNumberFormat="1" applyFont="1" applyFill="1" applyBorder="1" applyAlignment="1" applyProtection="1">
      <alignment horizontal="right" vertical="center"/>
    </xf>
    <xf numFmtId="184" fontId="71" fillId="16" borderId="18" xfId="9" applyNumberFormat="1" applyFont="1" applyFill="1" applyBorder="1" applyAlignment="1" applyProtection="1">
      <alignment horizontal="right" vertical="center"/>
    </xf>
    <xf numFmtId="0" fontId="70" fillId="16" borderId="0" xfId="7" applyFont="1" applyFill="1" applyAlignment="1">
      <alignment horizontal="left" vertical="center" indent="1"/>
    </xf>
    <xf numFmtId="189" fontId="70" fillId="16" borderId="0" xfId="7" applyNumberFormat="1" applyFont="1" applyFill="1" applyAlignment="1">
      <alignment horizontal="right" vertical="center"/>
    </xf>
    <xf numFmtId="189" fontId="72" fillId="18" borderId="0" xfId="7" applyNumberFormat="1" applyFont="1" applyFill="1" applyAlignment="1">
      <alignment horizontal="right" vertical="center"/>
    </xf>
    <xf numFmtId="0" fontId="72" fillId="16" borderId="0" xfId="7" applyFont="1" applyFill="1" applyAlignment="1">
      <alignment horizontal="left" vertical="center" wrapText="1" indent="1"/>
    </xf>
    <xf numFmtId="189" fontId="72" fillId="16" borderId="0" xfId="7" applyNumberFormat="1" applyFont="1" applyFill="1" applyAlignment="1">
      <alignment horizontal="right" vertical="top"/>
    </xf>
    <xf numFmtId="189" fontId="72" fillId="18" borderId="0" xfId="7" applyNumberFormat="1" applyFont="1" applyFill="1" applyAlignment="1">
      <alignment horizontal="right" vertical="top"/>
    </xf>
    <xf numFmtId="180" fontId="72" fillId="16" borderId="13" xfId="7" applyNumberFormat="1" applyFont="1" applyFill="1" applyBorder="1" applyAlignment="1">
      <alignment horizontal="right" vertical="top"/>
    </xf>
    <xf numFmtId="177" fontId="72" fillId="16" borderId="0" xfId="9" applyNumberFormat="1" applyFont="1" applyFill="1" applyBorder="1" applyAlignment="1" applyProtection="1">
      <alignment horizontal="right" vertical="top"/>
    </xf>
    <xf numFmtId="0" fontId="71" fillId="16" borderId="0" xfId="7" applyFont="1" applyFill="1" applyAlignment="1">
      <alignment horizontal="left" vertical="center"/>
    </xf>
    <xf numFmtId="189" fontId="71" fillId="16" borderId="0" xfId="7" applyNumberFormat="1" applyFont="1" applyFill="1" applyAlignment="1">
      <alignment horizontal="right" vertical="center"/>
    </xf>
    <xf numFmtId="180" fontId="71" fillId="16" borderId="13" xfId="7" applyNumberFormat="1" applyFont="1" applyFill="1" applyBorder="1" applyAlignment="1">
      <alignment horizontal="right" vertical="center"/>
    </xf>
    <xf numFmtId="184" fontId="71" fillId="16" borderId="0" xfId="9" applyNumberFormat="1" applyFont="1" applyFill="1" applyBorder="1" applyAlignment="1" applyProtection="1">
      <alignment horizontal="right" vertical="center"/>
    </xf>
    <xf numFmtId="0" fontId="72" fillId="16" borderId="0" xfId="7" applyFont="1" applyFill="1" applyAlignment="1">
      <alignment horizontal="left" vertical="center" indent="1"/>
    </xf>
    <xf numFmtId="189" fontId="72" fillId="16" borderId="0" xfId="7" applyNumberFormat="1" applyFont="1" applyFill="1" applyAlignment="1">
      <alignment horizontal="right" vertical="center"/>
    </xf>
    <xf numFmtId="180" fontId="72" fillId="16" borderId="13" xfId="7" applyNumberFormat="1" applyFont="1" applyFill="1" applyBorder="1" applyAlignment="1">
      <alignment horizontal="right" vertical="center"/>
    </xf>
    <xf numFmtId="184" fontId="72" fillId="16" borderId="0" xfId="9" applyNumberFormat="1" applyFont="1" applyFill="1" applyBorder="1" applyAlignment="1" applyProtection="1">
      <alignment horizontal="right" vertical="center"/>
    </xf>
    <xf numFmtId="0" fontId="72" fillId="16" borderId="15" xfId="7" applyFont="1" applyFill="1" applyBorder="1" applyAlignment="1">
      <alignment horizontal="left" vertical="center" indent="1"/>
    </xf>
    <xf numFmtId="189" fontId="72" fillId="16" borderId="15" xfId="7" applyNumberFormat="1" applyFont="1" applyFill="1" applyBorder="1" applyAlignment="1">
      <alignment horizontal="right" vertical="center"/>
    </xf>
    <xf numFmtId="189" fontId="72" fillId="18" borderId="15" xfId="7" applyNumberFormat="1" applyFont="1" applyFill="1" applyBorder="1" applyAlignment="1">
      <alignment horizontal="right" vertical="center"/>
    </xf>
    <xf numFmtId="180" fontId="72" fillId="16" borderId="16" xfId="7" applyNumberFormat="1" applyFont="1" applyFill="1" applyBorder="1" applyAlignment="1">
      <alignment horizontal="right" vertical="center"/>
    </xf>
    <xf numFmtId="176" fontId="72" fillId="16" borderId="15" xfId="9" applyNumberFormat="1" applyFont="1" applyFill="1" applyBorder="1" applyAlignment="1" applyProtection="1">
      <alignment horizontal="right" vertical="center"/>
    </xf>
    <xf numFmtId="0" fontId="81" fillId="16" borderId="0" xfId="7" applyFont="1" applyFill="1" applyAlignment="1">
      <alignment vertical="center"/>
    </xf>
    <xf numFmtId="189" fontId="70" fillId="16" borderId="0" xfId="7" applyNumberFormat="1" applyFont="1" applyFill="1" applyAlignment="1">
      <alignment vertical="center"/>
    </xf>
    <xf numFmtId="189" fontId="72" fillId="18" borderId="0" xfId="7" applyNumberFormat="1" applyFont="1" applyFill="1" applyAlignment="1">
      <alignment vertical="center"/>
    </xf>
    <xf numFmtId="0" fontId="70" fillId="16" borderId="0" xfId="7" applyFont="1" applyFill="1" applyAlignment="1">
      <alignment vertical="center"/>
    </xf>
    <xf numFmtId="177" fontId="82" fillId="16" borderId="0" xfId="7" applyNumberFormat="1" applyFont="1" applyFill="1" applyAlignment="1">
      <alignment horizontal="right" vertical="center"/>
    </xf>
    <xf numFmtId="177" fontId="71" fillId="18" borderId="18" xfId="9" applyNumberFormat="1" applyFont="1" applyFill="1" applyBorder="1" applyAlignment="1" applyProtection="1">
      <alignment horizontal="right" vertical="center"/>
    </xf>
    <xf numFmtId="0" fontId="71" fillId="18" borderId="30" xfId="7" applyFont="1" applyFill="1" applyBorder="1" applyAlignment="1">
      <alignment horizontal="left" vertical="center" wrapText="1"/>
    </xf>
    <xf numFmtId="189" fontId="71" fillId="18" borderId="30" xfId="7" applyNumberFormat="1" applyFont="1" applyFill="1" applyBorder="1" applyAlignment="1">
      <alignment horizontal="right" vertical="center"/>
    </xf>
    <xf numFmtId="180" fontId="71" fillId="18" borderId="31" xfId="7" applyNumberFormat="1" applyFont="1" applyFill="1" applyBorder="1" applyAlignment="1">
      <alignment horizontal="right" vertical="center"/>
    </xf>
    <xf numFmtId="183" fontId="71" fillId="18" borderId="30" xfId="9" applyNumberFormat="1" applyFont="1" applyFill="1" applyBorder="1" applyAlignment="1" applyProtection="1">
      <alignment horizontal="right" vertical="center"/>
    </xf>
    <xf numFmtId="0" fontId="71" fillId="18" borderId="0" xfId="7" applyFont="1" applyFill="1" applyAlignment="1">
      <alignment horizontal="left" vertical="center" wrapText="1"/>
    </xf>
    <xf numFmtId="189" fontId="75" fillId="16" borderId="25" xfId="7" applyNumberFormat="1" applyFont="1" applyFill="1" applyBorder="1" applyAlignment="1">
      <alignment horizontal="right" vertical="center"/>
    </xf>
    <xf numFmtId="189" fontId="75" fillId="18" borderId="25" xfId="7" applyNumberFormat="1" applyFont="1" applyFill="1" applyBorder="1" applyAlignment="1">
      <alignment horizontal="right" vertical="center"/>
    </xf>
    <xf numFmtId="183" fontId="72" fillId="16" borderId="0" xfId="9" applyNumberFormat="1" applyFont="1" applyFill="1" applyBorder="1" applyAlignment="1" applyProtection="1">
      <alignment horizontal="right" vertical="center"/>
    </xf>
    <xf numFmtId="189" fontId="75" fillId="16" borderId="0" xfId="7" applyNumberFormat="1" applyFont="1" applyFill="1" applyAlignment="1">
      <alignment horizontal="right" vertical="center"/>
    </xf>
    <xf numFmtId="189" fontId="75" fillId="18" borderId="0" xfId="7" applyNumberFormat="1" applyFont="1" applyFill="1" applyAlignment="1">
      <alignment horizontal="right" vertical="center"/>
    </xf>
    <xf numFmtId="0" fontId="73" fillId="16" borderId="0" xfId="7" applyFont="1" applyFill="1" applyAlignment="1">
      <alignment horizontal="left" vertical="center" indent="2"/>
    </xf>
    <xf numFmtId="189" fontId="73" fillId="16" borderId="0" xfId="7" applyNumberFormat="1" applyFont="1" applyFill="1" applyAlignment="1">
      <alignment horizontal="right" vertical="center"/>
    </xf>
    <xf numFmtId="189" fontId="73" fillId="18" borderId="0" xfId="7" applyNumberFormat="1" applyFont="1" applyFill="1" applyAlignment="1">
      <alignment horizontal="right" vertical="center"/>
    </xf>
    <xf numFmtId="184" fontId="75" fillId="16" borderId="0" xfId="9" applyNumberFormat="1" applyFont="1" applyFill="1" applyBorder="1" applyAlignment="1" applyProtection="1">
      <alignment horizontal="right" vertical="center"/>
    </xf>
    <xf numFmtId="0" fontId="72" fillId="16" borderId="0" xfId="7" applyFont="1" applyFill="1" applyAlignment="1" applyProtection="1">
      <alignment horizontal="left" vertical="center" indent="1"/>
      <protection locked="0"/>
    </xf>
    <xf numFmtId="0" fontId="81" fillId="16" borderId="30" xfId="7" applyFont="1" applyFill="1" applyBorder="1" applyAlignment="1">
      <alignment vertical="center"/>
    </xf>
    <xf numFmtId="189" fontId="70" fillId="16" borderId="30" xfId="7" applyNumberFormat="1" applyFont="1" applyFill="1" applyBorder="1" applyAlignment="1">
      <alignment vertical="center"/>
    </xf>
    <xf numFmtId="189" fontId="70" fillId="18" borderId="30" xfId="7" applyNumberFormat="1" applyFont="1" applyFill="1" applyBorder="1" applyAlignment="1">
      <alignment vertical="center"/>
    </xf>
    <xf numFmtId="0" fontId="70" fillId="16" borderId="30" xfId="7" applyFont="1" applyFill="1" applyBorder="1" applyAlignment="1">
      <alignment vertical="center"/>
    </xf>
    <xf numFmtId="177" fontId="82" fillId="16" borderId="30" xfId="7" applyNumberFormat="1" applyFont="1" applyFill="1" applyBorder="1" applyAlignment="1">
      <alignment horizontal="right" vertical="center"/>
    </xf>
    <xf numFmtId="0" fontId="71" fillId="18" borderId="30" xfId="7" applyFont="1" applyFill="1" applyBorder="1" applyAlignment="1">
      <alignment horizontal="left" vertical="center"/>
    </xf>
    <xf numFmtId="184" fontId="71" fillId="18" borderId="30" xfId="9" applyNumberFormat="1" applyFont="1" applyFill="1" applyBorder="1" applyAlignment="1" applyProtection="1">
      <alignment horizontal="right" vertical="center"/>
    </xf>
    <xf numFmtId="0" fontId="71" fillId="18" borderId="21" xfId="7" applyFont="1" applyFill="1" applyBorder="1" applyAlignment="1">
      <alignment horizontal="left" vertical="center" wrapText="1"/>
    </xf>
    <xf numFmtId="189" fontId="71" fillId="18" borderId="21" xfId="7" applyNumberFormat="1" applyFont="1" applyFill="1" applyBorder="1" applyAlignment="1">
      <alignment horizontal="right" vertical="center"/>
    </xf>
    <xf numFmtId="184" fontId="71" fillId="18" borderId="21" xfId="9" applyNumberFormat="1" applyFont="1" applyFill="1" applyBorder="1" applyAlignment="1" applyProtection="1">
      <alignment horizontal="right" vertical="center"/>
    </xf>
    <xf numFmtId="0" fontId="82" fillId="16" borderId="0" xfId="7" applyFont="1" applyFill="1" applyAlignment="1">
      <alignment horizontal="right" vertical="center"/>
    </xf>
    <xf numFmtId="0" fontId="69" fillId="17" borderId="0" xfId="7" applyFont="1" applyFill="1" applyAlignment="1">
      <alignment horizontal="center" vertical="center" wrapText="1"/>
    </xf>
    <xf numFmtId="187" fontId="69" fillId="17" borderId="12" xfId="7" applyNumberFormat="1" applyFont="1" applyFill="1" applyBorder="1" applyAlignment="1">
      <alignment horizontal="right" vertical="center"/>
    </xf>
    <xf numFmtId="187" fontId="69" fillId="17" borderId="0" xfId="7" applyNumberFormat="1" applyFont="1" applyFill="1" applyAlignment="1">
      <alignment horizontal="right" vertical="center"/>
    </xf>
    <xf numFmtId="190" fontId="70" fillId="3" borderId="0" xfId="7" applyNumberFormat="1" applyFont="1" applyFill="1" applyAlignment="1">
      <alignment horizontal="right" vertical="center"/>
    </xf>
    <xf numFmtId="190" fontId="72" fillId="18" borderId="0" xfId="7" applyNumberFormat="1" applyFont="1" applyFill="1" applyAlignment="1">
      <alignment horizontal="right" vertical="center"/>
    </xf>
    <xf numFmtId="190" fontId="70" fillId="16" borderId="0" xfId="7" applyNumberFormat="1" applyFont="1" applyFill="1" applyAlignment="1">
      <alignment horizontal="right" vertical="center"/>
    </xf>
    <xf numFmtId="191" fontId="70" fillId="16" borderId="0" xfId="9" applyNumberFormat="1" applyFont="1" applyFill="1" applyBorder="1" applyAlignment="1" applyProtection="1">
      <alignment horizontal="right" vertical="center"/>
    </xf>
    <xf numFmtId="0" fontId="70" fillId="3" borderId="0" xfId="7" applyFont="1" applyFill="1" applyAlignment="1" applyProtection="1">
      <alignment vertical="center"/>
      <protection locked="0"/>
    </xf>
    <xf numFmtId="192" fontId="70" fillId="16" borderId="0" xfId="7" applyNumberFormat="1" applyFont="1" applyFill="1" applyAlignment="1">
      <alignment horizontal="right" vertical="center"/>
    </xf>
    <xf numFmtId="170" fontId="72" fillId="18" borderId="0" xfId="7" applyNumberFormat="1" applyFont="1" applyFill="1" applyAlignment="1">
      <alignment horizontal="right" vertical="center"/>
    </xf>
    <xf numFmtId="193" fontId="70" fillId="16" borderId="0" xfId="7" applyNumberFormat="1" applyFont="1" applyFill="1" applyAlignment="1" applyProtection="1">
      <alignment vertical="center"/>
      <protection locked="0"/>
    </xf>
    <xf numFmtId="192" fontId="72" fillId="18" borderId="0" xfId="7" applyNumberFormat="1" applyFont="1" applyFill="1" applyAlignment="1">
      <alignment horizontal="right" vertical="center"/>
    </xf>
    <xf numFmtId="194" fontId="70" fillId="0" borderId="0" xfId="7" applyNumberFormat="1" applyFont="1" applyAlignment="1">
      <alignment horizontal="right" vertical="center"/>
    </xf>
    <xf numFmtId="194" fontId="72" fillId="18" borderId="0" xfId="7" applyNumberFormat="1" applyFont="1" applyFill="1" applyAlignment="1">
      <alignment horizontal="right" vertical="center"/>
    </xf>
    <xf numFmtId="0" fontId="70" fillId="16" borderId="21" xfId="7" applyFont="1" applyFill="1" applyBorder="1" applyAlignment="1">
      <alignment horizontal="left" vertical="top" wrapText="1"/>
    </xf>
    <xf numFmtId="192" fontId="70" fillId="16" borderId="21" xfId="7" applyNumberFormat="1" applyFont="1" applyFill="1" applyBorder="1" applyAlignment="1">
      <alignment horizontal="right" vertical="top"/>
    </xf>
    <xf numFmtId="192" fontId="72" fillId="18" borderId="21" xfId="7" applyNumberFormat="1" applyFont="1" applyFill="1" applyBorder="1" applyAlignment="1">
      <alignment horizontal="right" vertical="top"/>
    </xf>
    <xf numFmtId="182" fontId="70" fillId="16" borderId="32" xfId="9" applyNumberFormat="1" applyFont="1" applyFill="1" applyBorder="1" applyAlignment="1" applyProtection="1">
      <alignment horizontal="right" vertical="top"/>
    </xf>
    <xf numFmtId="176" fontId="70" fillId="16" borderId="21" xfId="9" applyNumberFormat="1" applyFont="1" applyFill="1" applyBorder="1" applyAlignment="1" applyProtection="1">
      <alignment horizontal="right" vertical="top"/>
    </xf>
    <xf numFmtId="177" fontId="70" fillId="16" borderId="21" xfId="9" applyNumberFormat="1" applyFont="1" applyFill="1" applyBorder="1" applyAlignment="1" applyProtection="1">
      <alignment horizontal="right" vertical="top"/>
    </xf>
    <xf numFmtId="180" fontId="84" fillId="18" borderId="0" xfId="7" applyNumberFormat="1" applyFont="1" applyFill="1" applyAlignment="1">
      <alignment horizontal="right" vertical="center"/>
    </xf>
    <xf numFmtId="182" fontId="84" fillId="18" borderId="0" xfId="9" applyNumberFormat="1" applyFont="1" applyFill="1" applyBorder="1" applyAlignment="1" applyProtection="1">
      <alignment horizontal="right" vertical="center"/>
    </xf>
    <xf numFmtId="195" fontId="84" fillId="18" borderId="0" xfId="9" applyNumberFormat="1" applyFont="1" applyFill="1" applyBorder="1" applyAlignment="1" applyProtection="1">
      <alignment horizontal="center" vertical="center"/>
    </xf>
    <xf numFmtId="190" fontId="72" fillId="16" borderId="0" xfId="7" applyNumberFormat="1" applyFont="1" applyFill="1" applyAlignment="1">
      <alignment horizontal="right" vertical="center"/>
    </xf>
    <xf numFmtId="190" fontId="70" fillId="18" borderId="0" xfId="7" applyNumberFormat="1" applyFont="1" applyFill="1" applyAlignment="1">
      <alignment horizontal="right" vertical="center"/>
    </xf>
    <xf numFmtId="190" fontId="70" fillId="16" borderId="15" xfId="7" applyNumberFormat="1" applyFont="1" applyFill="1" applyBorder="1" applyAlignment="1">
      <alignment horizontal="right" vertical="center"/>
    </xf>
    <xf numFmtId="190" fontId="70" fillId="18" borderId="15" xfId="7" applyNumberFormat="1" applyFont="1" applyFill="1" applyBorder="1" applyAlignment="1">
      <alignment horizontal="right" vertical="center"/>
    </xf>
    <xf numFmtId="190" fontId="84" fillId="18" borderId="0" xfId="7" applyNumberFormat="1" applyFont="1" applyFill="1" applyAlignment="1">
      <alignment horizontal="right" vertical="center"/>
    </xf>
    <xf numFmtId="177" fontId="84" fillId="18" borderId="0" xfId="9" applyNumberFormat="1" applyFont="1" applyFill="1" applyBorder="1" applyAlignment="1" applyProtection="1">
      <alignment horizontal="right" vertical="center"/>
    </xf>
    <xf numFmtId="190" fontId="70" fillId="16" borderId="21" xfId="7" applyNumberFormat="1" applyFont="1" applyFill="1" applyBorder="1" applyAlignment="1">
      <alignment horizontal="right" vertical="center"/>
    </xf>
    <xf numFmtId="190" fontId="70" fillId="18" borderId="21" xfId="7" applyNumberFormat="1" applyFont="1" applyFill="1" applyBorder="1" applyAlignment="1">
      <alignment horizontal="right" vertical="center"/>
    </xf>
    <xf numFmtId="182" fontId="70" fillId="16" borderId="32" xfId="9" applyNumberFormat="1" applyFont="1" applyFill="1" applyBorder="1" applyAlignment="1" applyProtection="1">
      <alignment horizontal="right" vertical="center"/>
    </xf>
    <xf numFmtId="3" fontId="7" fillId="0" borderId="0" xfId="0" applyNumberFormat="1" applyFont="1"/>
    <xf numFmtId="0" fontId="29" fillId="0" borderId="0" xfId="0" applyFont="1"/>
    <xf numFmtId="2" fontId="29" fillId="0" borderId="0" xfId="0" applyNumberFormat="1" applyFont="1"/>
    <xf numFmtId="3" fontId="29" fillId="0" borderId="0" xfId="0" applyNumberFormat="1" applyFont="1"/>
    <xf numFmtId="3" fontId="29" fillId="19" borderId="0" xfId="0" applyNumberFormat="1" applyFont="1" applyFill="1"/>
    <xf numFmtId="0" fontId="86" fillId="0" borderId="0" xfId="0" applyFont="1"/>
    <xf numFmtId="173" fontId="0" fillId="8" borderId="0" xfId="0" applyNumberFormat="1" applyFill="1"/>
    <xf numFmtId="0" fontId="0" fillId="19" borderId="0" xfId="0" applyFill="1"/>
    <xf numFmtId="4" fontId="29" fillId="0" borderId="0" xfId="0" applyNumberFormat="1" applyFont="1"/>
    <xf numFmtId="165" fontId="0" fillId="19" borderId="0" xfId="0" applyNumberFormat="1" applyFill="1"/>
    <xf numFmtId="0" fontId="61" fillId="0" borderId="0" xfId="0" applyFont="1"/>
    <xf numFmtId="173" fontId="29" fillId="0" borderId="0" xfId="0" applyNumberFormat="1" applyFont="1" applyAlignment="1">
      <alignment horizontal="center"/>
    </xf>
    <xf numFmtId="172" fontId="29" fillId="0" borderId="0" xfId="0" applyNumberFormat="1" applyFont="1"/>
    <xf numFmtId="0" fontId="88" fillId="20" borderId="0" xfId="0" applyFont="1" applyFill="1" applyAlignment="1">
      <alignment vertical="center"/>
    </xf>
    <xf numFmtId="0" fontId="89" fillId="3" borderId="0" xfId="0" applyFont="1" applyFill="1"/>
    <xf numFmtId="0" fontId="0" fillId="3" borderId="0" xfId="0" applyFill="1" applyAlignment="1">
      <alignment horizontal="left"/>
    </xf>
    <xf numFmtId="0" fontId="90" fillId="0" borderId="0" xfId="0" applyFont="1" applyAlignment="1">
      <alignment horizontal="left" vertical="center"/>
    </xf>
    <xf numFmtId="0" fontId="90" fillId="0" borderId="0" xfId="0" applyFont="1"/>
    <xf numFmtId="0" fontId="10" fillId="3" borderId="0" xfId="0" applyFont="1" applyFill="1"/>
    <xf numFmtId="1" fontId="10" fillId="3" borderId="0" xfId="0" applyNumberFormat="1" applyFont="1" applyFill="1" applyAlignment="1">
      <alignment horizontal="center"/>
    </xf>
    <xf numFmtId="0" fontId="0" fillId="3" borderId="0" xfId="0" applyFill="1" applyAlignment="1">
      <alignment horizontal="center"/>
    </xf>
    <xf numFmtId="9" fontId="0" fillId="3" borderId="0" xfId="2" applyFont="1" applyFill="1" applyAlignment="1">
      <alignment horizontal="center"/>
    </xf>
    <xf numFmtId="1" fontId="0" fillId="3" borderId="0" xfId="0" applyNumberFormat="1" applyFill="1" applyAlignment="1">
      <alignment horizontal="center"/>
    </xf>
    <xf numFmtId="0" fontId="3" fillId="0" borderId="0" xfId="0" applyFont="1" applyAlignment="1">
      <alignment horizontal="center" wrapText="1"/>
    </xf>
    <xf numFmtId="0" fontId="39" fillId="13" borderId="5" xfId="4" applyFont="1" applyFill="1" applyBorder="1" applyAlignment="1">
      <alignment horizontal="left" vertical="center" indent="5"/>
    </xf>
    <xf numFmtId="10" fontId="0" fillId="0" borderId="0" xfId="0" applyNumberFormat="1"/>
    <xf numFmtId="0" fontId="3" fillId="0" borderId="0" xfId="0" applyFont="1" applyAlignment="1">
      <alignment horizontal="center" vertical="center" wrapText="1"/>
    </xf>
    <xf numFmtId="0" fontId="91" fillId="0" borderId="0" xfId="0" applyFont="1"/>
    <xf numFmtId="3" fontId="52" fillId="0" borderId="0" xfId="0" applyNumberFormat="1" applyFont="1"/>
    <xf numFmtId="0" fontId="61" fillId="0" borderId="0" xfId="0" applyFont="1" applyAlignment="1">
      <alignment vertical="top" wrapText="1"/>
    </xf>
    <xf numFmtId="0" fontId="28" fillId="0" borderId="0" xfId="0" applyFont="1"/>
    <xf numFmtId="0" fontId="52" fillId="0" borderId="0" xfId="0" applyFont="1" applyAlignment="1">
      <alignment vertical="center"/>
    </xf>
    <xf numFmtId="0" fontId="0" fillId="0" borderId="0" xfId="0" applyAlignment="1">
      <alignment horizontal="left" vertical="center"/>
    </xf>
    <xf numFmtId="4" fontId="0" fillId="0" borderId="0" xfId="0" applyNumberFormat="1" applyAlignment="1">
      <alignment vertical="center"/>
    </xf>
    <xf numFmtId="174" fontId="0" fillId="0" borderId="0" xfId="0" applyNumberFormat="1" applyAlignment="1">
      <alignment vertical="center"/>
    </xf>
    <xf numFmtId="4" fontId="52" fillId="0" borderId="0" xfId="0" applyNumberFormat="1" applyFont="1" applyAlignment="1">
      <alignment vertical="center"/>
    </xf>
    <xf numFmtId="0" fontId="6" fillId="0" borderId="0" xfId="0" applyFont="1" applyAlignment="1">
      <alignment horizontal="center"/>
    </xf>
    <xf numFmtId="0" fontId="0" fillId="0" borderId="0" xfId="0" applyAlignment="1">
      <alignment horizontal="center" vertical="center"/>
    </xf>
    <xf numFmtId="0" fontId="52" fillId="0" borderId="0" xfId="0" applyFont="1" applyAlignment="1">
      <alignment horizontal="center" vertical="center"/>
    </xf>
    <xf numFmtId="2" fontId="52" fillId="0" borderId="0" xfId="0" applyNumberFormat="1" applyFont="1" applyAlignment="1">
      <alignment horizontal="center" vertical="center"/>
    </xf>
    <xf numFmtId="2" fontId="0" fillId="0" borderId="0" xfId="0" applyNumberFormat="1" applyAlignment="1">
      <alignment horizontal="center"/>
    </xf>
    <xf numFmtId="0" fontId="42" fillId="0" borderId="0" xfId="0" applyFont="1" applyAlignment="1">
      <alignment horizontal="center"/>
    </xf>
    <xf numFmtId="0" fontId="39" fillId="0" borderId="0" xfId="0" applyFont="1" applyAlignment="1">
      <alignment horizontal="center"/>
    </xf>
    <xf numFmtId="2" fontId="6" fillId="0" borderId="0" xfId="0" applyNumberFormat="1" applyFont="1" applyAlignment="1">
      <alignment horizontal="center"/>
    </xf>
    <xf numFmtId="168" fontId="39" fillId="0" borderId="0" xfId="2" applyNumberFormat="1" applyFont="1" applyAlignment="1">
      <alignment horizontal="center"/>
    </xf>
    <xf numFmtId="1" fontId="6" fillId="0" borderId="0" xfId="0" applyNumberFormat="1" applyFont="1" applyAlignment="1">
      <alignment horizontal="center"/>
    </xf>
    <xf numFmtId="0" fontId="92" fillId="0" borderId="0" xfId="0" applyFont="1"/>
    <xf numFmtId="0" fontId="0" fillId="21" borderId="0" xfId="0" applyFill="1"/>
    <xf numFmtId="10" fontId="44" fillId="3" borderId="0" xfId="2" applyNumberFormat="1" applyFont="1" applyFill="1"/>
    <xf numFmtId="172" fontId="6" fillId="10" borderId="4" xfId="4" applyNumberFormat="1" applyFont="1" applyFill="1" applyBorder="1" applyAlignment="1">
      <alignment horizontal="center" vertical="center"/>
    </xf>
    <xf numFmtId="0" fontId="0" fillId="0" borderId="0" xfId="0" applyAlignment="1">
      <alignment vertical="top"/>
    </xf>
    <xf numFmtId="169" fontId="3" fillId="0" borderId="0" xfId="0" applyNumberFormat="1" applyFont="1" applyAlignment="1" applyProtection="1">
      <alignment vertical="top"/>
      <protection locked="0"/>
    </xf>
    <xf numFmtId="0" fontId="0" fillId="0" borderId="0" xfId="0" applyAlignment="1" applyProtection="1">
      <alignment vertical="top"/>
      <protection locked="0"/>
    </xf>
    <xf numFmtId="2" fontId="0" fillId="0" borderId="0" xfId="0" applyNumberFormat="1"/>
    <xf numFmtId="0" fontId="10" fillId="0" borderId="34" xfId="0" applyFont="1" applyBorder="1"/>
    <xf numFmtId="0" fontId="0" fillId="0" borderId="34" xfId="0" applyBorder="1"/>
    <xf numFmtId="0" fontId="10" fillId="0" borderId="0" xfId="0" applyFont="1"/>
    <xf numFmtId="0" fontId="0" fillId="0" borderId="35" xfId="0" applyBorder="1"/>
    <xf numFmtId="1" fontId="0" fillId="22" borderId="0" xfId="0" applyNumberFormat="1" applyFill="1"/>
    <xf numFmtId="9" fontId="0" fillId="0" borderId="0" xfId="0" applyNumberFormat="1"/>
    <xf numFmtId="0" fontId="0" fillId="23" borderId="0" xfId="0" applyFill="1"/>
    <xf numFmtId="1" fontId="0" fillId="23" borderId="0" xfId="0" applyNumberFormat="1" applyFill="1"/>
    <xf numFmtId="4" fontId="0" fillId="0" borderId="0" xfId="10" applyNumberFormat="1" applyFont="1"/>
    <xf numFmtId="0" fontId="0" fillId="24" borderId="0" xfId="0" applyFill="1"/>
    <xf numFmtId="1" fontId="0" fillId="24" borderId="0" xfId="0" applyNumberFormat="1" applyFill="1"/>
    <xf numFmtId="0" fontId="10" fillId="0" borderId="36" xfId="0" applyFont="1" applyBorder="1"/>
    <xf numFmtId="0" fontId="0" fillId="0" borderId="0" xfId="0" quotePrefix="1"/>
    <xf numFmtId="4" fontId="0" fillId="0" borderId="0" xfId="0" quotePrefix="1" applyNumberFormat="1"/>
    <xf numFmtId="0" fontId="96" fillId="0" borderId="0" xfId="0" applyFont="1"/>
    <xf numFmtId="175" fontId="0" fillId="22" borderId="0" xfId="0" applyNumberFormat="1" applyFill="1"/>
    <xf numFmtId="3" fontId="0" fillId="24" borderId="0" xfId="0" applyNumberFormat="1" applyFill="1"/>
    <xf numFmtId="9" fontId="0" fillId="22" borderId="0" xfId="0" applyNumberFormat="1" applyFill="1"/>
    <xf numFmtId="0" fontId="0" fillId="0" borderId="37" xfId="0" applyBorder="1"/>
    <xf numFmtId="4" fontId="0" fillId="3" borderId="0" xfId="0" applyNumberFormat="1" applyFill="1"/>
    <xf numFmtId="1" fontId="95" fillId="0" borderId="0" xfId="0" applyNumberFormat="1" applyFont="1"/>
    <xf numFmtId="2" fontId="95" fillId="0" borderId="0" xfId="0" applyNumberFormat="1" applyFont="1"/>
    <xf numFmtId="0" fontId="97" fillId="0" borderId="0" xfId="0" applyFont="1"/>
    <xf numFmtId="0" fontId="97" fillId="0" borderId="0" xfId="0" applyFont="1" applyAlignment="1">
      <alignment horizontal="center"/>
    </xf>
    <xf numFmtId="1" fontId="0" fillId="0" borderId="0" xfId="0" applyNumberFormat="1" applyAlignment="1">
      <alignment horizontal="center"/>
    </xf>
    <xf numFmtId="4" fontId="0" fillId="0" borderId="0" xfId="0" applyNumberFormat="1" applyAlignment="1">
      <alignment horizontal="center"/>
    </xf>
    <xf numFmtId="175" fontId="0" fillId="0" borderId="0" xfId="0" applyNumberFormat="1" applyAlignment="1">
      <alignment horizontal="center"/>
    </xf>
    <xf numFmtId="0" fontId="98" fillId="0" borderId="0" xfId="0" applyFont="1" applyAlignment="1">
      <alignment horizontal="center"/>
    </xf>
    <xf numFmtId="0" fontId="98" fillId="0" borderId="0" xfId="0" applyFont="1" applyAlignment="1">
      <alignment vertical="center"/>
    </xf>
    <xf numFmtId="0" fontId="98" fillId="0" borderId="0" xfId="0" applyFont="1"/>
    <xf numFmtId="0" fontId="98" fillId="0" borderId="0" xfId="0" applyFont="1" applyAlignment="1">
      <alignment horizontal="left" vertical="top"/>
    </xf>
    <xf numFmtId="0" fontId="98" fillId="0" borderId="0" xfId="0" applyFont="1" applyAlignment="1">
      <alignment horizontal="center" vertical="center" wrapText="1"/>
    </xf>
    <xf numFmtId="0" fontId="99" fillId="0" borderId="0" xfId="0" applyFont="1"/>
    <xf numFmtId="3" fontId="0" fillId="0" borderId="0" xfId="0" applyNumberFormat="1" applyAlignment="1">
      <alignment horizontal="right"/>
    </xf>
    <xf numFmtId="0" fontId="1" fillId="0" borderId="0" xfId="0" applyFont="1"/>
    <xf numFmtId="1" fontId="1" fillId="0" borderId="0" xfId="0" applyNumberFormat="1" applyFont="1"/>
    <xf numFmtId="172" fontId="61" fillId="0" borderId="0" xfId="0" applyNumberFormat="1" applyFont="1"/>
    <xf numFmtId="170" fontId="61" fillId="0" borderId="0" xfId="0" applyNumberFormat="1" applyFont="1"/>
    <xf numFmtId="0" fontId="101" fillId="0" borderId="0" xfId="0" applyFont="1" applyAlignment="1">
      <alignment horizontal="center" vertical="center"/>
    </xf>
    <xf numFmtId="4" fontId="101" fillId="0" borderId="0" xfId="0" applyNumberFormat="1" applyFont="1"/>
    <xf numFmtId="0" fontId="101" fillId="0" borderId="0" xfId="0" applyFont="1"/>
    <xf numFmtId="0" fontId="101" fillId="0" borderId="0" xfId="0" applyFont="1" applyAlignment="1">
      <alignment horizontal="left" vertical="top"/>
    </xf>
    <xf numFmtId="2" fontId="101" fillId="0" borderId="0" xfId="0" applyNumberFormat="1" applyFont="1" applyAlignment="1">
      <alignment horizontal="right" vertical="center"/>
    </xf>
    <xf numFmtId="4" fontId="102" fillId="0" borderId="0" xfId="0" applyNumberFormat="1" applyFont="1"/>
    <xf numFmtId="3" fontId="102" fillId="0" borderId="0" xfId="0" applyNumberFormat="1" applyFont="1"/>
    <xf numFmtId="0" fontId="102" fillId="0" borderId="0" xfId="0" applyFont="1"/>
    <xf numFmtId="3" fontId="101" fillId="0" borderId="0" xfId="0" applyNumberFormat="1" applyFont="1"/>
    <xf numFmtId="2" fontId="102" fillId="0" borderId="0" xfId="0" applyNumberFormat="1" applyFont="1"/>
    <xf numFmtId="196" fontId="0" fillId="0" borderId="0" xfId="0" applyNumberFormat="1"/>
    <xf numFmtId="1" fontId="0" fillId="21" borderId="0" xfId="0" applyNumberFormat="1" applyFill="1"/>
    <xf numFmtId="3" fontId="0" fillId="21" borderId="0" xfId="0" applyNumberFormat="1" applyFill="1"/>
    <xf numFmtId="0" fontId="52" fillId="0" borderId="0" xfId="0" applyFont="1" applyAlignment="1">
      <alignment horizontal="center"/>
    </xf>
    <xf numFmtId="0" fontId="52" fillId="0" borderId="38" xfId="0" applyFont="1" applyBorder="1" applyAlignment="1">
      <alignment horizontal="center" vertical="center"/>
    </xf>
    <xf numFmtId="172" fontId="102" fillId="0" borderId="0" xfId="0" applyNumberFormat="1" applyFont="1"/>
    <xf numFmtId="170" fontId="102" fillId="0" borderId="0" xfId="0" applyNumberFormat="1" applyFont="1"/>
    <xf numFmtId="170" fontId="101" fillId="0" borderId="0" xfId="0" applyNumberFormat="1" applyFont="1" applyAlignment="1">
      <alignment horizontal="right" vertical="center"/>
    </xf>
    <xf numFmtId="170" fontId="101" fillId="0" borderId="0" xfId="0" applyNumberFormat="1" applyFont="1"/>
    <xf numFmtId="170" fontId="6" fillId="0" borderId="0" xfId="0" applyNumberFormat="1" applyFont="1"/>
    <xf numFmtId="170" fontId="101" fillId="0" borderId="38" xfId="0" applyNumberFormat="1" applyFont="1" applyBorder="1"/>
    <xf numFmtId="2" fontId="52" fillId="0" borderId="0" xfId="0" applyNumberFormat="1" applyFont="1"/>
    <xf numFmtId="10" fontId="101" fillId="0" borderId="0" xfId="0" applyNumberFormat="1" applyFont="1"/>
    <xf numFmtId="0" fontId="103" fillId="0" borderId="0" xfId="0" applyFont="1"/>
    <xf numFmtId="1" fontId="7" fillId="0" borderId="0" xfId="0" applyNumberFormat="1" applyFont="1"/>
    <xf numFmtId="170" fontId="7" fillId="0" borderId="0" xfId="0" applyNumberFormat="1" applyFont="1"/>
    <xf numFmtId="0" fontId="72" fillId="19" borderId="0" xfId="7" applyFont="1" applyFill="1" applyAlignment="1">
      <alignment horizontal="left" vertical="center" indent="1"/>
    </xf>
    <xf numFmtId="189" fontId="72" fillId="19" borderId="0" xfId="7" applyNumberFormat="1" applyFont="1" applyFill="1" applyAlignment="1">
      <alignment horizontal="right" vertical="center"/>
    </xf>
    <xf numFmtId="180" fontId="72" fillId="19" borderId="13" xfId="7" applyNumberFormat="1" applyFont="1" applyFill="1" applyBorder="1" applyAlignment="1">
      <alignment horizontal="right" vertical="center"/>
    </xf>
    <xf numFmtId="183" fontId="72" fillId="19" borderId="0" xfId="9" applyNumberFormat="1" applyFont="1" applyFill="1" applyBorder="1" applyAlignment="1" applyProtection="1">
      <alignment horizontal="right" vertical="center"/>
    </xf>
    <xf numFmtId="189" fontId="70" fillId="19" borderId="0" xfId="7" applyNumberFormat="1" applyFont="1" applyFill="1" applyAlignment="1" applyProtection="1">
      <alignment vertical="center"/>
      <protection locked="0"/>
    </xf>
    <xf numFmtId="180" fontId="70" fillId="19" borderId="0" xfId="7" applyNumberFormat="1" applyFont="1" applyFill="1" applyAlignment="1" applyProtection="1">
      <alignment vertical="center"/>
      <protection locked="0"/>
    </xf>
    <xf numFmtId="0" fontId="70" fillId="19" borderId="0" xfId="7" applyFont="1" applyFill="1" applyAlignment="1" applyProtection="1">
      <alignment vertical="center"/>
      <protection locked="0"/>
    </xf>
    <xf numFmtId="9" fontId="101" fillId="0" borderId="0" xfId="0" applyNumberFormat="1" applyFont="1"/>
    <xf numFmtId="3" fontId="0" fillId="9" borderId="3" xfId="4" applyNumberFormat="1" applyFont="1" applyFill="1" applyBorder="1" applyAlignment="1" applyProtection="1">
      <alignment horizontal="center" vertical="center"/>
      <protection locked="0"/>
    </xf>
    <xf numFmtId="197" fontId="0" fillId="0" borderId="0" xfId="0" applyNumberFormat="1"/>
    <xf numFmtId="175" fontId="0" fillId="23" borderId="0" xfId="0" applyNumberFormat="1" applyFill="1"/>
    <xf numFmtId="0" fontId="61" fillId="0" borderId="0" xfId="0" applyFont="1" applyAlignment="1">
      <alignment horizontal="left" vertical="top" wrapText="1"/>
    </xf>
    <xf numFmtId="0" fontId="104" fillId="0" borderId="0" xfId="0" applyFont="1"/>
    <xf numFmtId="0" fontId="0" fillId="25" borderId="0" xfId="0" applyFill="1"/>
    <xf numFmtId="1" fontId="0" fillId="25" borderId="0" xfId="0" applyNumberFormat="1" applyFill="1"/>
    <xf numFmtId="3" fontId="0" fillId="25" borderId="0" xfId="0" applyNumberFormat="1" applyFill="1"/>
    <xf numFmtId="2" fontId="99" fillId="25" borderId="0" xfId="0" applyNumberFormat="1" applyFont="1" applyFill="1"/>
    <xf numFmtId="3" fontId="7" fillId="8" borderId="4" xfId="4" applyNumberFormat="1" applyFont="1" applyFill="1" applyBorder="1" applyAlignment="1" applyProtection="1">
      <alignment horizontal="center" vertical="center"/>
      <protection locked="0"/>
    </xf>
    <xf numFmtId="4" fontId="7" fillId="8" borderId="4" xfId="4" applyNumberFormat="1" applyFont="1" applyFill="1" applyBorder="1" applyAlignment="1" applyProtection="1">
      <alignment horizontal="center" vertical="center"/>
      <protection locked="0"/>
    </xf>
    <xf numFmtId="0" fontId="39" fillId="11" borderId="4" xfId="4" applyFont="1" applyFill="1" applyBorder="1" applyAlignment="1">
      <alignment vertical="center"/>
    </xf>
    <xf numFmtId="9" fontId="6" fillId="9" borderId="3" xfId="4" applyNumberFormat="1" applyFont="1" applyFill="1" applyBorder="1" applyAlignment="1" applyProtection="1">
      <alignment horizontal="center" vertical="center"/>
      <protection locked="0"/>
    </xf>
    <xf numFmtId="2" fontId="52" fillId="0" borderId="0" xfId="2" applyNumberFormat="1" applyFont="1" applyFill="1"/>
    <xf numFmtId="170" fontId="3" fillId="0" borderId="0" xfId="0" applyNumberFormat="1" applyFont="1"/>
    <xf numFmtId="170" fontId="0" fillId="8" borderId="0" xfId="0" applyNumberFormat="1" applyFill="1"/>
    <xf numFmtId="172" fontId="0" fillId="0" borderId="0" xfId="0" applyNumberFormat="1"/>
    <xf numFmtId="0" fontId="61" fillId="3" borderId="0" xfId="0" applyFont="1" applyFill="1"/>
    <xf numFmtId="0" fontId="41" fillId="3" borderId="0" xfId="0" applyFont="1" applyFill="1" applyAlignment="1" applyProtection="1">
      <alignment horizontal="left" vertical="center"/>
      <protection hidden="1"/>
    </xf>
    <xf numFmtId="0" fontId="56" fillId="3" borderId="0" xfId="0" applyFont="1" applyFill="1"/>
    <xf numFmtId="0" fontId="38" fillId="3" borderId="0" xfId="0" applyFont="1" applyFill="1" applyAlignment="1" applyProtection="1">
      <alignment horizontal="left" vertical="center"/>
      <protection hidden="1"/>
    </xf>
    <xf numFmtId="0" fontId="35" fillId="3" borderId="0" xfId="6" applyFill="1"/>
    <xf numFmtId="0" fontId="32" fillId="3" borderId="39" xfId="4" applyFill="1" applyBorder="1"/>
    <xf numFmtId="0" fontId="34" fillId="3" borderId="39" xfId="0" applyFont="1" applyFill="1" applyBorder="1" applyAlignment="1" applyProtection="1">
      <alignment vertical="center"/>
      <protection hidden="1"/>
    </xf>
    <xf numFmtId="0" fontId="33" fillId="3" borderId="39" xfId="0" applyFont="1" applyFill="1" applyBorder="1" applyAlignment="1" applyProtection="1">
      <alignment vertical="center"/>
      <protection hidden="1"/>
    </xf>
    <xf numFmtId="0" fontId="103" fillId="0" borderId="39" xfId="0" applyFont="1" applyBorder="1"/>
    <xf numFmtId="0" fontId="92" fillId="3" borderId="0" xfId="0" applyFont="1" applyFill="1"/>
    <xf numFmtId="0" fontId="0" fillId="9" borderId="0" xfId="0" applyFill="1" applyAlignment="1">
      <alignment horizontal="center" vertical="center"/>
    </xf>
    <xf numFmtId="0" fontId="39" fillId="11" borderId="7" xfId="0" applyFont="1" applyFill="1" applyBorder="1" applyAlignment="1">
      <alignment horizontal="left" vertical="center" indent="2"/>
    </xf>
    <xf numFmtId="0" fontId="39" fillId="11" borderId="4" xfId="0" applyFont="1" applyFill="1" applyBorder="1" applyAlignment="1">
      <alignment horizontal="left" vertical="center" indent="2"/>
    </xf>
    <xf numFmtId="0" fontId="0" fillId="0" borderId="0" xfId="0" applyAlignment="1">
      <alignment horizontal="left" vertical="top" wrapText="1"/>
    </xf>
    <xf numFmtId="175" fontId="38" fillId="3" borderId="0" xfId="0" applyNumberFormat="1" applyFont="1" applyFill="1" applyAlignment="1">
      <alignment horizontal="center" vertical="center"/>
    </xf>
    <xf numFmtId="0" fontId="39" fillId="3" borderId="0" xfId="0" quotePrefix="1" applyFont="1" applyFill="1" applyAlignment="1">
      <alignment horizontal="center" vertical="center"/>
    </xf>
    <xf numFmtId="171" fontId="39" fillId="3" borderId="0" xfId="0" quotePrefix="1" applyNumberFormat="1" applyFont="1" applyFill="1" applyAlignment="1">
      <alignment horizontal="center" vertical="center"/>
    </xf>
    <xf numFmtId="0" fontId="39" fillId="3" borderId="0" xfId="0" applyFont="1" applyFill="1" applyAlignment="1">
      <alignment horizontal="left" vertical="center" wrapText="1" indent="2"/>
    </xf>
    <xf numFmtId="0" fontId="39" fillId="3" borderId="0" xfId="0" applyFont="1" applyFill="1" applyAlignment="1">
      <alignment horizontal="left" vertical="center" indent="2"/>
    </xf>
    <xf numFmtId="0" fontId="0" fillId="3" borderId="0" xfId="0" applyFill="1" applyAlignment="1">
      <alignment horizontal="left" vertical="top"/>
    </xf>
    <xf numFmtId="0" fontId="54" fillId="0" borderId="0" xfId="0" applyFont="1" applyAlignment="1">
      <alignment horizontal="left" vertical="top"/>
    </xf>
    <xf numFmtId="175" fontId="3" fillId="0" borderId="0" xfId="0" applyNumberFormat="1" applyFont="1" applyAlignment="1">
      <alignment horizontal="left" vertical="center"/>
    </xf>
    <xf numFmtId="9" fontId="86" fillId="0" borderId="0" xfId="0" applyNumberFormat="1" applyFont="1"/>
    <xf numFmtId="0" fontId="105" fillId="11" borderId="0" xfId="0" applyFont="1" applyFill="1"/>
    <xf numFmtId="0" fontId="87" fillId="3" borderId="0" xfId="0" applyFont="1" applyFill="1" applyAlignment="1">
      <alignment vertical="center"/>
    </xf>
    <xf numFmtId="0" fontId="42" fillId="11" borderId="47" xfId="0" applyFont="1" applyFill="1" applyBorder="1" applyAlignment="1">
      <alignment horizontal="center" vertical="center"/>
    </xf>
    <xf numFmtId="0" fontId="39" fillId="3" borderId="5" xfId="4" applyFont="1" applyFill="1" applyBorder="1" applyAlignment="1">
      <alignment horizontal="left" vertical="center" indent="2"/>
    </xf>
    <xf numFmtId="0" fontId="6" fillId="3" borderId="3" xfId="4" applyFont="1" applyFill="1" applyBorder="1" applyAlignment="1" applyProtection="1">
      <alignment horizontal="center" vertical="center"/>
      <protection locked="0"/>
    </xf>
    <xf numFmtId="3" fontId="0" fillId="0" borderId="0" xfId="0" applyNumberFormat="1" applyAlignment="1">
      <alignment horizontal="center" vertical="center"/>
    </xf>
    <xf numFmtId="2" fontId="0" fillId="0" borderId="0" xfId="0" applyNumberFormat="1" applyAlignment="1">
      <alignment horizontal="center" vertical="center"/>
    </xf>
    <xf numFmtId="3" fontId="6" fillId="3" borderId="3" xfId="4" applyNumberFormat="1" applyFont="1" applyFill="1" applyBorder="1" applyAlignment="1" applyProtection="1">
      <alignment horizontal="center" vertical="center"/>
      <protection locked="0"/>
    </xf>
    <xf numFmtId="0" fontId="6" fillId="3" borderId="3" xfId="4" applyFont="1" applyFill="1" applyBorder="1" applyAlignment="1">
      <alignment horizontal="center" vertical="top"/>
    </xf>
    <xf numFmtId="169" fontId="0" fillId="3" borderId="0" xfId="0" applyNumberFormat="1" applyFill="1"/>
    <xf numFmtId="0" fontId="35" fillId="0" borderId="0" xfId="6" applyProtection="1"/>
    <xf numFmtId="0" fontId="47" fillId="11" borderId="0" xfId="0" applyFont="1" applyFill="1" applyAlignment="1" applyProtection="1">
      <alignment horizontal="center" vertical="center"/>
      <protection hidden="1"/>
    </xf>
    <xf numFmtId="0" fontId="24" fillId="3" borderId="0" xfId="0" applyFont="1" applyFill="1" applyAlignment="1">
      <alignment vertical="top"/>
    </xf>
    <xf numFmtId="0" fontId="60" fillId="3" borderId="0" xfId="0" applyFont="1" applyFill="1" applyAlignment="1" applyProtection="1">
      <alignment horizontal="right" vertical="center"/>
      <protection hidden="1"/>
    </xf>
    <xf numFmtId="175" fontId="60" fillId="3" borderId="0" xfId="0" applyNumberFormat="1" applyFont="1" applyFill="1" applyAlignment="1">
      <alignment horizontal="left" vertical="center"/>
    </xf>
    <xf numFmtId="0" fontId="60" fillId="3" borderId="0" xfId="0" applyFont="1" applyFill="1"/>
    <xf numFmtId="0" fontId="39" fillId="26" borderId="45" xfId="0" applyFont="1" applyFill="1" applyBorder="1" applyAlignment="1">
      <alignment vertical="top" wrapText="1"/>
    </xf>
    <xf numFmtId="0" fontId="0" fillId="0" borderId="35" xfId="0" applyBorder="1" applyAlignment="1">
      <alignment vertical="top" wrapText="1"/>
    </xf>
    <xf numFmtId="0" fontId="0" fillId="0" borderId="46" xfId="0" applyBorder="1" applyAlignment="1">
      <alignment vertical="top" wrapText="1"/>
    </xf>
    <xf numFmtId="0" fontId="42" fillId="11" borderId="0" xfId="0" applyFont="1" applyFill="1" applyAlignment="1">
      <alignment horizontal="center" vertical="center"/>
    </xf>
    <xf numFmtId="0" fontId="39" fillId="11" borderId="4" xfId="4" applyFont="1" applyFill="1" applyBorder="1" applyAlignment="1">
      <alignment horizontal="left" vertical="center" indent="2"/>
    </xf>
    <xf numFmtId="0" fontId="42" fillId="11" borderId="0" xfId="0" applyFont="1" applyFill="1" applyAlignment="1">
      <alignment horizontal="center" vertical="center" wrapText="1"/>
    </xf>
    <xf numFmtId="0" fontId="42" fillId="26" borderId="40" xfId="0" applyFont="1" applyFill="1" applyBorder="1"/>
    <xf numFmtId="0" fontId="0" fillId="0" borderId="41" xfId="0" applyBorder="1"/>
    <xf numFmtId="0" fontId="0" fillId="0" borderId="42" xfId="0" applyBorder="1"/>
    <xf numFmtId="0" fontId="42" fillId="26" borderId="43" xfId="0" applyFont="1" applyFill="1" applyBorder="1" applyAlignment="1">
      <alignment wrapText="1"/>
    </xf>
    <xf numFmtId="0" fontId="0" fillId="0" borderId="0" xfId="0" applyAlignment="1">
      <alignment wrapText="1"/>
    </xf>
    <xf numFmtId="0" fontId="0" fillId="0" borderId="44" xfId="0" applyBorder="1" applyAlignment="1">
      <alignment wrapText="1"/>
    </xf>
    <xf numFmtId="0" fontId="39" fillId="26" borderId="43" xfId="0" applyFont="1" applyFill="1" applyBorder="1" applyAlignment="1">
      <alignment horizontal="left" vertical="top" wrapText="1"/>
    </xf>
    <xf numFmtId="0" fontId="0" fillId="0" borderId="43" xfId="0" applyBorder="1" applyAlignment="1">
      <alignment wrapText="1"/>
    </xf>
    <xf numFmtId="0" fontId="39" fillId="26" borderId="43" xfId="0" applyFont="1" applyFill="1" applyBorder="1" applyAlignment="1">
      <alignment vertical="top" wrapText="1"/>
    </xf>
    <xf numFmtId="0" fontId="0" fillId="0" borderId="0" xfId="0" applyAlignment="1">
      <alignment vertical="top" wrapText="1"/>
    </xf>
    <xf numFmtId="0" fontId="0" fillId="0" borderId="43" xfId="0" applyBorder="1" applyAlignment="1">
      <alignment vertical="top" wrapText="1"/>
    </xf>
    <xf numFmtId="0" fontId="109" fillId="26" borderId="43" xfId="6" applyFont="1" applyFill="1" applyBorder="1" applyAlignment="1">
      <alignment vertical="top"/>
    </xf>
    <xf numFmtId="0" fontId="0" fillId="0" borderId="0" xfId="0" applyAlignment="1">
      <alignment vertical="top"/>
    </xf>
    <xf numFmtId="0" fontId="0" fillId="0" borderId="44" xfId="0" applyBorder="1" applyAlignment="1">
      <alignment vertical="top"/>
    </xf>
    <xf numFmtId="0" fontId="39" fillId="11" borderId="7" xfId="0" applyFont="1" applyFill="1" applyBorder="1" applyAlignment="1">
      <alignment horizontal="left" vertical="center" indent="2"/>
    </xf>
    <xf numFmtId="0" fontId="39" fillId="11" borderId="4" xfId="0" applyFont="1" applyFill="1" applyBorder="1" applyAlignment="1">
      <alignment horizontal="left" vertical="center" indent="2"/>
    </xf>
    <xf numFmtId="0" fontId="39" fillId="11" borderId="2" xfId="0" applyFont="1" applyFill="1" applyBorder="1" applyAlignment="1">
      <alignment horizontal="left" vertical="center" wrapText="1"/>
    </xf>
    <xf numFmtId="0" fontId="39" fillId="11" borderId="0" xfId="0" applyFont="1" applyFill="1" applyAlignment="1">
      <alignment horizontal="left" vertical="center" wrapText="1"/>
    </xf>
    <xf numFmtId="0" fontId="93" fillId="3" borderId="0" xfId="4" applyFont="1" applyFill="1" applyAlignment="1">
      <alignment horizontal="left" vertical="top" wrapText="1"/>
    </xf>
    <xf numFmtId="0" fontId="40" fillId="11" borderId="2" xfId="0" applyFont="1" applyFill="1" applyBorder="1" applyAlignment="1">
      <alignment horizontal="left" vertical="center" wrapText="1"/>
    </xf>
    <xf numFmtId="0" fontId="40" fillId="11" borderId="0" xfId="0" applyFont="1" applyFill="1" applyAlignment="1">
      <alignment horizontal="left" vertical="center" wrapText="1"/>
    </xf>
    <xf numFmtId="0" fontId="39" fillId="11" borderId="1" xfId="6" applyFont="1" applyFill="1" applyBorder="1" applyAlignment="1" applyProtection="1">
      <alignment horizontal="left" vertical="top" wrapText="1"/>
      <protection hidden="1"/>
    </xf>
    <xf numFmtId="0" fontId="43" fillId="11" borderId="0" xfId="6" applyFont="1" applyFill="1" applyBorder="1" applyAlignment="1" applyProtection="1">
      <alignment horizontal="left" vertical="center" wrapText="1" indent="2"/>
      <protection hidden="1"/>
    </xf>
    <xf numFmtId="171" fontId="39" fillId="11" borderId="10" xfId="0" quotePrefix="1" applyNumberFormat="1" applyFont="1" applyFill="1" applyBorder="1" applyAlignment="1">
      <alignment horizontal="center" vertical="center"/>
    </xf>
    <xf numFmtId="171" fontId="39" fillId="11" borderId="8" xfId="0" quotePrefix="1" applyNumberFormat="1" applyFont="1" applyFill="1" applyBorder="1" applyAlignment="1">
      <alignment horizontal="center" vertical="center"/>
    </xf>
    <xf numFmtId="0" fontId="39" fillId="11" borderId="9" xfId="0" applyFont="1" applyFill="1" applyBorder="1" applyAlignment="1">
      <alignment horizontal="left" vertical="center" wrapText="1" indent="2"/>
    </xf>
    <xf numFmtId="0" fontId="39" fillId="11" borderId="9" xfId="0" applyFont="1" applyFill="1" applyBorder="1" applyAlignment="1">
      <alignment horizontal="left" vertical="center" indent="2"/>
    </xf>
    <xf numFmtId="0" fontId="39" fillId="11" borderId="10" xfId="0" applyFont="1" applyFill="1" applyBorder="1" applyAlignment="1">
      <alignment horizontal="left" vertical="center" indent="2"/>
    </xf>
    <xf numFmtId="0" fontId="42" fillId="11" borderId="7" xfId="0" applyFont="1" applyFill="1" applyBorder="1" applyAlignment="1">
      <alignment horizontal="center" vertical="center"/>
    </xf>
    <xf numFmtId="0" fontId="42" fillId="11" borderId="4" xfId="0" applyFont="1" applyFill="1" applyBorder="1" applyAlignment="1">
      <alignment horizontal="center" vertical="center"/>
    </xf>
    <xf numFmtId="0" fontId="42" fillId="11" borderId="6" xfId="0" applyFont="1" applyFill="1" applyBorder="1" applyAlignment="1">
      <alignment horizontal="center" vertical="center"/>
    </xf>
    <xf numFmtId="0" fontId="50" fillId="11" borderId="0" xfId="0" applyFont="1" applyFill="1" applyAlignment="1">
      <alignment horizontal="left" vertical="center" wrapText="1"/>
    </xf>
    <xf numFmtId="0" fontId="50" fillId="0" borderId="0" xfId="0" applyFont="1" applyAlignment="1">
      <alignment vertical="center" wrapText="1"/>
    </xf>
    <xf numFmtId="0" fontId="0" fillId="3" borderId="0" xfId="0" applyFill="1"/>
    <xf numFmtId="0" fontId="0" fillId="0" borderId="0" xfId="0"/>
    <xf numFmtId="0" fontId="50" fillId="11" borderId="0" xfId="0" applyFont="1" applyFill="1" applyAlignment="1">
      <alignment horizontal="left" vertical="top" wrapText="1"/>
    </xf>
    <xf numFmtId="0" fontId="0" fillId="0" borderId="0" xfId="0" applyAlignment="1">
      <alignment horizontal="left" vertical="top" wrapText="1"/>
    </xf>
    <xf numFmtId="0" fontId="41" fillId="3" borderId="0" xfId="0" applyFont="1" applyFill="1" applyAlignment="1" applyProtection="1">
      <alignment horizontal="left" vertical="center"/>
      <protection hidden="1"/>
    </xf>
    <xf numFmtId="0" fontId="47" fillId="11" borderId="0" xfId="0" applyFont="1" applyFill="1" applyAlignment="1">
      <alignment horizontal="center" vertical="center" wrapText="1"/>
    </xf>
    <xf numFmtId="0" fontId="40" fillId="11" borderId="0" xfId="0" applyFont="1" applyFill="1" applyAlignment="1">
      <alignment horizontal="center" vertical="center" wrapText="1"/>
    </xf>
    <xf numFmtId="0" fontId="47" fillId="14" borderId="0" xfId="0" applyFont="1" applyFill="1" applyAlignment="1">
      <alignment horizontal="center" vertical="center" wrapText="1"/>
    </xf>
    <xf numFmtId="0" fontId="40" fillId="14" borderId="0" xfId="0" applyFont="1" applyFill="1" applyAlignment="1">
      <alignment horizontal="center" vertical="center" wrapText="1"/>
    </xf>
    <xf numFmtId="0" fontId="47" fillId="4" borderId="0" xfId="0" applyFont="1" applyFill="1" applyAlignment="1">
      <alignment horizontal="center" vertical="center" wrapText="1"/>
    </xf>
    <xf numFmtId="0" fontId="40" fillId="4" borderId="0" xfId="0" applyFont="1" applyFill="1" applyAlignment="1">
      <alignment horizontal="center" vertical="center" wrapText="1"/>
    </xf>
    <xf numFmtId="0" fontId="106" fillId="4" borderId="0" xfId="6" applyFont="1" applyFill="1" applyBorder="1" applyAlignment="1" applyProtection="1">
      <alignment horizontal="center" vertical="center" wrapText="1"/>
    </xf>
    <xf numFmtId="0" fontId="47" fillId="12" borderId="0" xfId="0" applyFont="1" applyFill="1" applyAlignment="1">
      <alignment horizontal="center" vertical="center" wrapText="1"/>
    </xf>
    <xf numFmtId="0" fontId="40" fillId="12" borderId="0" xfId="0" applyFont="1" applyFill="1" applyAlignment="1">
      <alignment horizontal="center" vertical="center" wrapText="1"/>
    </xf>
    <xf numFmtId="0" fontId="49" fillId="11" borderId="0" xfId="6" applyFont="1" applyFill="1" applyAlignment="1">
      <alignment horizontal="left" vertical="center" wrapText="1"/>
    </xf>
    <xf numFmtId="0" fontId="49" fillId="0" borderId="0" xfId="6" applyFont="1" applyAlignment="1">
      <alignment vertical="center" wrapText="1"/>
    </xf>
    <xf numFmtId="0" fontId="49" fillId="11" borderId="11" xfId="6" applyFont="1" applyFill="1" applyBorder="1" applyAlignment="1" applyProtection="1">
      <alignment horizontal="left" vertical="center" indent="9"/>
    </xf>
    <xf numFmtId="0" fontId="49" fillId="11" borderId="0" xfId="6" applyFont="1" applyFill="1" applyAlignment="1">
      <alignment horizontal="left" vertical="top" wrapText="1"/>
    </xf>
    <xf numFmtId="0" fontId="49" fillId="0" borderId="0" xfId="6" applyFont="1" applyAlignment="1">
      <alignment wrapText="1"/>
    </xf>
    <xf numFmtId="0" fontId="47" fillId="11" borderId="0" xfId="0" applyFont="1" applyFill="1" applyAlignment="1">
      <alignment horizontal="center" vertical="top"/>
    </xf>
    <xf numFmtId="0" fontId="70" fillId="16" borderId="33" xfId="7" applyFont="1" applyFill="1" applyBorder="1" applyAlignment="1">
      <alignment horizontal="left" vertical="top" wrapText="1"/>
    </xf>
    <xf numFmtId="0" fontId="62" fillId="15" borderId="0" xfId="7" applyFont="1" applyFill="1" applyAlignment="1">
      <alignment horizontal="center" vertical="center" wrapText="1"/>
    </xf>
    <xf numFmtId="0" fontId="69" fillId="17" borderId="0" xfId="7" applyFont="1" applyFill="1" applyAlignment="1">
      <alignment horizontal="center" vertical="center"/>
    </xf>
    <xf numFmtId="0" fontId="6" fillId="10" borderId="3" xfId="4" applyFont="1" applyFill="1" applyBorder="1" applyAlignment="1" applyProtection="1">
      <alignment horizontal="center" vertical="center"/>
    </xf>
    <xf numFmtId="0" fontId="6" fillId="27" borderId="3" xfId="4" applyFont="1" applyFill="1" applyBorder="1" applyAlignment="1" applyProtection="1">
      <alignment horizontal="center" vertical="center"/>
    </xf>
  </cellXfs>
  <cellStyles count="11">
    <cellStyle name="Comma" xfId="10" builtinId="3"/>
    <cellStyle name="Hyperlink" xfId="6" builtinId="8"/>
    <cellStyle name="Hyperlink 2" xfId="8" xr:uid="{00000000-0005-0000-0000-000000000000}"/>
    <cellStyle name="Normal" xfId="0" builtinId="0"/>
    <cellStyle name="Normal 10 2" xfId="3" xr:uid="{00000000-0005-0000-0000-000003000000}"/>
    <cellStyle name="Normal 13" xfId="4" xr:uid="{00000000-0005-0000-0000-000004000000}"/>
    <cellStyle name="Normal 2" xfId="1" xr:uid="{00000000-0005-0000-0000-000005000000}"/>
    <cellStyle name="Normal 2 2" xfId="7" xr:uid="{00000000-0005-0000-0000-000006000000}"/>
    <cellStyle name="Percent" xfId="2" builtinId="5"/>
    <cellStyle name="Percent 2" xfId="9" xr:uid="{00000000-0005-0000-0000-000007000000}"/>
    <cellStyle name="Porcentaje 2" xfId="5" xr:uid="{00000000-0005-0000-0000-000008000000}"/>
  </cellStyles>
  <dxfs count="176">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3" formatCode="#,##0"/>
    </dxf>
    <dxf>
      <numFmt numFmtId="0" formatCode="General"/>
    </dxf>
    <dxf>
      <numFmt numFmtId="0" formatCode="General"/>
    </dxf>
    <dxf>
      <numFmt numFmtId="3" formatCode="#,##0"/>
    </dxf>
    <dxf>
      <numFmt numFmtId="3" formatCode="#,##0"/>
    </dxf>
    <dxf>
      <numFmt numFmtId="0" formatCode="General"/>
    </dxf>
    <dxf>
      <numFmt numFmtId="0" formatCode="General"/>
    </dxf>
    <dxf>
      <numFmt numFmtId="3" formatCode="#,##0"/>
    </dxf>
    <dxf>
      <numFmt numFmtId="0" formatCode="General"/>
    </dxf>
    <dxf>
      <numFmt numFmtId="3" formatCode="#,##0"/>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0" formatCode="General"/>
    </dxf>
    <dxf>
      <numFmt numFmtId="3" formatCode="#,##0"/>
    </dxf>
    <dxf>
      <numFmt numFmtId="3" formatCode="#,##0"/>
    </dxf>
    <dxf>
      <numFmt numFmtId="0" formatCode="General"/>
    </dxf>
    <dxf>
      <numFmt numFmtId="0" formatCode="General"/>
    </dxf>
    <dxf>
      <numFmt numFmtId="3" formatCode="#,##0"/>
    </dxf>
    <dxf>
      <numFmt numFmtId="0" formatCode="General"/>
    </dxf>
    <dxf>
      <numFmt numFmtId="3" formatCode="#,##0"/>
    </dxf>
    <dxf>
      <numFmt numFmtId="3" formatCode="#,##0"/>
    </dxf>
    <dxf>
      <numFmt numFmtId="0" formatCode="General"/>
    </dxf>
    <dxf>
      <numFmt numFmtId="2" formatCode="0.00"/>
    </dxf>
    <dxf>
      <numFmt numFmtId="0" formatCode="General"/>
    </dxf>
    <dxf>
      <font>
        <color theme="0" tint="-0.14996795556505021"/>
      </font>
    </dxf>
    <dxf>
      <numFmt numFmtId="3" formatCode="#,##0"/>
    </dxf>
    <dxf>
      <numFmt numFmtId="0" formatCode="General"/>
    </dxf>
    <dxf>
      <font>
        <color theme="0" tint="-0.14996795556505021"/>
      </font>
    </dxf>
    <dxf>
      <numFmt numFmtId="0" formatCode="General"/>
    </dxf>
    <dxf>
      <numFmt numFmtId="170" formatCode="0.000"/>
    </dxf>
    <dxf>
      <numFmt numFmtId="0" formatCode="General"/>
    </dxf>
    <dxf>
      <numFmt numFmtId="0" formatCode="General"/>
    </dxf>
    <dxf>
      <numFmt numFmtId="170" formatCode="0.000"/>
    </dxf>
    <dxf>
      <font>
        <color theme="0" tint="-0.14996795556505021"/>
      </font>
    </dxf>
    <dxf>
      <font>
        <color theme="0" tint="-0.14996795556505021"/>
      </font>
    </dxf>
    <dxf>
      <numFmt numFmtId="0" formatCode="General"/>
    </dxf>
    <dxf>
      <numFmt numFmtId="2" formatCode="0.00"/>
    </dxf>
    <dxf>
      <numFmt numFmtId="0" formatCode="General"/>
    </dxf>
    <dxf>
      <numFmt numFmtId="2" formatCode="0.00"/>
    </dxf>
    <dxf>
      <numFmt numFmtId="170" formatCode="0.000"/>
    </dxf>
    <dxf>
      <numFmt numFmtId="170" formatCode="0.000"/>
    </dxf>
    <dxf>
      <numFmt numFmtId="0" formatCode="General"/>
    </dxf>
    <dxf>
      <numFmt numFmtId="2" formatCode="0.00"/>
    </dxf>
    <dxf>
      <numFmt numFmtId="0" formatCode="General"/>
    </dxf>
    <dxf>
      <numFmt numFmtId="0" formatCode="General"/>
    </dxf>
    <dxf>
      <numFmt numFmtId="2" formatCode="0.00"/>
    </dxf>
    <dxf>
      <numFmt numFmtId="170" formatCode="0.000"/>
    </dxf>
    <dxf>
      <numFmt numFmtId="0" formatCode="General"/>
    </dxf>
    <dxf>
      <numFmt numFmtId="2" formatCode="0.00"/>
    </dxf>
    <dxf>
      <numFmt numFmtId="0" formatCode="General"/>
    </dxf>
    <dxf>
      <numFmt numFmtId="170" formatCode="0.000"/>
    </dxf>
    <dxf>
      <numFmt numFmtId="0" formatCode="General"/>
    </dxf>
    <dxf>
      <font>
        <color theme="0" tint="-0.14996795556505021"/>
      </font>
    </dxf>
    <dxf>
      <font>
        <color theme="0" tint="-0.14996795556505021"/>
      </font>
    </dxf>
    <dxf>
      <font>
        <color theme="0" tint="-0.14996795556505021"/>
      </font>
    </dxf>
    <dxf>
      <numFmt numFmtId="0" formatCode="General"/>
    </dxf>
    <dxf>
      <numFmt numFmtId="2" formatCode="0.00"/>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3" formatCode="#,##0"/>
    </dxf>
    <dxf>
      <numFmt numFmtId="0" formatCode="General"/>
    </dxf>
    <dxf>
      <numFmt numFmtId="2" formatCode="0.00"/>
    </dxf>
    <dxf>
      <numFmt numFmtId="175" formatCode="0.0"/>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patternType="solid">
          <bgColor theme="0" tint="-0.24994659260841701"/>
        </patternFill>
      </fill>
    </dxf>
    <dxf>
      <font>
        <color theme="0" tint="-0.24994659260841701"/>
      </font>
      <fill>
        <patternFill>
          <bgColor theme="0" tint="-0.24994659260841701"/>
        </patternFill>
      </fill>
      <border>
        <left/>
        <right/>
        <top/>
        <bottom/>
        <vertical/>
        <horizontal/>
      </border>
    </dxf>
    <dxf>
      <font>
        <color theme="0"/>
      </font>
      <fill>
        <patternFill>
          <bgColor theme="0"/>
        </patternFill>
      </fill>
    </dxf>
    <dxf>
      <font>
        <color theme="0" tint="-0.24994659260841701"/>
      </font>
      <fill>
        <patternFill>
          <bgColor theme="0" tint="-0.24994659260841701"/>
        </patternFill>
      </fill>
      <border>
        <left/>
        <right/>
        <top/>
        <bottom/>
        <vertical/>
        <horizontal/>
      </border>
    </dxf>
    <dxf>
      <font>
        <b val="0"/>
        <i/>
      </font>
    </dxf>
    <dxf>
      <font>
        <b val="0"/>
        <i/>
      </font>
    </dxf>
    <dxf>
      <font>
        <b val="0"/>
        <i/>
      </font>
    </dxf>
    <dxf>
      <font>
        <color theme="0"/>
      </font>
    </dxf>
    <dxf>
      <font>
        <color theme="0" tint="-0.24994659260841701"/>
      </font>
      <fill>
        <patternFill>
          <bgColor theme="0" tint="-0.24994659260841701"/>
        </patternFill>
      </fill>
      <border>
        <left/>
        <right/>
        <top/>
        <bottom/>
        <vertical/>
        <horizontal/>
      </border>
    </dxf>
    <dxf>
      <numFmt numFmtId="2" formatCode="0.00"/>
    </dxf>
    <dxf>
      <numFmt numFmtId="175" formatCode="0.0"/>
    </dxf>
    <dxf>
      <numFmt numFmtId="2" formatCode="0.00"/>
    </dxf>
    <dxf>
      <numFmt numFmtId="175" formatCode="0.0"/>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val="0"/>
        <i/>
      </font>
    </dxf>
    <dxf>
      <font>
        <color theme="0"/>
      </font>
      <fill>
        <patternFill>
          <bgColor theme="0"/>
        </patternFill>
      </fill>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font>
        <b val="0"/>
        <i val="0"/>
        <strike val="0"/>
        <condense val="0"/>
        <extend val="0"/>
        <outline val="0"/>
        <shadow val="0"/>
        <u val="none"/>
        <vertAlign val="baseline"/>
        <sz val="10"/>
        <color theme="1"/>
        <name val="Arial"/>
        <scheme val="none"/>
      </font>
      <numFmt numFmtId="4" formatCode="#,##0.00"/>
    </dxf>
    <dxf>
      <alignment horizontal="left" vertical="bottom" textRotation="0" relativeIndent="1"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font>
        <b val="0"/>
        <i val="0"/>
        <strike val="0"/>
        <condense val="0"/>
        <extend val="0"/>
        <outline val="0"/>
        <shadow val="0"/>
        <u val="none"/>
        <vertAlign val="baseline"/>
        <sz val="10"/>
        <color theme="1"/>
        <name val="Arial"/>
        <scheme val="none"/>
      </font>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s>
  <tableStyles count="0" defaultTableStyle="TableStyleMedium2" defaultPivotStyle="PivotStyleLight16"/>
  <colors>
    <mruColors>
      <color rgb="FFF7D379"/>
      <color rgb="FF00546E"/>
      <color rgb="FFBFBFBF"/>
      <color rgb="FF7F7F7F"/>
      <color rgb="FFFFFFFF"/>
      <color rgb="FFF2F2F2"/>
      <color rgb="FFB7B7B7"/>
      <color rgb="FF00759A"/>
      <color rgb="FF00A3D6"/>
      <color rgb="FFF5A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707044351008933"/>
          <c:y val="5.8786171131129078E-2"/>
          <c:w val="0.69398075240594936"/>
          <c:h val="0.77736850908342348"/>
        </c:manualLayout>
      </c:layout>
      <c:scatterChart>
        <c:scatterStyle val="smoothMarker"/>
        <c:varyColors val="0"/>
        <c:ser>
          <c:idx val="0"/>
          <c:order val="0"/>
          <c:tx>
            <c:strRef>
              <c:f>Calculations!$B$50</c:f>
              <c:strCache>
                <c:ptCount val="1"/>
                <c:pt idx="0">
                  <c:v>Company | Emissions within core boundary (tCO2)</c:v>
                </c:pt>
              </c:strCache>
            </c:strRef>
          </c:tx>
          <c:spPr>
            <a:ln w="19050" cap="rnd">
              <a:solidFill>
                <a:srgbClr val="00546E"/>
              </a:solidFill>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Calculations!$D$102:$AX$102</c:f>
              <c:numCache>
                <c:formatCode>#,##0</c:formatCode>
                <c:ptCount val="3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numCache>
            </c:numRef>
          </c:yVal>
          <c:smooth val="1"/>
          <c:extLst>
            <c:ext xmlns:c16="http://schemas.microsoft.com/office/drawing/2014/chart" uri="{C3380CC4-5D6E-409C-BE32-E72D297353CC}">
              <c16:uniqueId val="{00000003-D0A5-40C9-A551-E595A2F775E6}"/>
            </c:ext>
          </c:extLst>
        </c:ser>
        <c:ser>
          <c:idx val="2"/>
          <c:order val="1"/>
          <c:tx>
            <c:strRef>
              <c:f>Calculations!$B$103</c:f>
              <c:strCache>
                <c:ptCount val="1"/>
                <c:pt idx="0">
                  <c:v>Emissions Target</c:v>
                </c:pt>
              </c:strCache>
            </c:strRef>
          </c:tx>
          <c:spPr>
            <a:ln w="19050" cap="rnd">
              <a:solidFill>
                <a:schemeClr val="accent3"/>
              </a:solidFill>
              <a:round/>
            </a:ln>
            <a:effectLst/>
          </c:spPr>
          <c:marker>
            <c:symbol val="none"/>
          </c:marker>
          <c:dLbls>
            <c:dLbl>
              <c:idx val="0"/>
              <c:layout>
                <c:manualLayout>
                  <c:x val="1.2775147677018784E-2"/>
                  <c:y val="-2.6394715301580805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FE0-4F52-981F-CCC76ADC043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numRef>
              <c:f>'Iron &amp; Steelmaker Tool'!$D$20</c:f>
              <c:numCache>
                <c:formatCode>General</c:formatCode>
                <c:ptCount val="1"/>
              </c:numCache>
            </c:numRef>
          </c:xVal>
          <c:yVal>
            <c:numRef>
              <c:f>Calculations!$D$103</c:f>
              <c:numCache>
                <c:formatCode>#,##0</c:formatCode>
                <c:ptCount val="1"/>
                <c:pt idx="0">
                  <c:v>0</c:v>
                </c:pt>
              </c:numCache>
            </c:numRef>
          </c:yVal>
          <c:smooth val="1"/>
          <c:extLst>
            <c:ext xmlns:c16="http://schemas.microsoft.com/office/drawing/2014/chart" uri="{C3380CC4-5D6E-409C-BE32-E72D297353CC}">
              <c16:uniqueId val="{00000004-7860-4468-9D47-147623ECE803}"/>
            </c:ext>
          </c:extLst>
        </c:ser>
        <c:dLbls>
          <c:showLegendKey val="0"/>
          <c:showVal val="0"/>
          <c:showCatName val="0"/>
          <c:showSerName val="0"/>
          <c:showPercent val="0"/>
          <c:showBubbleSize val="0"/>
        </c:dLbls>
        <c:axId val="949570272"/>
        <c:axId val="949571904"/>
      </c:scatterChart>
      <c:valAx>
        <c:axId val="949570272"/>
        <c:scaling>
          <c:orientation val="minMax"/>
          <c:max val="2050"/>
          <c:min val="2015"/>
        </c:scaling>
        <c:delete val="0"/>
        <c:axPos val="b"/>
        <c:majorGridlines>
          <c:spPr>
            <a:ln w="9525" cap="flat" cmpd="sng" algn="ctr">
              <a:no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71904"/>
        <c:crossesAt val="0"/>
        <c:crossBetween val="midCat"/>
        <c:majorUnit val="5"/>
      </c:valAx>
      <c:valAx>
        <c:axId val="949571904"/>
        <c:scaling>
          <c:orientation val="minMax"/>
          <c:min val="0"/>
        </c:scaling>
        <c:delete val="0"/>
        <c:axPos val="l"/>
        <c:majorGridlines>
          <c:spPr>
            <a:ln w="6350" cap="flat" cmpd="sng" algn="ctr">
              <a:solidFill>
                <a:srgbClr val="B7B7B7"/>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tCO2e</a:t>
                </a:r>
              </a:p>
            </c:rich>
          </c:tx>
          <c:layout>
            <c:manualLayout>
              <c:xMode val="edge"/>
              <c:yMode val="edge"/>
              <c:x val="2.2722368037328671E-2"/>
              <c:y val="0.4263055169574391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70272"/>
        <c:crosses val="autoZero"/>
        <c:crossBetween val="midCat"/>
      </c:valAx>
      <c:spPr>
        <a:solidFill>
          <a:sysClr val="window" lastClr="FFFFFF"/>
        </a:solidFill>
        <a:ln>
          <a:noFill/>
        </a:ln>
        <a:effectLst/>
      </c:spPr>
    </c:plotArea>
    <c:legend>
      <c:legendPos val="r"/>
      <c:legendEntry>
        <c:idx val="1"/>
        <c:delete val="1"/>
      </c:legendEntry>
      <c:layout>
        <c:manualLayout>
          <c:xMode val="edge"/>
          <c:yMode val="edge"/>
          <c:x val="0.10810677311169439"/>
          <c:y val="0.90300169510061246"/>
          <c:w val="0.85858978565179356"/>
          <c:h val="5.412579286964128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lumMod val="75000"/>
      </a:sysClr>
    </a:solidFill>
    <a:ln w="6350" cap="flat" cmpd="sng" algn="ctr">
      <a:solidFill>
        <a:sysClr val="window" lastClr="FFFFFF">
          <a:lumMod val="50000"/>
        </a:sysClr>
      </a:solid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05238405828913"/>
          <c:y val="5.07985669485519E-2"/>
          <c:w val="0.74925524934383203"/>
          <c:h val="0.7729790026246719"/>
        </c:manualLayout>
      </c:layout>
      <c:scatterChart>
        <c:scatterStyle val="smoothMarker"/>
        <c:varyColors val="0"/>
        <c:ser>
          <c:idx val="0"/>
          <c:order val="0"/>
          <c:tx>
            <c:strRef>
              <c:f>Calculations!$B$106</c:f>
              <c:strCache>
                <c:ptCount val="1"/>
                <c:pt idx="0">
                  <c:v>Company | Emissions intensity within core boundary (tCO2/t)</c:v>
                </c:pt>
              </c:strCache>
            </c:strRef>
          </c:tx>
          <c:spPr>
            <a:ln w="19050" cap="rnd">
              <a:solidFill>
                <a:srgbClr val="00546E"/>
              </a:solidFill>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Calculations!$D$106:$AX$106</c:f>
              <c:numCache>
                <c:formatCode>General</c:formatCode>
                <c:ptCount val="3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numCache>
            </c:numRef>
          </c:yVal>
          <c:smooth val="1"/>
          <c:extLst>
            <c:ext xmlns:c16="http://schemas.microsoft.com/office/drawing/2014/chart" uri="{C3380CC4-5D6E-409C-BE32-E72D297353CC}">
              <c16:uniqueId val="{00000003-ADC5-4EB8-B870-A166F89CA534}"/>
            </c:ext>
          </c:extLst>
        </c:ser>
        <c:ser>
          <c:idx val="2"/>
          <c:order val="1"/>
          <c:tx>
            <c:strRef>
              <c:f>Calculations!$B$107</c:f>
              <c:strCache>
                <c:ptCount val="1"/>
                <c:pt idx="0">
                  <c:v>Scrap-input dependent sector pathway (tCO2/t)</c:v>
                </c:pt>
              </c:strCache>
            </c:strRef>
          </c:tx>
          <c:spPr>
            <a:ln w="19050" cap="rnd">
              <a:solidFill>
                <a:srgbClr val="F5A81C"/>
              </a:solidFill>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Calculations!$D$107:$AN$107</c:f>
              <c:numCache>
                <c:formatCode>General</c:formatCode>
                <c:ptCount val="37"/>
                <c:pt idx="0">
                  <c:v>#N/A</c:v>
                </c:pt>
                <c:pt idx="1">
                  <c:v>2.4211073569206505</c:v>
                </c:pt>
                <c:pt idx="2">
                  <c:v>2.4424018088262245</c:v>
                </c:pt>
                <c:pt idx="3">
                  <c:v>2.4642862799622671</c:v>
                </c:pt>
                <c:pt idx="4">
                  <c:v>2.4870676905034186</c:v>
                </c:pt>
                <c:pt idx="5">
                  <c:v>2.509887206142364</c:v>
                </c:pt>
                <c:pt idx="6">
                  <c:v>2.4232181366275407</c:v>
                </c:pt>
                <c:pt idx="7">
                  <c:v>2.2970289089871687</c:v>
                </c:pt>
                <c:pt idx="8">
                  <c:v>2.2325564833920861</c:v>
                </c:pt>
                <c:pt idx="9">
                  <c:v>2.169051892996543</c:v>
                </c:pt>
                <c:pt idx="10">
                  <c:v>2.1051540203912005</c:v>
                </c:pt>
                <c:pt idx="11">
                  <c:v>2.0408469220445022</c:v>
                </c:pt>
                <c:pt idx="12">
                  <c:v>1.9761141242691576</c:v>
                </c:pt>
                <c:pt idx="13">
                  <c:v>1.9109385972825268</c:v>
                </c:pt>
                <c:pt idx="14">
                  <c:v>1.8442244064835336</c:v>
                </c:pt>
                <c:pt idx="15">
                  <c:v>1.778148479169098</c:v>
                </c:pt>
                <c:pt idx="16">
                  <c:v>1.7115752810089704</c:v>
                </c:pt>
                <c:pt idx="17">
                  <c:v>1.6209301110839105</c:v>
                </c:pt>
                <c:pt idx="18">
                  <c:v>1.5294901639860059</c:v>
                </c:pt>
                <c:pt idx="19">
                  <c:v>1.4372390699102371</c:v>
                </c:pt>
                <c:pt idx="20">
                  <c:v>1.3441600282439394</c:v>
                </c:pt>
                <c:pt idx="21">
                  <c:v>1.2494897361454405</c:v>
                </c:pt>
                <c:pt idx="22">
                  <c:v>1.1547547560515972</c:v>
                </c:pt>
                <c:pt idx="23">
                  <c:v>1.0591391672172181</c:v>
                </c:pt>
                <c:pt idx="24">
                  <c:v>0.9626243068343302</c:v>
                </c:pt>
                <c:pt idx="25">
                  <c:v>0.86519100363151391</c:v>
                </c:pt>
                <c:pt idx="26">
                  <c:v>0.76681956032604404</c:v>
                </c:pt>
                <c:pt idx="27">
                  <c:v>0.70331405454615814</c:v>
                </c:pt>
                <c:pt idx="28">
                  <c:v>0.63933852504435629</c:v>
                </c:pt>
                <c:pt idx="29">
                  <c:v>0.5748819543329472</c:v>
                </c:pt>
                <c:pt idx="30">
                  <c:v>0.50993301904218591</c:v>
                </c:pt>
                <c:pt idx="31">
                  <c:v>0.44448007894483826</c:v>
                </c:pt>
                <c:pt idx="32">
                  <c:v>0.37876805614402498</c:v>
                </c:pt>
                <c:pt idx="33">
                  <c:v>0.31223257140038119</c:v>
                </c:pt>
                <c:pt idx="34">
                  <c:v>0.24515582753873061</c:v>
                </c:pt>
                <c:pt idx="35">
                  <c:v>0.17752478868938304</c:v>
                </c:pt>
                <c:pt idx="36">
                  <c:v>0.10932603940472095</c:v>
                </c:pt>
              </c:numCache>
            </c:numRef>
          </c:yVal>
          <c:smooth val="1"/>
          <c:extLst>
            <c:ext xmlns:c16="http://schemas.microsoft.com/office/drawing/2014/chart" uri="{C3380CC4-5D6E-409C-BE32-E72D297353CC}">
              <c16:uniqueId val="{00000000-A6D5-40FB-9D52-6D75C8EAF28D}"/>
            </c:ext>
          </c:extLst>
        </c:ser>
        <c:ser>
          <c:idx val="1"/>
          <c:order val="2"/>
          <c:tx>
            <c:strRef>
              <c:f>Calculations!$B$108</c:f>
              <c:strCache>
                <c:ptCount val="1"/>
                <c:pt idx="0">
                  <c:v>Sector |100% ore-based emissions intensity</c:v>
                </c:pt>
              </c:strCache>
            </c:strRef>
          </c:tx>
          <c:spPr>
            <a:ln w="19050" cap="rnd">
              <a:solidFill>
                <a:srgbClr val="00546E"/>
              </a:solidFill>
              <a:prstDash val="sysDash"/>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Calculations!$D$108:$AX$108</c:f>
              <c:numCache>
                <c:formatCode>General</c:formatCode>
                <c:ptCount val="37"/>
                <c:pt idx="0">
                  <c:v>2.3499430713587932</c:v>
                </c:pt>
                <c:pt idx="1">
                  <c:v>2.4211073569206505</c:v>
                </c:pt>
                <c:pt idx="2">
                  <c:v>2.4424018088262245</c:v>
                </c:pt>
                <c:pt idx="3">
                  <c:v>2.4642862799622667</c:v>
                </c:pt>
                <c:pt idx="4">
                  <c:v>2.487067690503419</c:v>
                </c:pt>
                <c:pt idx="5">
                  <c:v>2.509887206142364</c:v>
                </c:pt>
                <c:pt idx="6">
                  <c:v>2.4232181366275407</c:v>
                </c:pt>
                <c:pt idx="7">
                  <c:v>2.2970289089871687</c:v>
                </c:pt>
                <c:pt idx="8">
                  <c:v>2.2325564833920861</c:v>
                </c:pt>
                <c:pt idx="9">
                  <c:v>2.169051892996543</c:v>
                </c:pt>
                <c:pt idx="10">
                  <c:v>2.1051540203912005</c:v>
                </c:pt>
                <c:pt idx="11">
                  <c:v>2.0408469220445022</c:v>
                </c:pt>
                <c:pt idx="12">
                  <c:v>1.9761141242691576</c:v>
                </c:pt>
                <c:pt idx="13">
                  <c:v>1.9109385972825268</c:v>
                </c:pt>
                <c:pt idx="14">
                  <c:v>1.8442244064835336</c:v>
                </c:pt>
                <c:pt idx="15">
                  <c:v>1.778148479169098</c:v>
                </c:pt>
                <c:pt idx="16">
                  <c:v>1.7115752810089702</c:v>
                </c:pt>
                <c:pt idx="17">
                  <c:v>1.6209301110839105</c:v>
                </c:pt>
                <c:pt idx="18">
                  <c:v>1.5294901639860059</c:v>
                </c:pt>
                <c:pt idx="19">
                  <c:v>1.4372390699102373</c:v>
                </c:pt>
                <c:pt idx="20">
                  <c:v>1.3441600282439394</c:v>
                </c:pt>
                <c:pt idx="21">
                  <c:v>1.2494897361454405</c:v>
                </c:pt>
                <c:pt idx="22">
                  <c:v>1.1547547560515972</c:v>
                </c:pt>
                <c:pt idx="23">
                  <c:v>1.0591391672172181</c:v>
                </c:pt>
                <c:pt idx="24">
                  <c:v>0.9626243068343302</c:v>
                </c:pt>
                <c:pt idx="25">
                  <c:v>0.86519100363151391</c:v>
                </c:pt>
                <c:pt idx="26">
                  <c:v>0.76681956032604404</c:v>
                </c:pt>
                <c:pt idx="27">
                  <c:v>0.70331405454615814</c:v>
                </c:pt>
                <c:pt idx="28">
                  <c:v>0.63933852504435629</c:v>
                </c:pt>
                <c:pt idx="29">
                  <c:v>0.5748819543329472</c:v>
                </c:pt>
                <c:pt idx="30">
                  <c:v>0.50993301904218591</c:v>
                </c:pt>
                <c:pt idx="31">
                  <c:v>0.44448007894483826</c:v>
                </c:pt>
                <c:pt idx="32">
                  <c:v>0.37876805614402503</c:v>
                </c:pt>
                <c:pt idx="33">
                  <c:v>0.31223257140038119</c:v>
                </c:pt>
                <c:pt idx="34">
                  <c:v>0.24515582753873061</c:v>
                </c:pt>
                <c:pt idx="35">
                  <c:v>0.17752478868938304</c:v>
                </c:pt>
                <c:pt idx="36">
                  <c:v>0.10932603940472095</c:v>
                </c:pt>
              </c:numCache>
            </c:numRef>
          </c:yVal>
          <c:smooth val="1"/>
          <c:extLst>
            <c:ext xmlns:c16="http://schemas.microsoft.com/office/drawing/2014/chart" uri="{C3380CC4-5D6E-409C-BE32-E72D297353CC}">
              <c16:uniqueId val="{00000004-ADC5-4EB8-B870-A166F89CA534}"/>
            </c:ext>
          </c:extLst>
        </c:ser>
        <c:ser>
          <c:idx val="3"/>
          <c:order val="3"/>
          <c:tx>
            <c:strRef>
              <c:f>Calculations!$B$109</c:f>
              <c:strCache>
                <c:ptCount val="1"/>
                <c:pt idx="0">
                  <c:v>Sector |100% scrap-based emissions intensity</c:v>
                </c:pt>
              </c:strCache>
            </c:strRef>
          </c:tx>
          <c:spPr>
            <a:ln w="19050" cap="rnd">
              <a:solidFill>
                <a:srgbClr val="F5A81C"/>
              </a:solidFill>
              <a:prstDash val="sysDash"/>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Calculations!$D$109:$AX$109</c:f>
              <c:numCache>
                <c:formatCode>General</c:formatCode>
                <c:ptCount val="37"/>
                <c:pt idx="0">
                  <c:v>0.55209999999999992</c:v>
                </c:pt>
                <c:pt idx="1">
                  <c:v>0.56512499999999988</c:v>
                </c:pt>
                <c:pt idx="2">
                  <c:v>0.55209999999999992</c:v>
                </c:pt>
                <c:pt idx="3">
                  <c:v>0.53907499999999997</c:v>
                </c:pt>
                <c:pt idx="4">
                  <c:v>0.52604999999999991</c:v>
                </c:pt>
                <c:pt idx="5">
                  <c:v>0.51302499999999995</c:v>
                </c:pt>
                <c:pt idx="6">
                  <c:v>0.5</c:v>
                </c:pt>
                <c:pt idx="7">
                  <c:v>0.48697500000000005</c:v>
                </c:pt>
                <c:pt idx="8">
                  <c:v>0.47395000000000004</c:v>
                </c:pt>
                <c:pt idx="9">
                  <c:v>0.46092500000000008</c:v>
                </c:pt>
                <c:pt idx="10">
                  <c:v>0.44790000000000008</c:v>
                </c:pt>
                <c:pt idx="11">
                  <c:v>0.43487500000000012</c:v>
                </c:pt>
                <c:pt idx="12">
                  <c:v>0.42185000000000011</c:v>
                </c:pt>
                <c:pt idx="13">
                  <c:v>0.40882500000000016</c:v>
                </c:pt>
                <c:pt idx="14">
                  <c:v>0.39580000000000021</c:v>
                </c:pt>
                <c:pt idx="15">
                  <c:v>0.3827750000000002</c:v>
                </c:pt>
                <c:pt idx="16">
                  <c:v>0.36975000000000025</c:v>
                </c:pt>
                <c:pt idx="17">
                  <c:v>0.35672500000000024</c:v>
                </c:pt>
                <c:pt idx="18">
                  <c:v>0.34370000000000028</c:v>
                </c:pt>
                <c:pt idx="19">
                  <c:v>0.33067500000000027</c:v>
                </c:pt>
                <c:pt idx="20">
                  <c:v>0.31765000000000032</c:v>
                </c:pt>
                <c:pt idx="21">
                  <c:v>0.30462500000000037</c:v>
                </c:pt>
                <c:pt idx="22">
                  <c:v>0.29160000000000036</c:v>
                </c:pt>
                <c:pt idx="23">
                  <c:v>0.27857500000000041</c:v>
                </c:pt>
                <c:pt idx="24">
                  <c:v>0.2655500000000004</c:v>
                </c:pt>
                <c:pt idx="25">
                  <c:v>0.25252500000000039</c:v>
                </c:pt>
                <c:pt idx="26">
                  <c:v>0.23950000000000041</c:v>
                </c:pt>
                <c:pt idx="27">
                  <c:v>0.2264750000000004</c:v>
                </c:pt>
                <c:pt idx="28">
                  <c:v>0.21345000000000039</c:v>
                </c:pt>
                <c:pt idx="29">
                  <c:v>0.20042500000000038</c:v>
                </c:pt>
                <c:pt idx="30">
                  <c:v>0.18740000000000037</c:v>
                </c:pt>
                <c:pt idx="31">
                  <c:v>0.17437500000000036</c:v>
                </c:pt>
                <c:pt idx="32">
                  <c:v>0.16135000000000035</c:v>
                </c:pt>
                <c:pt idx="33">
                  <c:v>0.14832500000000035</c:v>
                </c:pt>
                <c:pt idx="34">
                  <c:v>0.13530000000000036</c:v>
                </c:pt>
                <c:pt idx="35">
                  <c:v>0.12227500000000034</c:v>
                </c:pt>
                <c:pt idx="36">
                  <c:v>0.10925</c:v>
                </c:pt>
              </c:numCache>
            </c:numRef>
          </c:yVal>
          <c:smooth val="1"/>
          <c:extLst>
            <c:ext xmlns:c16="http://schemas.microsoft.com/office/drawing/2014/chart" uri="{C3380CC4-5D6E-409C-BE32-E72D297353CC}">
              <c16:uniqueId val="{00000001-A6D5-40FB-9D52-6D75C8EAF28D}"/>
            </c:ext>
          </c:extLst>
        </c:ser>
        <c:ser>
          <c:idx val="4"/>
          <c:order val="4"/>
          <c:tx>
            <c:strRef>
              <c:f>Calculations!$B$110</c:f>
              <c:strCache>
                <c:ptCount val="1"/>
                <c:pt idx="0">
                  <c:v>Emissions Intensity Target</c:v>
                </c:pt>
              </c:strCache>
            </c:strRef>
          </c:tx>
          <c:spPr>
            <a:ln w="19050" cap="rnd">
              <a:solidFill>
                <a:schemeClr val="accent5"/>
              </a:solidFill>
              <a:round/>
            </a:ln>
            <a:effectLst/>
          </c:spPr>
          <c:marker>
            <c:symbol val="none"/>
          </c:marker>
          <c:dLbls>
            <c:dLbl>
              <c:idx val="0"/>
              <c:layout>
                <c:manualLayout>
                  <c:x val="2.6024061731980481E-2"/>
                  <c:y val="0"/>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E16-4F55-B956-925EF4548B72}"/>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numRef>
              <c:f>'Iron &amp; Steelmaker Tool'!$D$20</c:f>
              <c:numCache>
                <c:formatCode>General</c:formatCode>
                <c:ptCount val="1"/>
              </c:numCache>
            </c:numRef>
          </c:xVal>
          <c:yVal>
            <c:numRef>
              <c:f>Calculations!$D$110</c:f>
              <c:numCache>
                <c:formatCode>#,##0.0</c:formatCode>
                <c:ptCount val="1"/>
                <c:pt idx="0">
                  <c:v>0</c:v>
                </c:pt>
              </c:numCache>
            </c:numRef>
          </c:yVal>
          <c:smooth val="1"/>
          <c:extLst>
            <c:ext xmlns:c16="http://schemas.microsoft.com/office/drawing/2014/chart" uri="{C3380CC4-5D6E-409C-BE32-E72D297353CC}">
              <c16:uniqueId val="{00000002-A6D5-40FB-9D52-6D75C8EAF28D}"/>
            </c:ext>
          </c:extLst>
        </c:ser>
        <c:ser>
          <c:idx val="5"/>
          <c:order val="5"/>
          <c:tx>
            <c:strRef>
              <c:f>Calculations!$B$111</c:f>
              <c:strCache>
                <c:ptCount val="1"/>
              </c:strCache>
            </c:strRef>
          </c:tx>
          <c:spPr>
            <a:ln w="19050" cap="rnd">
              <a:solidFill>
                <a:schemeClr val="accent6"/>
              </a:solidFill>
              <a:round/>
            </a:ln>
            <a:effectLst/>
          </c:spPr>
          <c:marker>
            <c:symbol val="none"/>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523-41CC-AD82-0B2FA9A4ED6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'Iron &amp; Steelmaker Tool'!$D$20</c:f>
              <c:numCache>
                <c:formatCode>General</c:formatCode>
                <c:ptCount val="1"/>
              </c:numCache>
            </c:numRef>
          </c:xVal>
          <c:yVal>
            <c:numRef>
              <c:f>Calculations!$D$111</c:f>
              <c:numCache>
                <c:formatCode>#,##0.0</c:formatCode>
                <c:ptCount val="1"/>
              </c:numCache>
            </c:numRef>
          </c:yVal>
          <c:smooth val="1"/>
          <c:extLst>
            <c:ext xmlns:c16="http://schemas.microsoft.com/office/drawing/2014/chart" uri="{C3380CC4-5D6E-409C-BE32-E72D297353CC}">
              <c16:uniqueId val="{00000003-A6D5-40FB-9D52-6D75C8EAF28D}"/>
            </c:ext>
          </c:extLst>
        </c:ser>
        <c:dLbls>
          <c:showLegendKey val="0"/>
          <c:showVal val="0"/>
          <c:showCatName val="0"/>
          <c:showSerName val="0"/>
          <c:showPercent val="0"/>
          <c:showBubbleSize val="0"/>
        </c:dLbls>
        <c:axId val="949566464"/>
        <c:axId val="949567008"/>
      </c:scatterChart>
      <c:valAx>
        <c:axId val="949566464"/>
        <c:scaling>
          <c:orientation val="minMax"/>
          <c:max val="2050"/>
          <c:min val="2015"/>
        </c:scaling>
        <c:delete val="0"/>
        <c:axPos val="b"/>
        <c:majorGridlines>
          <c:spPr>
            <a:ln w="9525" cap="flat" cmpd="sng" algn="ctr">
              <a:no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67008"/>
        <c:crossesAt val="0"/>
        <c:crossBetween val="midCat"/>
        <c:majorUnit val="5"/>
      </c:valAx>
      <c:valAx>
        <c:axId val="949567008"/>
        <c:scaling>
          <c:orientation val="minMax"/>
          <c:min val="0"/>
        </c:scaling>
        <c:delete val="0"/>
        <c:axPos val="l"/>
        <c:majorGridlines>
          <c:spPr>
            <a:ln w="6350" cap="flat" cmpd="sng" algn="ctr">
              <a:solidFill>
                <a:srgbClr val="B7B7B7"/>
              </a:solidFill>
              <a:round/>
            </a:ln>
            <a:effectLst/>
          </c:spPr>
        </c:majorGridlines>
        <c:title>
          <c:tx>
            <c:strRef>
              <c:f>Calculations!$C$52</c:f>
              <c:strCache>
                <c:ptCount val="1"/>
                <c:pt idx="0">
                  <c:v>tCO2/t</c:v>
                </c:pt>
              </c:strCache>
            </c:strRef>
          </c:tx>
          <c:layout>
            <c:manualLayout>
              <c:xMode val="edge"/>
              <c:yMode val="edge"/>
              <c:x val="2.1025371828521437E-2"/>
              <c:y val="0.36426753641088977"/>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66464"/>
        <c:crosses val="autoZero"/>
        <c:crossBetween val="midCat"/>
      </c:valAx>
      <c:spPr>
        <a:solidFill>
          <a:sysClr val="window" lastClr="FFFFFF"/>
        </a:solidFill>
        <a:ln>
          <a:noFill/>
        </a:ln>
        <a:effectLst/>
      </c:spPr>
    </c:plotArea>
    <c:legend>
      <c:legendPos val="b"/>
      <c:legendEntry>
        <c:idx val="4"/>
        <c:delete val="1"/>
      </c:legendEntry>
      <c:legendEntry>
        <c:idx val="5"/>
        <c:delete val="1"/>
      </c:legendEntry>
      <c:layout>
        <c:manualLayout>
          <c:xMode val="edge"/>
          <c:yMode val="edge"/>
          <c:x val="0.12561648804076073"/>
          <c:y val="0.88189514342107633"/>
          <c:w val="0.73199513381995129"/>
          <c:h val="0.1052376904368689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75000"/>
      </a:schemeClr>
    </a:solidFill>
    <a:ln w="6350" cap="flat" cmpd="sng" algn="ctr">
      <a:solidFill>
        <a:schemeClr val="bg1">
          <a:lumMod val="50000"/>
        </a:schemeClr>
      </a:solid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rgbClr val="FF0000"/>
                </a:solidFill>
                <a:latin typeface="Arial" panose="020B0604020202020204" pitchFamily="34" charset="0"/>
                <a:ea typeface="+mn-ea"/>
                <a:cs typeface="Arial" panose="020B0604020202020204" pitchFamily="34" charset="0"/>
              </a:defRPr>
            </a:pPr>
            <a:endParaRPr lang="en-US"/>
          </a:p>
        </c:rich>
      </c:tx>
      <c:layout>
        <c:manualLayout>
          <c:xMode val="edge"/>
          <c:yMode val="edge"/>
          <c:x val="0.15216597676759661"/>
          <c:y val="0.72737861813243587"/>
        </c:manualLayout>
      </c:layout>
      <c:overlay val="1"/>
      <c:spPr>
        <a:noFill/>
        <a:ln>
          <a:noFill/>
        </a:ln>
        <a:effectLst/>
      </c:spPr>
      <c:txPr>
        <a:bodyPr rot="0" spcFirstLastPara="1" vertOverflow="ellipsis" vert="horz" wrap="square" anchor="ctr" anchorCtr="1"/>
        <a:lstStyle/>
        <a:p>
          <a:pPr algn="l">
            <a:defRPr sz="960" b="0" i="0" u="none" strike="noStrike" kern="1200" spc="0" baseline="0">
              <a:solidFill>
                <a:srgbClr val="FF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8.991332189958226E-2"/>
          <c:y val="4.8799905987901383E-2"/>
          <c:w val="0.8618809586876145"/>
          <c:h val="0.73098712962955759"/>
        </c:manualLayout>
      </c:layout>
      <c:scatterChart>
        <c:scatterStyle val="lineMarker"/>
        <c:varyColors val="0"/>
        <c:ser>
          <c:idx val="0"/>
          <c:order val="0"/>
          <c:tx>
            <c:strRef>
              <c:f>Calculations!$B$17</c:f>
              <c:strCache>
                <c:ptCount val="1"/>
                <c:pt idx="0">
                  <c:v>Sector activity</c:v>
                </c:pt>
              </c:strCache>
            </c:strRef>
          </c:tx>
          <c:spPr>
            <a:ln w="19050" cap="rnd">
              <a:solidFill>
                <a:srgbClr val="B42D33"/>
              </a:solidFill>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Calculations!$D$17:$AX$17</c:f>
              <c:numCache>
                <c:formatCode>#,##0</c:formatCode>
                <c:ptCount val="37"/>
                <c:pt idx="0">
                  <c:v>1</c:v>
                </c:pt>
                <c:pt idx="1">
                  <c:v>1</c:v>
                </c:pt>
                <c:pt idx="2">
                  <c:v>1</c:v>
                </c:pt>
                <c:pt idx="3">
                  <c:v>1</c:v>
                </c:pt>
                <c:pt idx="4">
                  <c:v>1</c:v>
                </c:pt>
                <c:pt idx="5">
                  <c:v>1</c:v>
                </c:pt>
                <c:pt idx="6">
                  <c:v>0.95291599785981806</c:v>
                </c:pt>
                <c:pt idx="7">
                  <c:v>1.0066151077387031</c:v>
                </c:pt>
                <c:pt idx="8">
                  <c:v>1.0099226616080548</c:v>
                </c:pt>
                <c:pt idx="9">
                  <c:v>1.0132302154774064</c:v>
                </c:pt>
                <c:pt idx="10">
                  <c:v>1.0165377693467581</c:v>
                </c:pt>
                <c:pt idx="11">
                  <c:v>1.0198453232161098</c:v>
                </c:pt>
                <c:pt idx="12">
                  <c:v>1.0231528770854614</c:v>
                </c:pt>
                <c:pt idx="13">
                  <c:v>1.0264604309548131</c:v>
                </c:pt>
                <c:pt idx="14">
                  <c:v>1.0297679848241648</c:v>
                </c:pt>
                <c:pt idx="15">
                  <c:v>1.0330755386935162</c:v>
                </c:pt>
                <c:pt idx="16">
                  <c:v>1.0363830925628679</c:v>
                </c:pt>
                <c:pt idx="17">
                  <c:v>1.0375066880684858</c:v>
                </c:pt>
                <c:pt idx="18">
                  <c:v>1.0386302835741037</c:v>
                </c:pt>
                <c:pt idx="19">
                  <c:v>1.0397538790797218</c:v>
                </c:pt>
                <c:pt idx="20">
                  <c:v>1.0408774745853397</c:v>
                </c:pt>
                <c:pt idx="21">
                  <c:v>1.0420010700909577</c:v>
                </c:pt>
                <c:pt idx="22">
                  <c:v>1.0431246655965758</c:v>
                </c:pt>
                <c:pt idx="23">
                  <c:v>1.0442482611021937</c:v>
                </c:pt>
                <c:pt idx="24">
                  <c:v>1.0453718566078116</c:v>
                </c:pt>
                <c:pt idx="25">
                  <c:v>1.0464954521134295</c:v>
                </c:pt>
                <c:pt idx="26">
                  <c:v>1.0476190476190477</c:v>
                </c:pt>
                <c:pt idx="27">
                  <c:v>1.0491706795077582</c:v>
                </c:pt>
                <c:pt idx="28">
                  <c:v>1.0507223113964688</c:v>
                </c:pt>
                <c:pt idx="29">
                  <c:v>1.0522739432851793</c:v>
                </c:pt>
                <c:pt idx="30">
                  <c:v>1.0538255751738899</c:v>
                </c:pt>
                <c:pt idx="31">
                  <c:v>1.0553772070626004</c:v>
                </c:pt>
                <c:pt idx="32">
                  <c:v>1.056928838951311</c:v>
                </c:pt>
                <c:pt idx="33">
                  <c:v>1.0584804708400215</c:v>
                </c:pt>
                <c:pt idx="34">
                  <c:v>1.0600321027287321</c:v>
                </c:pt>
                <c:pt idx="35">
                  <c:v>1.0615837346174424</c:v>
                </c:pt>
                <c:pt idx="36">
                  <c:v>1.0631353665061529</c:v>
                </c:pt>
              </c:numCache>
            </c:numRef>
          </c:yVal>
          <c:smooth val="1"/>
          <c:extLst>
            <c:ext xmlns:c16="http://schemas.microsoft.com/office/drawing/2014/chart" uri="{C3380CC4-5D6E-409C-BE32-E72D297353CC}">
              <c16:uniqueId val="{00000003-ADC5-4EB8-B870-A166F89CA534}"/>
            </c:ext>
          </c:extLst>
        </c:ser>
        <c:ser>
          <c:idx val="3"/>
          <c:order val="1"/>
          <c:tx>
            <c:strRef>
              <c:f>Calculations!$B$20</c:f>
              <c:strCache>
                <c:ptCount val="1"/>
                <c:pt idx="0">
                  <c:v>Sector emissions within steel core boundary</c:v>
                </c:pt>
              </c:strCache>
            </c:strRef>
          </c:tx>
          <c:spPr>
            <a:ln w="19050" cap="rnd">
              <a:solidFill>
                <a:srgbClr val="00546E"/>
              </a:solidFill>
              <a:prstDash val="solid"/>
              <a:round/>
            </a:ln>
            <a:effectLst/>
          </c:spPr>
          <c:marker>
            <c:symbol val="none"/>
          </c:marker>
          <c:xVal>
            <c:numRef>
              <c:f>Calculations!$D$1:$AX$1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Calculations!$D$20:$AX$20</c:f>
              <c:numCache>
                <c:formatCode>#,##0</c:formatCode>
                <c:ptCount val="37"/>
                <c:pt idx="0">
                  <c:v>1</c:v>
                </c:pt>
                <c:pt idx="1">
                  <c:v>1</c:v>
                </c:pt>
                <c:pt idx="2">
                  <c:v>1</c:v>
                </c:pt>
                <c:pt idx="3">
                  <c:v>1</c:v>
                </c:pt>
                <c:pt idx="4">
                  <c:v>1.0001071598940199</c:v>
                </c:pt>
                <c:pt idx="5">
                  <c:v>1</c:v>
                </c:pt>
                <c:pt idx="6">
                  <c:v>0.96012255658992851</c:v>
                </c:pt>
                <c:pt idx="7">
                  <c:v>0.90639245800996027</c:v>
                </c:pt>
                <c:pt idx="8">
                  <c:v>0.87584060118238904</c:v>
                </c:pt>
                <c:pt idx="9">
                  <c:v>0.84548170778229703</c:v>
                </c:pt>
                <c:pt idx="10">
                  <c:v>0.81531389424878586</c:v>
                </c:pt>
                <c:pt idx="11">
                  <c:v>0.78533530145595398</c:v>
                </c:pt>
                <c:pt idx="12">
                  <c:v>0.75554409431793934</c:v>
                </c:pt>
                <c:pt idx="13">
                  <c:v>0.72593846140160101</c:v>
                </c:pt>
                <c:pt idx="14">
                  <c:v>0.69651661454666192</c:v>
                </c:pt>
                <c:pt idx="15">
                  <c:v>0.66727678849315086</c:v>
                </c:pt>
                <c:pt idx="16">
                  <c:v>0.63821724051597817</c:v>
                </c:pt>
                <c:pt idx="17">
                  <c:v>0.60302373508413865</c:v>
                </c:pt>
                <c:pt idx="18">
                  <c:v>0.56790537639618421</c:v>
                </c:pt>
                <c:pt idx="19">
                  <c:v>0.53286192083327744</c:v>
                </c:pt>
                <c:pt idx="20">
                  <c:v>0.49789312582849748</c:v>
                </c:pt>
                <c:pt idx="21">
                  <c:v>0.46299874986116857</c:v>
                </c:pt>
                <c:pt idx="22">
                  <c:v>0.42817855245122505</c:v>
                </c:pt>
                <c:pt idx="23">
                  <c:v>0.39343229415361303</c:v>
                </c:pt>
                <c:pt idx="24">
                  <c:v>0.35875973655272836</c:v>
                </c:pt>
                <c:pt idx="25">
                  <c:v>0.32416064225688968</c:v>
                </c:pt>
                <c:pt idx="26">
                  <c:v>0.28963477489284778</c:v>
                </c:pt>
                <c:pt idx="27">
                  <c:v>0.2661677085603269</c:v>
                </c:pt>
                <c:pt idx="28">
                  <c:v>0.24276991199801348</c:v>
                </c:pt>
                <c:pt idx="29">
                  <c:v>0.21944107878042288</c:v>
                </c:pt>
                <c:pt idx="30">
                  <c:v>0.19618090428676954</c:v>
                </c:pt>
                <c:pt idx="31">
                  <c:v>0.1729890856877008</c:v>
                </c:pt>
                <c:pt idx="32">
                  <c:v>0.14986532193214705</c:v>
                </c:pt>
                <c:pt idx="33">
                  <c:v>0.12680931373428778</c:v>
                </c:pt>
                <c:pt idx="34">
                  <c:v>0.10382076356063227</c:v>
                </c:pt>
                <c:pt idx="35">
                  <c:v>8.0899375617213165E-2</c:v>
                </c:pt>
                <c:pt idx="36">
                  <c:v>5.8044855836892548E-2</c:v>
                </c:pt>
              </c:numCache>
            </c:numRef>
          </c:yVal>
          <c:smooth val="1"/>
          <c:extLst>
            <c:ext xmlns:c16="http://schemas.microsoft.com/office/drawing/2014/chart" uri="{C3380CC4-5D6E-409C-BE32-E72D297353CC}">
              <c16:uniqueId val="{00000001-77AD-4EB1-A7C2-CCA2035D0BBB}"/>
            </c:ext>
          </c:extLst>
        </c:ser>
        <c:ser>
          <c:idx val="1"/>
          <c:order val="2"/>
          <c:tx>
            <c:strRef>
              <c:f>Calculations!$B$19</c:f>
              <c:strCache>
                <c:ptCount val="1"/>
                <c:pt idx="0">
                  <c:v>Global scrap share projection</c:v>
                </c:pt>
              </c:strCache>
            </c:strRef>
          </c:tx>
          <c:spPr>
            <a:ln w="19050" cap="rnd">
              <a:solidFill>
                <a:schemeClr val="accent2"/>
              </a:solidFill>
              <a:round/>
            </a:ln>
            <a:effectLst/>
          </c:spPr>
          <c:marker>
            <c:symbol val="none"/>
          </c:marker>
          <c:xVal>
            <c:numRef>
              <c:f>Calculations!$D$1:$AN$1</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xVal>
          <c:yVal>
            <c:numRef>
              <c:f>Calculations!$D$19:$AN$19</c:f>
              <c:numCache>
                <c:formatCode>#,##0</c:formatCode>
                <c:ptCount val="37"/>
                <c:pt idx="0">
                  <c:v>1</c:v>
                </c:pt>
                <c:pt idx="1">
                  <c:v>1</c:v>
                </c:pt>
                <c:pt idx="2">
                  <c:v>1</c:v>
                </c:pt>
                <c:pt idx="3">
                  <c:v>1</c:v>
                </c:pt>
                <c:pt idx="4">
                  <c:v>1</c:v>
                </c:pt>
                <c:pt idx="5">
                  <c:v>1</c:v>
                </c:pt>
                <c:pt idx="6">
                  <c:v>1</c:v>
                </c:pt>
                <c:pt idx="7">
                  <c:v>1.01875</c:v>
                </c:pt>
                <c:pt idx="8">
                  <c:v>1.0375000000000001</c:v>
                </c:pt>
                <c:pt idx="9">
                  <c:v>1.0562500000000001</c:v>
                </c:pt>
                <c:pt idx="10">
                  <c:v>1.075</c:v>
                </c:pt>
                <c:pt idx="11">
                  <c:v>1.09375</c:v>
                </c:pt>
                <c:pt idx="12">
                  <c:v>1.1125</c:v>
                </c:pt>
                <c:pt idx="13">
                  <c:v>1.1312500000000001</c:v>
                </c:pt>
                <c:pt idx="14">
                  <c:v>1.1500000000000001</c:v>
                </c:pt>
                <c:pt idx="15">
                  <c:v>1.1687500000000002</c:v>
                </c:pt>
                <c:pt idx="16">
                  <c:v>1.1875</c:v>
                </c:pt>
                <c:pt idx="17">
                  <c:v>1.2</c:v>
                </c:pt>
                <c:pt idx="18">
                  <c:v>1.2124999999999999</c:v>
                </c:pt>
                <c:pt idx="19">
                  <c:v>1.2250000000000001</c:v>
                </c:pt>
                <c:pt idx="20">
                  <c:v>1.2375</c:v>
                </c:pt>
                <c:pt idx="21">
                  <c:v>1.25</c:v>
                </c:pt>
                <c:pt idx="22">
                  <c:v>1.2625</c:v>
                </c:pt>
                <c:pt idx="23">
                  <c:v>1.2750000000000001</c:v>
                </c:pt>
                <c:pt idx="24">
                  <c:v>1.2875000000000001</c:v>
                </c:pt>
                <c:pt idx="25">
                  <c:v>1.3</c:v>
                </c:pt>
                <c:pt idx="26">
                  <c:v>1.3125</c:v>
                </c:pt>
                <c:pt idx="27">
                  <c:v>1.3250000000000002</c:v>
                </c:pt>
                <c:pt idx="28">
                  <c:v>1.3375000000000001</c:v>
                </c:pt>
                <c:pt idx="29">
                  <c:v>1.35</c:v>
                </c:pt>
                <c:pt idx="30">
                  <c:v>1.3625</c:v>
                </c:pt>
                <c:pt idx="31">
                  <c:v>1.3750000000000002</c:v>
                </c:pt>
                <c:pt idx="32">
                  <c:v>1.3875000000000002</c:v>
                </c:pt>
                <c:pt idx="33">
                  <c:v>1.4000000000000001</c:v>
                </c:pt>
                <c:pt idx="34">
                  <c:v>1.4125000000000001</c:v>
                </c:pt>
                <c:pt idx="35">
                  <c:v>1.4250000000000003</c:v>
                </c:pt>
                <c:pt idx="36">
                  <c:v>1.4375</c:v>
                </c:pt>
              </c:numCache>
            </c:numRef>
          </c:yVal>
          <c:smooth val="0"/>
          <c:extLst>
            <c:ext xmlns:c16="http://schemas.microsoft.com/office/drawing/2014/chart" uri="{C3380CC4-5D6E-409C-BE32-E72D297353CC}">
              <c16:uniqueId val="{00000000-EA4A-4363-837A-58850D808151}"/>
            </c:ext>
          </c:extLst>
        </c:ser>
        <c:dLbls>
          <c:showLegendKey val="0"/>
          <c:showVal val="0"/>
          <c:showCatName val="0"/>
          <c:showSerName val="0"/>
          <c:showPercent val="0"/>
          <c:showBubbleSize val="0"/>
        </c:dLbls>
        <c:axId val="949567552"/>
        <c:axId val="949568640"/>
      </c:scatterChart>
      <c:valAx>
        <c:axId val="949567552"/>
        <c:scaling>
          <c:orientation val="minMax"/>
          <c:max val="2050"/>
          <c:min val="2015"/>
        </c:scaling>
        <c:delete val="0"/>
        <c:axPos val="b"/>
        <c:majorGridlines>
          <c:spPr>
            <a:ln w="9525" cap="flat" cmpd="sng" algn="ctr">
              <a:no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68640"/>
        <c:crosses val="autoZero"/>
        <c:crossBetween val="midCat"/>
        <c:majorUnit val="5"/>
      </c:valAx>
      <c:valAx>
        <c:axId val="949568640"/>
        <c:scaling>
          <c:orientation val="minMax"/>
        </c:scaling>
        <c:delete val="0"/>
        <c:axPos val="l"/>
        <c:majorGridlines>
          <c:spPr>
            <a:ln w="6350" cap="flat" cmpd="sng" algn="ctr">
              <a:solidFill>
                <a:srgbClr val="B7B7B7"/>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t>Indexed sector-specific</a:t>
                </a:r>
                <a:r>
                  <a:rPr lang="en-US" sz="1000" b="1" baseline="0"/>
                  <a:t> data (2014 base year)</a:t>
                </a:r>
                <a:endParaRPr lang="en-US" sz="1000" b="1"/>
              </a:p>
            </c:rich>
          </c:tx>
          <c:layout>
            <c:manualLayout>
              <c:xMode val="edge"/>
              <c:yMode val="edge"/>
              <c:x val="3.6062333945770859E-2"/>
              <c:y val="0.15345855205599301"/>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49567552"/>
        <c:crosses val="autoZero"/>
        <c:crossBetween val="midCat"/>
      </c:valAx>
      <c:spPr>
        <a:solidFill>
          <a:srgbClr val="FFFFFF"/>
        </a:solidFill>
        <a:ln>
          <a:noFill/>
        </a:ln>
        <a:effectLst/>
      </c:spPr>
    </c:plotArea>
    <c:legend>
      <c:legendPos val="b"/>
      <c:layout>
        <c:manualLayout>
          <c:xMode val="edge"/>
          <c:yMode val="edge"/>
          <c:x val="0.1589362680500355"/>
          <c:y val="0.87189355431748838"/>
          <c:w val="0.76073355766382456"/>
          <c:h val="5.764030711990241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lumMod val="75000"/>
      </a:sysClr>
    </a:solidFill>
    <a:ln w="6350" cap="flat" cmpd="sng" algn="ctr">
      <a:solidFill>
        <a:srgbClr val="7F7F7F"/>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ETP 2017 - B2DS Direct Emissions (MTCO2)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DataArrange!$V$2</c:f>
              <c:strCache>
                <c:ptCount val="1"/>
                <c:pt idx="0">
                  <c:v>% Reduction (Abs)</c:v>
                </c:pt>
              </c:strCache>
            </c:strRef>
          </c:tx>
          <c:spPr>
            <a:solidFill>
              <a:schemeClr val="accent1"/>
            </a:solidFill>
            <a:ln>
              <a:noFill/>
            </a:ln>
            <a:effectLst/>
          </c:spPr>
          <c:invertIfNegative val="0"/>
          <c:cat>
            <c:numRef>
              <c:f>DataArrange!$W$1:$AD$1</c:f>
              <c:numCache>
                <c:formatCode>0</c:formatCode>
                <c:ptCount val="8"/>
                <c:pt idx="0">
                  <c:v>2025</c:v>
                </c:pt>
                <c:pt idx="1">
                  <c:v>2030</c:v>
                </c:pt>
                <c:pt idx="2">
                  <c:v>2035</c:v>
                </c:pt>
                <c:pt idx="3">
                  <c:v>2040</c:v>
                </c:pt>
                <c:pt idx="4">
                  <c:v>2045</c:v>
                </c:pt>
                <c:pt idx="5">
                  <c:v>2050</c:v>
                </c:pt>
                <c:pt idx="6">
                  <c:v>2055</c:v>
                </c:pt>
                <c:pt idx="7">
                  <c:v>2060</c:v>
                </c:pt>
              </c:numCache>
            </c:numRef>
          </c:cat>
          <c:val>
            <c:numRef>
              <c:f>DataArrange!$W$2:$AD$2</c:f>
              <c:numCache>
                <c:formatCode>0.00%</c:formatCode>
                <c:ptCount val="8"/>
                <c:pt idx="0">
                  <c:v>0.2072022247387284</c:v>
                </c:pt>
                <c:pt idx="1">
                  <c:v>0.35575247745871763</c:v>
                </c:pt>
                <c:pt idx="2">
                  <c:v>0.50134579183493344</c:v>
                </c:pt>
                <c:pt idx="3">
                  <c:v>0.64184362955343754</c:v>
                </c:pt>
                <c:pt idx="4">
                  <c:v>0.76527728114357729</c:v>
                </c:pt>
                <c:pt idx="5">
                  <c:v>0.86202005611088428</c:v>
                </c:pt>
                <c:pt idx="6">
                  <c:v>0.94763841422189121</c:v>
                </c:pt>
                <c:pt idx="7">
                  <c:v>1.0010681955848704</c:v>
                </c:pt>
              </c:numCache>
            </c:numRef>
          </c:val>
          <c:extLst>
            <c:ext xmlns:c16="http://schemas.microsoft.com/office/drawing/2014/chart" uri="{C3380CC4-5D6E-409C-BE32-E72D297353CC}">
              <c16:uniqueId val="{00000000-D7F1-4720-8C7B-921B9FCFE5AB}"/>
            </c:ext>
          </c:extLst>
        </c:ser>
        <c:dLbls>
          <c:showLegendKey val="0"/>
          <c:showVal val="0"/>
          <c:showCatName val="0"/>
          <c:showSerName val="0"/>
          <c:showPercent val="0"/>
          <c:showBubbleSize val="0"/>
        </c:dLbls>
        <c:gapWidth val="219"/>
        <c:overlap val="-27"/>
        <c:axId val="980017280"/>
        <c:axId val="980014560"/>
      </c:barChart>
      <c:lineChart>
        <c:grouping val="standard"/>
        <c:varyColors val="0"/>
        <c:ser>
          <c:idx val="1"/>
          <c:order val="1"/>
          <c:tx>
            <c:strRef>
              <c:f>DataArrange!$V$3</c:f>
              <c:strCache>
                <c:ptCount val="1"/>
                <c:pt idx="0">
                  <c:v>% Reduction (linear, year)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DataArrange!$W$1:$AD$1</c:f>
              <c:numCache>
                <c:formatCode>0</c:formatCode>
                <c:ptCount val="8"/>
                <c:pt idx="0">
                  <c:v>2025</c:v>
                </c:pt>
                <c:pt idx="1">
                  <c:v>2030</c:v>
                </c:pt>
                <c:pt idx="2">
                  <c:v>2035</c:v>
                </c:pt>
                <c:pt idx="3">
                  <c:v>2040</c:v>
                </c:pt>
                <c:pt idx="4">
                  <c:v>2045</c:v>
                </c:pt>
                <c:pt idx="5">
                  <c:v>2050</c:v>
                </c:pt>
                <c:pt idx="6">
                  <c:v>2055</c:v>
                </c:pt>
                <c:pt idx="7">
                  <c:v>2060</c:v>
                </c:pt>
              </c:numCache>
            </c:numRef>
          </c:cat>
          <c:val>
            <c:numRef>
              <c:f>DataArrange!$W$3:$AD$3</c:f>
              <c:numCache>
                <c:formatCode>0.000%</c:formatCode>
                <c:ptCount val="8"/>
                <c:pt idx="0" formatCode="0.00%">
                  <c:v>1.8836565885338944E-2</c:v>
                </c:pt>
                <c:pt idx="1">
                  <c:v>2.2234529841169852E-2</c:v>
                </c:pt>
                <c:pt idx="2">
                  <c:v>2.387360913499683E-2</c:v>
                </c:pt>
                <c:pt idx="3">
                  <c:v>2.4686293444362982E-2</c:v>
                </c:pt>
                <c:pt idx="4">
                  <c:v>2.468636390785733E-2</c:v>
                </c:pt>
                <c:pt idx="5">
                  <c:v>2.3945001558635673E-2</c:v>
                </c:pt>
                <c:pt idx="6">
                  <c:v>2.3113132054192468E-2</c:v>
                </c:pt>
                <c:pt idx="7">
                  <c:v>2.1762352077931965E-2</c:v>
                </c:pt>
              </c:numCache>
            </c:numRef>
          </c:val>
          <c:smooth val="0"/>
          <c:extLst>
            <c:ext xmlns:c16="http://schemas.microsoft.com/office/drawing/2014/chart" uri="{C3380CC4-5D6E-409C-BE32-E72D297353CC}">
              <c16:uniqueId val="{00000001-D7F1-4720-8C7B-921B9FCFE5AB}"/>
            </c:ext>
          </c:extLst>
        </c:ser>
        <c:dLbls>
          <c:showLegendKey val="0"/>
          <c:showVal val="0"/>
          <c:showCatName val="0"/>
          <c:showSerName val="0"/>
          <c:showPercent val="0"/>
          <c:showBubbleSize val="0"/>
        </c:dLbls>
        <c:marker val="1"/>
        <c:smooth val="0"/>
        <c:axId val="980012928"/>
        <c:axId val="980015648"/>
      </c:lineChart>
      <c:catAx>
        <c:axId val="98001728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0014560"/>
        <c:crosses val="autoZero"/>
        <c:auto val="1"/>
        <c:lblAlgn val="ctr"/>
        <c:lblOffset val="100"/>
        <c:noMultiLvlLbl val="0"/>
      </c:catAx>
      <c:valAx>
        <c:axId val="9800145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0017280"/>
        <c:crosses val="autoZero"/>
        <c:crossBetween val="between"/>
      </c:valAx>
      <c:valAx>
        <c:axId val="980015648"/>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0012928"/>
        <c:crosses val="max"/>
        <c:crossBetween val="between"/>
      </c:valAx>
      <c:catAx>
        <c:axId val="980012928"/>
        <c:scaling>
          <c:orientation val="minMax"/>
        </c:scaling>
        <c:delete val="1"/>
        <c:axPos val="b"/>
        <c:numFmt formatCode="0" sourceLinked="1"/>
        <c:majorTickMark val="out"/>
        <c:minorTickMark val="none"/>
        <c:tickLblPos val="nextTo"/>
        <c:crossAx val="9800156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6073305698248"/>
          <c:y val="3.6630036630036632E-2"/>
          <c:w val="0.60641342218872507"/>
          <c:h val="0.88611965462359166"/>
        </c:manualLayout>
      </c:layout>
      <c:scatterChart>
        <c:scatterStyle val="lineMarker"/>
        <c:varyColors val="0"/>
        <c:ser>
          <c:idx val="0"/>
          <c:order val="0"/>
          <c:tx>
            <c:v>100% ore-based pathway (sector)</c:v>
          </c:tx>
          <c:spPr>
            <a:ln w="19050" cap="rnd">
              <a:solidFill>
                <a:schemeClr val="accent1"/>
              </a:solidFill>
              <a:prstDash val="sysDash"/>
              <a:round/>
            </a:ln>
            <a:effectLst/>
          </c:spPr>
          <c:marker>
            <c:symbol val="none"/>
          </c:marker>
          <c:xVal>
            <c:numRef>
              <c:f>'Steel-data'!$J$4:$AN$4</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xVal>
          <c:yVal>
            <c:numRef>
              <c:f>Calculations!$J$12:$AN$12</c:f>
              <c:numCache>
                <c:formatCode>#,##0.00</c:formatCode>
                <c:ptCount val="31"/>
                <c:pt idx="0">
                  <c:v>2.4232181366275407</c:v>
                </c:pt>
                <c:pt idx="1">
                  <c:v>2.2970289089871687</c:v>
                </c:pt>
                <c:pt idx="2">
                  <c:v>2.2325564833920861</c:v>
                </c:pt>
                <c:pt idx="3">
                  <c:v>2.169051892996543</c:v>
                </c:pt>
                <c:pt idx="4">
                  <c:v>2.1051540203912005</c:v>
                </c:pt>
                <c:pt idx="5">
                  <c:v>2.0408469220445022</c:v>
                </c:pt>
                <c:pt idx="6">
                  <c:v>1.9761141242691576</c:v>
                </c:pt>
                <c:pt idx="7">
                  <c:v>1.9109385972825268</c:v>
                </c:pt>
                <c:pt idx="8">
                  <c:v>1.8442244064835336</c:v>
                </c:pt>
                <c:pt idx="9">
                  <c:v>1.778148479169098</c:v>
                </c:pt>
                <c:pt idx="10">
                  <c:v>1.7115752810089702</c:v>
                </c:pt>
                <c:pt idx="11">
                  <c:v>1.6209301110839105</c:v>
                </c:pt>
                <c:pt idx="12">
                  <c:v>1.5294901639860059</c:v>
                </c:pt>
                <c:pt idx="13">
                  <c:v>1.4372390699102373</c:v>
                </c:pt>
                <c:pt idx="14">
                  <c:v>1.3441600282439394</c:v>
                </c:pt>
                <c:pt idx="15">
                  <c:v>1.2494897361454405</c:v>
                </c:pt>
                <c:pt idx="16">
                  <c:v>1.1547547560515972</c:v>
                </c:pt>
                <c:pt idx="17">
                  <c:v>1.0591391672172181</c:v>
                </c:pt>
                <c:pt idx="18">
                  <c:v>0.9626243068343302</c:v>
                </c:pt>
                <c:pt idx="19">
                  <c:v>0.86519100363151391</c:v>
                </c:pt>
                <c:pt idx="20">
                  <c:v>0.76681956032604404</c:v>
                </c:pt>
                <c:pt idx="21">
                  <c:v>0.70331405454615814</c:v>
                </c:pt>
                <c:pt idx="22">
                  <c:v>0.63933852504435629</c:v>
                </c:pt>
                <c:pt idx="23">
                  <c:v>0.5748819543329472</c:v>
                </c:pt>
                <c:pt idx="24">
                  <c:v>0.50993301904218591</c:v>
                </c:pt>
                <c:pt idx="25">
                  <c:v>0.44448007894483826</c:v>
                </c:pt>
                <c:pt idx="26">
                  <c:v>0.37876805614402503</c:v>
                </c:pt>
                <c:pt idx="27">
                  <c:v>0.31223257140038119</c:v>
                </c:pt>
                <c:pt idx="28">
                  <c:v>0.24515582753873061</c:v>
                </c:pt>
                <c:pt idx="29">
                  <c:v>0.17752478868938304</c:v>
                </c:pt>
                <c:pt idx="30">
                  <c:v>0.10932603940472095</c:v>
                </c:pt>
              </c:numCache>
            </c:numRef>
          </c:yVal>
          <c:smooth val="0"/>
          <c:extLst>
            <c:ext xmlns:c16="http://schemas.microsoft.com/office/drawing/2014/chart" uri="{C3380CC4-5D6E-409C-BE32-E72D297353CC}">
              <c16:uniqueId val="{00000000-57EE-49B6-86D6-3AFB8D62DF43}"/>
            </c:ext>
          </c:extLst>
        </c:ser>
        <c:ser>
          <c:idx val="1"/>
          <c:order val="1"/>
          <c:tx>
            <c:v>100% scrap-based pathway (sector)</c:v>
          </c:tx>
          <c:spPr>
            <a:ln w="19050" cap="rnd">
              <a:solidFill>
                <a:schemeClr val="accent2"/>
              </a:solidFill>
              <a:prstDash val="sysDash"/>
              <a:round/>
            </a:ln>
            <a:effectLst/>
          </c:spPr>
          <c:marker>
            <c:symbol val="none"/>
          </c:marker>
          <c:xVal>
            <c:numRef>
              <c:f>'Steel-data'!$J$4:$AN$4</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xVal>
          <c:yVal>
            <c:numRef>
              <c:f>Calculations!$J$13:$AN$13</c:f>
              <c:numCache>
                <c:formatCode>#,##0</c:formatCode>
                <c:ptCount val="31"/>
                <c:pt idx="0">
                  <c:v>0.5</c:v>
                </c:pt>
                <c:pt idx="1">
                  <c:v>0.48697500000000005</c:v>
                </c:pt>
                <c:pt idx="2">
                  <c:v>0.47395000000000004</c:v>
                </c:pt>
                <c:pt idx="3">
                  <c:v>0.46092500000000008</c:v>
                </c:pt>
                <c:pt idx="4">
                  <c:v>0.44790000000000008</c:v>
                </c:pt>
                <c:pt idx="5">
                  <c:v>0.43487500000000012</c:v>
                </c:pt>
                <c:pt idx="6">
                  <c:v>0.42185000000000011</c:v>
                </c:pt>
                <c:pt idx="7">
                  <c:v>0.40882500000000016</c:v>
                </c:pt>
                <c:pt idx="8">
                  <c:v>0.39580000000000021</c:v>
                </c:pt>
                <c:pt idx="9">
                  <c:v>0.3827750000000002</c:v>
                </c:pt>
                <c:pt idx="10">
                  <c:v>0.36975000000000025</c:v>
                </c:pt>
                <c:pt idx="11">
                  <c:v>0.35672500000000024</c:v>
                </c:pt>
                <c:pt idx="12">
                  <c:v>0.34370000000000028</c:v>
                </c:pt>
                <c:pt idx="13">
                  <c:v>0.33067500000000027</c:v>
                </c:pt>
                <c:pt idx="14">
                  <c:v>0.31765000000000032</c:v>
                </c:pt>
                <c:pt idx="15">
                  <c:v>0.30462500000000037</c:v>
                </c:pt>
                <c:pt idx="16">
                  <c:v>0.29160000000000036</c:v>
                </c:pt>
                <c:pt idx="17">
                  <c:v>0.27857500000000041</c:v>
                </c:pt>
                <c:pt idx="18">
                  <c:v>0.2655500000000004</c:v>
                </c:pt>
                <c:pt idx="19">
                  <c:v>0.25252500000000039</c:v>
                </c:pt>
                <c:pt idx="20">
                  <c:v>0.23950000000000041</c:v>
                </c:pt>
                <c:pt idx="21">
                  <c:v>0.2264750000000004</c:v>
                </c:pt>
                <c:pt idx="22">
                  <c:v>0.21345000000000039</c:v>
                </c:pt>
                <c:pt idx="23">
                  <c:v>0.20042500000000038</c:v>
                </c:pt>
                <c:pt idx="24">
                  <c:v>0.18740000000000037</c:v>
                </c:pt>
                <c:pt idx="25">
                  <c:v>0.17437500000000036</c:v>
                </c:pt>
                <c:pt idx="26">
                  <c:v>0.16135000000000035</c:v>
                </c:pt>
                <c:pt idx="27">
                  <c:v>0.14832500000000035</c:v>
                </c:pt>
                <c:pt idx="28">
                  <c:v>0.13530000000000036</c:v>
                </c:pt>
                <c:pt idx="29">
                  <c:v>0.12227500000000034</c:v>
                </c:pt>
                <c:pt idx="30">
                  <c:v>0.10925</c:v>
                </c:pt>
              </c:numCache>
            </c:numRef>
          </c:yVal>
          <c:smooth val="0"/>
          <c:extLst>
            <c:ext xmlns:c16="http://schemas.microsoft.com/office/drawing/2014/chart" uri="{C3380CC4-5D6E-409C-BE32-E72D297353CC}">
              <c16:uniqueId val="{00000001-57EE-49B6-86D6-3AFB8D62DF43}"/>
            </c:ext>
          </c:extLst>
        </c:ser>
        <c:ser>
          <c:idx val="2"/>
          <c:order val="2"/>
          <c:tx>
            <c:v>Sector pathway with company scrap ratio</c:v>
          </c:tx>
          <c:spPr>
            <a:ln w="19050" cap="rnd">
              <a:solidFill>
                <a:schemeClr val="accent3"/>
              </a:solidFill>
              <a:round/>
            </a:ln>
            <a:effectLst/>
          </c:spPr>
          <c:marker>
            <c:symbol val="none"/>
          </c:marker>
          <c:xVal>
            <c:numRef>
              <c:f>'Steel-data'!$J$4:$AN$4</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xVal>
          <c:yVal>
            <c:numRef>
              <c:f>Calculations!$J$42:$AN$42</c:f>
              <c:numCache>
                <c:formatCode>#,##0</c:formatCode>
                <c:ptCount val="31"/>
                <c:pt idx="0">
                  <c:v>2.4232181366275407</c:v>
                </c:pt>
                <c:pt idx="1">
                  <c:v>2.2970289089871687</c:v>
                </c:pt>
                <c:pt idx="2">
                  <c:v>2.2325564833920861</c:v>
                </c:pt>
                <c:pt idx="3">
                  <c:v>2.169051892996543</c:v>
                </c:pt>
                <c:pt idx="4">
                  <c:v>2.1051540203912005</c:v>
                </c:pt>
                <c:pt idx="5">
                  <c:v>2.0408469220445022</c:v>
                </c:pt>
                <c:pt idx="6">
                  <c:v>1.9761141242691576</c:v>
                </c:pt>
                <c:pt idx="7">
                  <c:v>1.9109385972825268</c:v>
                </c:pt>
                <c:pt idx="8">
                  <c:v>1.8442244064835336</c:v>
                </c:pt>
                <c:pt idx="9">
                  <c:v>1.778148479169098</c:v>
                </c:pt>
                <c:pt idx="10">
                  <c:v>1.7115752810089704</c:v>
                </c:pt>
                <c:pt idx="11">
                  <c:v>1.6209301110839105</c:v>
                </c:pt>
                <c:pt idx="12">
                  <c:v>1.5294901639860059</c:v>
                </c:pt>
                <c:pt idx="13">
                  <c:v>1.4372390699102371</c:v>
                </c:pt>
                <c:pt idx="14">
                  <c:v>1.3441600282439394</c:v>
                </c:pt>
                <c:pt idx="15">
                  <c:v>1.2494897361454405</c:v>
                </c:pt>
                <c:pt idx="16">
                  <c:v>1.1547547560515972</c:v>
                </c:pt>
                <c:pt idx="17">
                  <c:v>1.0591391672172181</c:v>
                </c:pt>
                <c:pt idx="18">
                  <c:v>0.9626243068343302</c:v>
                </c:pt>
                <c:pt idx="19">
                  <c:v>0.86519100363151391</c:v>
                </c:pt>
                <c:pt idx="20">
                  <c:v>0.76681956032604404</c:v>
                </c:pt>
                <c:pt idx="21">
                  <c:v>0.70331405454615814</c:v>
                </c:pt>
                <c:pt idx="22">
                  <c:v>0.63933852504435629</c:v>
                </c:pt>
                <c:pt idx="23">
                  <c:v>0.5748819543329472</c:v>
                </c:pt>
                <c:pt idx="24">
                  <c:v>0.50993301904218591</c:v>
                </c:pt>
                <c:pt idx="25">
                  <c:v>0.44448007894483826</c:v>
                </c:pt>
                <c:pt idx="26">
                  <c:v>0.37876805614402498</c:v>
                </c:pt>
                <c:pt idx="27">
                  <c:v>0.31223257140038119</c:v>
                </c:pt>
                <c:pt idx="28">
                  <c:v>0.24515582753873061</c:v>
                </c:pt>
                <c:pt idx="29">
                  <c:v>0.17752478868938304</c:v>
                </c:pt>
                <c:pt idx="30">
                  <c:v>0.10932603940472095</c:v>
                </c:pt>
              </c:numCache>
            </c:numRef>
          </c:yVal>
          <c:smooth val="0"/>
          <c:extLst>
            <c:ext xmlns:c16="http://schemas.microsoft.com/office/drawing/2014/chart" uri="{C3380CC4-5D6E-409C-BE32-E72D297353CC}">
              <c16:uniqueId val="{00000002-57EE-49B6-86D6-3AFB8D62DF43}"/>
            </c:ext>
          </c:extLst>
        </c:ser>
        <c:ser>
          <c:idx val="3"/>
          <c:order val="3"/>
          <c:tx>
            <c:v>Company convergence pathway</c:v>
          </c:tx>
          <c:spPr>
            <a:ln w="19050" cap="rnd">
              <a:solidFill>
                <a:schemeClr val="accent4"/>
              </a:solidFill>
              <a:round/>
            </a:ln>
            <a:effectLst/>
          </c:spPr>
          <c:marker>
            <c:symbol val="none"/>
          </c:marker>
          <c:xVal>
            <c:numRef>
              <c:f>'Steel-data'!$J$25:$AN$25</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xVal>
          <c:yVal>
            <c:numRef>
              <c:f>Calculations!$J$49:$AN$49</c:f>
              <c:numCache>
                <c:formatCode>#,##0</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yVal>
          <c:smooth val="0"/>
          <c:extLst>
            <c:ext xmlns:c16="http://schemas.microsoft.com/office/drawing/2014/chart" uri="{C3380CC4-5D6E-409C-BE32-E72D297353CC}">
              <c16:uniqueId val="{00000003-57EE-49B6-86D6-3AFB8D62DF43}"/>
            </c:ext>
          </c:extLst>
        </c:ser>
        <c:dLbls>
          <c:showLegendKey val="0"/>
          <c:showVal val="0"/>
          <c:showCatName val="0"/>
          <c:showSerName val="0"/>
          <c:showPercent val="0"/>
          <c:showBubbleSize val="0"/>
        </c:dLbls>
        <c:axId val="2111611055"/>
        <c:axId val="2111614415"/>
      </c:scatterChart>
      <c:valAx>
        <c:axId val="2111611055"/>
        <c:scaling>
          <c:orientation val="minMax"/>
          <c:max val="2050"/>
          <c:min val="2015"/>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111614415"/>
        <c:crosses val="autoZero"/>
        <c:crossBetween val="midCat"/>
      </c:valAx>
      <c:valAx>
        <c:axId val="21116144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t>tCO2/t hot rolled steel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111611055"/>
        <c:crosses val="autoZero"/>
        <c:crossBetween val="midCat"/>
      </c:valAx>
      <c:spPr>
        <a:noFill/>
        <a:ln>
          <a:noFill/>
        </a:ln>
        <a:effectLst/>
      </c:spPr>
    </c:plotArea>
    <c:legend>
      <c:legendPos val="r"/>
      <c:layout>
        <c:manualLayout>
          <c:xMode val="edge"/>
          <c:yMode val="edge"/>
          <c:x val="0.68652786784004938"/>
          <c:y val="0.15867308544473896"/>
          <c:w val="0.30087772116720707"/>
          <c:h val="0.6127237591804519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emf"/></Relationships>
</file>

<file path=xl/drawings/_rels/drawing1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gif"/></Relationships>
</file>

<file path=xl/drawings/_rels/drawing7.xml.rels><?xml version="1.0" encoding="UTF-8" standalone="yes"?>
<Relationships xmlns="http://schemas.openxmlformats.org/package/2006/relationships"><Relationship Id="rId1" Type="http://schemas.openxmlformats.org/officeDocument/2006/relationships/image" Target="../media/image2.gi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3040</xdr:colOff>
      <xdr:row>24</xdr:row>
      <xdr:rowOff>57150</xdr:rowOff>
    </xdr:to>
    <xdr:pic>
      <xdr:nvPicPr>
        <xdr:cNvPr id="6" name="Picture 5">
          <a:extLst>
            <a:ext uri="{FF2B5EF4-FFF2-40B4-BE49-F238E27FC236}">
              <a16:creationId xmlns:a16="http://schemas.microsoft.com/office/drawing/2014/main" id="{89EA1436-703E-4EC9-B7DC-D60F675D8D0A}"/>
            </a:ext>
          </a:extLst>
        </xdr:cNvPr>
        <xdr:cNvPicPr>
          <a:picLocks noChangeAspect="1"/>
        </xdr:cNvPicPr>
      </xdr:nvPicPr>
      <xdr:blipFill rotWithShape="1">
        <a:blip xmlns:r="http://schemas.openxmlformats.org/officeDocument/2006/relationships" r:embed="rId1"/>
        <a:srcRect t="41063" b="12663"/>
        <a:stretch/>
      </xdr:blipFill>
      <xdr:spPr>
        <a:xfrm>
          <a:off x="243840" y="167640"/>
          <a:ext cx="11116810" cy="3909060"/>
        </a:xfrm>
        <a:prstGeom prst="rect">
          <a:avLst/>
        </a:prstGeom>
      </xdr:spPr>
    </xdr:pic>
    <xdr:clientData/>
  </xdr:twoCellAnchor>
  <xdr:twoCellAnchor editAs="oneCell">
    <xdr:from>
      <xdr:col>2</xdr:col>
      <xdr:colOff>777240</xdr:colOff>
      <xdr:row>1</xdr:row>
      <xdr:rowOff>22860</xdr:rowOff>
    </xdr:from>
    <xdr:to>
      <xdr:col>6</xdr:col>
      <xdr:colOff>170555</xdr:colOff>
      <xdr:row>7</xdr:row>
      <xdr:rowOff>136116</xdr:rowOff>
    </xdr:to>
    <xdr:pic>
      <xdr:nvPicPr>
        <xdr:cNvPr id="7" name="Imagen 2" descr="C:\Users\Fernando Rangel\Google Drive\SBTi\SBTi - Core team\Communication Team\Branding\Logos and templates\SBTi logos_\Logos_\SBT copy.gif">
          <a:extLst>
            <a:ext uri="{FF2B5EF4-FFF2-40B4-BE49-F238E27FC236}">
              <a16:creationId xmlns:a16="http://schemas.microsoft.com/office/drawing/2014/main" id="{03234806-10D5-4D0B-935B-2900A8FC0D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8622"/>
        <a:stretch/>
      </xdr:blipFill>
      <xdr:spPr bwMode="auto">
        <a:xfrm>
          <a:off x="1943100" y="190500"/>
          <a:ext cx="2536565" cy="1122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14</xdr:col>
      <xdr:colOff>533400</xdr:colOff>
      <xdr:row>11</xdr:row>
      <xdr:rowOff>106680</xdr:rowOff>
    </xdr:from>
    <xdr:to>
      <xdr:col>14</xdr:col>
      <xdr:colOff>777240</xdr:colOff>
      <xdr:row>24</xdr:row>
      <xdr:rowOff>68580</xdr:rowOff>
    </xdr:to>
    <xdr:sp macro="" textlink="">
      <xdr:nvSpPr>
        <xdr:cNvPr id="2" name="TextBox 1">
          <a:extLst>
            <a:ext uri="{FF2B5EF4-FFF2-40B4-BE49-F238E27FC236}">
              <a16:creationId xmlns:a16="http://schemas.microsoft.com/office/drawing/2014/main" id="{F512883F-B5BB-47AD-BA22-20129F70FBCF}"/>
            </a:ext>
          </a:extLst>
        </xdr:cNvPr>
        <xdr:cNvSpPr txBox="1"/>
      </xdr:nvSpPr>
      <xdr:spPr>
        <a:xfrm rot="16200000">
          <a:off x="10168890" y="2899410"/>
          <a:ext cx="2141220" cy="24384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100" b="0" i="0" u="none" strike="noStrike">
              <a:solidFill>
                <a:schemeClr val="bg1"/>
              </a:solidFill>
              <a:effectLst/>
              <a:latin typeface="+mn-lt"/>
              <a:ea typeface="+mn-ea"/>
              <a:cs typeface="+mn-cs"/>
            </a:rPr>
            <a:t>Image by ludex2014 from Pixabay</a:t>
          </a:r>
          <a:endParaRPr lang="en-GB" b="0">
            <a:solidFill>
              <a:schemeClr val="bg1"/>
            </a:solidFill>
            <a:effectLst/>
          </a:endParaRPr>
        </a:p>
        <a:p>
          <a:br>
            <a:rPr lang="en-GB">
              <a:solidFill>
                <a:schemeClr val="bg1"/>
              </a:solidFill>
            </a:rPr>
          </a:br>
          <a:endParaRPr lang="en-GB" sz="1100">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0</xdr:colOff>
      <xdr:row>8</xdr:row>
      <xdr:rowOff>23812</xdr:rowOff>
    </xdr:from>
    <xdr:to>
      <xdr:col>30</xdr:col>
      <xdr:colOff>19050</xdr:colOff>
      <xdr:row>26</xdr:row>
      <xdr:rowOff>152400</xdr:rowOff>
    </xdr:to>
    <xdr:graphicFrame macro="">
      <xdr:nvGraphicFramePr>
        <xdr:cNvPr id="3" name="Gráfico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85725</xdr:colOff>
      <xdr:row>113</xdr:row>
      <xdr:rowOff>114299</xdr:rowOff>
    </xdr:from>
    <xdr:to>
      <xdr:col>22</xdr:col>
      <xdr:colOff>266920</xdr:colOff>
      <xdr:row>129</xdr:row>
      <xdr:rowOff>104774</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1678899"/>
          <a:ext cx="768689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139</xdr:row>
      <xdr:rowOff>0</xdr:rowOff>
    </xdr:from>
    <xdr:to>
      <xdr:col>19</xdr:col>
      <xdr:colOff>475529</xdr:colOff>
      <xdr:row>153</xdr:row>
      <xdr:rowOff>37767</xdr:rowOff>
    </xdr:to>
    <xdr:pic>
      <xdr:nvPicPr>
        <xdr:cNvPr id="3" name="Picture 2">
          <a:extLst>
            <a:ext uri="{FF2B5EF4-FFF2-40B4-BE49-F238E27FC236}">
              <a16:creationId xmlns:a16="http://schemas.microsoft.com/office/drawing/2014/main" id="{405F0D61-5D66-4AE2-BC7D-6EDECA7C8307}"/>
            </a:ext>
          </a:extLst>
        </xdr:cNvPr>
        <xdr:cNvPicPr>
          <a:picLocks noChangeAspect="1"/>
        </xdr:cNvPicPr>
      </xdr:nvPicPr>
      <xdr:blipFill>
        <a:blip xmlns:r="http://schemas.openxmlformats.org/officeDocument/2006/relationships" r:embed="rId2"/>
        <a:stretch>
          <a:fillRect/>
        </a:stretch>
      </xdr:blipFill>
      <xdr:spPr>
        <a:xfrm>
          <a:off x="8296275" y="26555700"/>
          <a:ext cx="5771429" cy="26666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419321</xdr:colOff>
      <xdr:row>54</xdr:row>
      <xdr:rowOff>65848</xdr:rowOff>
    </xdr:from>
    <xdr:to>
      <xdr:col>4</xdr:col>
      <xdr:colOff>515183</xdr:colOff>
      <xdr:row>70</xdr:row>
      <xdr:rowOff>2869</xdr:rowOff>
    </xdr:to>
    <xdr:pic>
      <xdr:nvPicPr>
        <xdr:cNvPr id="2" name="Picture 1">
          <a:extLst>
            <a:ext uri="{FF2B5EF4-FFF2-40B4-BE49-F238E27FC236}">
              <a16:creationId xmlns:a16="http://schemas.microsoft.com/office/drawing/2014/main" id="{6F23BD4A-6713-4C68-B319-BF87D5D71960}"/>
            </a:ext>
          </a:extLst>
        </xdr:cNvPr>
        <xdr:cNvPicPr>
          <a:picLocks noChangeAspect="1"/>
        </xdr:cNvPicPr>
      </xdr:nvPicPr>
      <xdr:blipFill>
        <a:blip xmlns:r="http://schemas.openxmlformats.org/officeDocument/2006/relationships" r:embed="rId1"/>
        <a:stretch>
          <a:fillRect/>
        </a:stretch>
      </xdr:blipFill>
      <xdr:spPr>
        <a:xfrm>
          <a:off x="3124421" y="9409873"/>
          <a:ext cx="7432017" cy="2680221"/>
        </a:xfrm>
        <a:prstGeom prst="rect">
          <a:avLst/>
        </a:prstGeom>
      </xdr:spPr>
    </xdr:pic>
    <xdr:clientData/>
  </xdr:twoCellAnchor>
  <xdr:twoCellAnchor editAs="oneCell">
    <xdr:from>
      <xdr:col>2</xdr:col>
      <xdr:colOff>3907797</xdr:colOff>
      <xdr:row>40</xdr:row>
      <xdr:rowOff>67831</xdr:rowOff>
    </xdr:from>
    <xdr:to>
      <xdr:col>6</xdr:col>
      <xdr:colOff>3132</xdr:colOff>
      <xdr:row>55</xdr:row>
      <xdr:rowOff>97026</xdr:rowOff>
    </xdr:to>
    <xdr:pic>
      <xdr:nvPicPr>
        <xdr:cNvPr id="3" name="Picture 2">
          <a:extLst>
            <a:ext uri="{FF2B5EF4-FFF2-40B4-BE49-F238E27FC236}">
              <a16:creationId xmlns:a16="http://schemas.microsoft.com/office/drawing/2014/main" id="{E7F6678A-C741-4502-BEA0-F34D1C696CAD}"/>
            </a:ext>
          </a:extLst>
        </xdr:cNvPr>
        <xdr:cNvPicPr>
          <a:picLocks noChangeAspect="1"/>
        </xdr:cNvPicPr>
      </xdr:nvPicPr>
      <xdr:blipFill>
        <a:blip xmlns:r="http://schemas.openxmlformats.org/officeDocument/2006/relationships" r:embed="rId2"/>
        <a:stretch>
          <a:fillRect/>
        </a:stretch>
      </xdr:blipFill>
      <xdr:spPr>
        <a:xfrm>
          <a:off x="7660647" y="6840106"/>
          <a:ext cx="4372560" cy="2589515"/>
        </a:xfrm>
        <a:prstGeom prst="rect">
          <a:avLst/>
        </a:prstGeom>
      </xdr:spPr>
    </xdr:pic>
    <xdr:clientData/>
  </xdr:twoCellAnchor>
  <xdr:twoCellAnchor editAs="oneCell">
    <xdr:from>
      <xdr:col>0</xdr:col>
      <xdr:colOff>162674</xdr:colOff>
      <xdr:row>40</xdr:row>
      <xdr:rowOff>25684</xdr:rowOff>
    </xdr:from>
    <xdr:to>
      <xdr:col>2</xdr:col>
      <xdr:colOff>3600107</xdr:colOff>
      <xdr:row>55</xdr:row>
      <xdr:rowOff>19960</xdr:rowOff>
    </xdr:to>
    <xdr:pic>
      <xdr:nvPicPr>
        <xdr:cNvPr id="4" name="Picture 3">
          <a:extLst>
            <a:ext uri="{FF2B5EF4-FFF2-40B4-BE49-F238E27FC236}">
              <a16:creationId xmlns:a16="http://schemas.microsoft.com/office/drawing/2014/main" id="{20E4FDD1-5476-48A0-ABF4-96F5C02A030C}"/>
            </a:ext>
          </a:extLst>
        </xdr:cNvPr>
        <xdr:cNvPicPr>
          <a:picLocks noChangeAspect="1"/>
        </xdr:cNvPicPr>
      </xdr:nvPicPr>
      <xdr:blipFill>
        <a:blip xmlns:r="http://schemas.openxmlformats.org/officeDocument/2006/relationships" r:embed="rId3"/>
        <a:stretch>
          <a:fillRect/>
        </a:stretch>
      </xdr:blipFill>
      <xdr:spPr>
        <a:xfrm>
          <a:off x="164579" y="6956074"/>
          <a:ext cx="6239688" cy="2005956"/>
        </a:xfrm>
        <a:prstGeom prst="rect">
          <a:avLst/>
        </a:prstGeom>
      </xdr:spPr>
    </xdr:pic>
    <xdr:clientData/>
  </xdr:twoCellAnchor>
  <xdr:twoCellAnchor>
    <xdr:from>
      <xdr:col>9</xdr:col>
      <xdr:colOff>670560</xdr:colOff>
      <xdr:row>38</xdr:row>
      <xdr:rowOff>87630</xdr:rowOff>
    </xdr:from>
    <xdr:to>
      <xdr:col>17</xdr:col>
      <xdr:colOff>655320</xdr:colOff>
      <xdr:row>61</xdr:row>
      <xdr:rowOff>45720</xdr:rowOff>
    </xdr:to>
    <xdr:graphicFrame macro="">
      <xdr:nvGraphicFramePr>
        <xdr:cNvPr id="6" name="Chart 5">
          <a:extLst>
            <a:ext uri="{FF2B5EF4-FFF2-40B4-BE49-F238E27FC236}">
              <a16:creationId xmlns:a16="http://schemas.microsoft.com/office/drawing/2014/main" id="{180872DC-0293-B709-8FB8-1A29C7B1D4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1</xdr:row>
      <xdr:rowOff>0</xdr:rowOff>
    </xdr:from>
    <xdr:to>
      <xdr:col>4</xdr:col>
      <xdr:colOff>326652</xdr:colOff>
      <xdr:row>4</xdr:row>
      <xdr:rowOff>212316</xdr:rowOff>
    </xdr:to>
    <xdr:pic>
      <xdr:nvPicPr>
        <xdr:cNvPr id="3" name="Imagen 2" descr="C:\Users\Fernando Rangel\Google Drive\SBTi\SBTi - Core team\Communication Team\Branding\Logos and templates\SBTi logos_\Logos_\SBT copy.gif">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622"/>
        <a:stretch/>
      </xdr:blipFill>
      <xdr:spPr bwMode="auto">
        <a:xfrm>
          <a:off x="419100" y="247650"/>
          <a:ext cx="2454089" cy="11457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476098</xdr:colOff>
      <xdr:row>57</xdr:row>
      <xdr:rowOff>210530</xdr:rowOff>
    </xdr:from>
    <xdr:to>
      <xdr:col>5</xdr:col>
      <xdr:colOff>476250</xdr:colOff>
      <xdr:row>83</xdr:row>
      <xdr:rowOff>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1467031</xdr:colOff>
      <xdr:row>57</xdr:row>
      <xdr:rowOff>247649</xdr:rowOff>
    </xdr:from>
    <xdr:to>
      <xdr:col>11</xdr:col>
      <xdr:colOff>238125</xdr:colOff>
      <xdr:row>82</xdr:row>
      <xdr:rowOff>238124</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22409</xdr:colOff>
      <xdr:row>34</xdr:row>
      <xdr:rowOff>156882</xdr:rowOff>
    </xdr:from>
    <xdr:to>
      <xdr:col>7</xdr:col>
      <xdr:colOff>755273</xdr:colOff>
      <xdr:row>49</xdr:row>
      <xdr:rowOff>201706</xdr:rowOff>
    </xdr:to>
    <xdr:graphicFrame macro="">
      <xdr:nvGraphicFramePr>
        <xdr:cNvPr id="7" name="Chart 3">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175260</xdr:colOff>
      <xdr:row>1</xdr:row>
      <xdr:rowOff>60960</xdr:rowOff>
    </xdr:from>
    <xdr:to>
      <xdr:col>1</xdr:col>
      <xdr:colOff>2648399</xdr:colOff>
      <xdr:row>5</xdr:row>
      <xdr:rowOff>97291</xdr:rowOff>
    </xdr:to>
    <xdr:pic>
      <xdr:nvPicPr>
        <xdr:cNvPr id="2" name="Imagen 4" descr="C:\Users\Fernando Rangel\Google Drive\SBTi\SBTi - Core team\Communication Team\Branding\Logos and templates\SBTi logos_\Logos_\SBT copy.gif">
          <a:extLst>
            <a:ext uri="{FF2B5EF4-FFF2-40B4-BE49-F238E27FC236}">
              <a16:creationId xmlns:a16="http://schemas.microsoft.com/office/drawing/2014/main" id="{7412ABAF-E515-4D7A-A660-907DD2E4C42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18622"/>
        <a:stretch/>
      </xdr:blipFill>
      <xdr:spPr bwMode="auto">
        <a:xfrm>
          <a:off x="342900" y="228600"/>
          <a:ext cx="2457899" cy="11717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c:userShapes xmlns:c="http://schemas.openxmlformats.org/drawingml/2006/chart">
  <cdr:relSizeAnchor xmlns:cdr="http://schemas.openxmlformats.org/drawingml/2006/chartDrawing">
    <cdr:from>
      <cdr:x>0.16163</cdr:x>
      <cdr:y>0.00519</cdr:y>
    </cdr:from>
    <cdr:to>
      <cdr:x>0.87693</cdr:x>
      <cdr:y>0.06024</cdr:y>
    </cdr:to>
    <cdr:sp macro="" textlink="Calculations!$B$101">
      <cdr:nvSpPr>
        <cdr:cNvPr id="2" name="TextBox 1">
          <a:extLst xmlns:a="http://schemas.openxmlformats.org/drawingml/2006/main">
            <a:ext uri="{FF2B5EF4-FFF2-40B4-BE49-F238E27FC236}">
              <a16:creationId xmlns:a16="http://schemas.microsoft.com/office/drawing/2014/main" id="{AC2FE00C-8C13-4A96-83F7-966D9362777D}"/>
            </a:ext>
          </a:extLst>
        </cdr:cNvPr>
        <cdr:cNvSpPr txBox="1"/>
      </cdr:nvSpPr>
      <cdr:spPr>
        <a:xfrm xmlns:a="http://schemas.openxmlformats.org/drawingml/2006/main">
          <a:off x="958210" y="32821"/>
          <a:ext cx="4240665" cy="348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F4D0A0B8-0333-4556-B32E-73BBE8E6D666}" type="TxLink">
            <a:rPr lang="en-US" sz="1200" b="1" i="0" u="none" strike="noStrike">
              <a:solidFill>
                <a:srgbClr val="00546E"/>
              </a:solidFill>
              <a:latin typeface="Arial"/>
              <a:cs typeface="Arial"/>
            </a:rPr>
            <a:pPr algn="ctr"/>
            <a:t>Graph 1 | SDA absolute emissions (SBTi 1.5C)</a:t>
          </a:fld>
          <a:endParaRPr lang="en-US" sz="1800" b="1">
            <a:solidFill>
              <a:srgbClr val="00546E"/>
            </a:solidFill>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0.1409</cdr:x>
      <cdr:y>0.0042</cdr:y>
    </cdr:from>
    <cdr:to>
      <cdr:x>0.89917</cdr:x>
      <cdr:y>0.04628</cdr:y>
    </cdr:to>
    <cdr:sp macro="" textlink="Calculations!$B$105">
      <cdr:nvSpPr>
        <cdr:cNvPr id="2" name="TextBox 1">
          <a:extLst xmlns:a="http://schemas.openxmlformats.org/drawingml/2006/main">
            <a:ext uri="{FF2B5EF4-FFF2-40B4-BE49-F238E27FC236}">
              <a16:creationId xmlns:a16="http://schemas.microsoft.com/office/drawing/2014/main" id="{AC2FE00C-8C13-4A96-83F7-966D9362777D}"/>
            </a:ext>
          </a:extLst>
        </cdr:cNvPr>
        <cdr:cNvSpPr txBox="1"/>
      </cdr:nvSpPr>
      <cdr:spPr>
        <a:xfrm xmlns:a="http://schemas.openxmlformats.org/drawingml/2006/main">
          <a:off x="769546" y="26340"/>
          <a:ext cx="4141256" cy="2641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C344592C-DE0C-4252-8CE1-C9121D2B7913}" type="TxLink">
            <a:rPr lang="en-US" sz="1200" b="1" i="0" u="none" strike="noStrike" baseline="0">
              <a:solidFill>
                <a:srgbClr val="00546E"/>
              </a:solidFill>
              <a:latin typeface="Arial"/>
              <a:cs typeface="Arial"/>
            </a:rPr>
            <a:pPr algn="ctr"/>
            <a:t>Graph 2 | SDA intensity (SBTi 1.5C)</a:t>
          </a:fld>
          <a:endParaRPr lang="en-US" sz="1800" b="1">
            <a:solidFill>
              <a:srgbClr val="00546E"/>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0.70005</cdr:x>
      <cdr:y>0.0391</cdr:y>
    </cdr:from>
    <cdr:to>
      <cdr:x>0.94152</cdr:x>
      <cdr:y>0.12244</cdr:y>
    </cdr:to>
    <cdr:sp macro="" textlink="'Iron &amp; Steelmaker Tool'!$F$35">
      <cdr:nvSpPr>
        <cdr:cNvPr id="2" name="TextBox 1">
          <a:extLst xmlns:a="http://schemas.openxmlformats.org/drawingml/2006/main">
            <a:ext uri="{FF2B5EF4-FFF2-40B4-BE49-F238E27FC236}">
              <a16:creationId xmlns:a16="http://schemas.microsoft.com/office/drawing/2014/main" id="{AC2FE00C-8C13-4A96-83F7-966D9362777D}"/>
            </a:ext>
          </a:extLst>
        </cdr:cNvPr>
        <cdr:cNvSpPr txBox="1"/>
      </cdr:nvSpPr>
      <cdr:spPr>
        <a:xfrm xmlns:a="http://schemas.openxmlformats.org/drawingml/2006/main">
          <a:off x="6315525" y="146999"/>
          <a:ext cx="2178415" cy="3133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fld id="{3D4EA75E-792F-43EF-B298-2A5998DE9985}" type="TxLink">
            <a:rPr lang="en-US" sz="1200" b="1" i="0" u="none" strike="noStrike">
              <a:solidFill>
                <a:srgbClr val="00546E"/>
              </a:solidFill>
              <a:latin typeface="Arial"/>
              <a:cs typeface="Arial"/>
            </a:rPr>
            <a:pPr algn="r"/>
            <a:t> Sectoral data (SBTi 1.5C)</a:t>
          </a:fld>
          <a:endParaRPr lang="en-US" sz="1800" b="1">
            <a:solidFill>
              <a:srgbClr val="00546E"/>
            </a:solidFill>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1</xdr:col>
      <xdr:colOff>228600</xdr:colOff>
      <xdr:row>1</xdr:row>
      <xdr:rowOff>57150</xdr:rowOff>
    </xdr:from>
    <xdr:to>
      <xdr:col>1</xdr:col>
      <xdr:colOff>2686499</xdr:colOff>
      <xdr:row>5</xdr:row>
      <xdr:rowOff>93481</xdr:rowOff>
    </xdr:to>
    <xdr:pic>
      <xdr:nvPicPr>
        <xdr:cNvPr id="2" name="Imagen 4" descr="C:\Users\Fernando Rangel\Google Drive\SBTi\SBTi - Core team\Communication Team\Branding\Logos and templates\SBTi logos_\Logos_\SBT copy.gif">
          <a:extLst>
            <a:ext uri="{FF2B5EF4-FFF2-40B4-BE49-F238E27FC236}">
              <a16:creationId xmlns:a16="http://schemas.microsoft.com/office/drawing/2014/main" id="{11235956-80FE-455F-80EC-69EBE64671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622"/>
        <a:stretch/>
      </xdr:blipFill>
      <xdr:spPr bwMode="auto">
        <a:xfrm>
          <a:off x="400050" y="228600"/>
          <a:ext cx="2450279" cy="116536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609599</xdr:colOff>
      <xdr:row>3</xdr:row>
      <xdr:rowOff>0</xdr:rowOff>
    </xdr:from>
    <xdr:to>
      <xdr:col>19</xdr:col>
      <xdr:colOff>203666</xdr:colOff>
      <xdr:row>35</xdr:row>
      <xdr:rowOff>0</xdr:rowOff>
    </xdr:to>
    <xdr:pic>
      <xdr:nvPicPr>
        <xdr:cNvPr id="47" name="Picture 46">
          <a:extLst>
            <a:ext uri="{FF2B5EF4-FFF2-40B4-BE49-F238E27FC236}">
              <a16:creationId xmlns:a16="http://schemas.microsoft.com/office/drawing/2014/main" id="{93E25C57-D5C9-858F-790F-F4A3D04BBD87}"/>
            </a:ext>
          </a:extLst>
        </xdr:cNvPr>
        <xdr:cNvPicPr>
          <a:picLocks noChangeAspect="1"/>
        </xdr:cNvPicPr>
      </xdr:nvPicPr>
      <xdr:blipFill>
        <a:blip xmlns:r="http://schemas.openxmlformats.org/officeDocument/2006/relationships" r:embed="rId1"/>
        <a:stretch>
          <a:fillRect/>
        </a:stretch>
      </xdr:blipFill>
      <xdr:spPr>
        <a:xfrm>
          <a:off x="1219199" y="628650"/>
          <a:ext cx="10566867" cy="5486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21</xdr:col>
      <xdr:colOff>378989</xdr:colOff>
      <xdr:row>39</xdr:row>
      <xdr:rowOff>131584</xdr:rowOff>
    </xdr:to>
    <xdr:pic>
      <xdr:nvPicPr>
        <xdr:cNvPr id="2" name="Picture 1">
          <a:extLst>
            <a:ext uri="{FF2B5EF4-FFF2-40B4-BE49-F238E27FC236}">
              <a16:creationId xmlns:a16="http://schemas.microsoft.com/office/drawing/2014/main" id="{35548C99-39D1-5D7D-B923-3A32A2760E21}"/>
            </a:ext>
          </a:extLst>
        </xdr:cNvPr>
        <xdr:cNvPicPr>
          <a:picLocks noChangeAspect="1"/>
        </xdr:cNvPicPr>
      </xdr:nvPicPr>
      <xdr:blipFill>
        <a:blip xmlns:r="http://schemas.openxmlformats.org/officeDocument/2006/relationships" r:embed="rId1"/>
        <a:stretch>
          <a:fillRect/>
        </a:stretch>
      </xdr:blipFill>
      <xdr:spPr>
        <a:xfrm>
          <a:off x="1219200" y="792480"/>
          <a:ext cx="11961389" cy="59989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ophie Slot" id="{92415D1C-E0F2-4566-B74D-656E93E155A4}" userId="S::Sophie.Slot@systemiq.earth::6be0f226-6471-4006-b17c-4b1aabad775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C46" totalsRowShown="0" headerRowDxfId="175" dataDxfId="174">
  <autoFilter ref="A1:BC46" xr:uid="{00000000-0009-0000-0100-000001000000}"/>
  <tableColumns count="55">
    <tableColumn id="1" xr3:uid="{00000000-0010-0000-0000-000001000000}" name="Model.Parameter" dataDxfId="173"/>
    <tableColumn id="2" xr3:uid="{00000000-0010-0000-0000-000002000000}" name="Scenario" dataDxfId="172"/>
    <tableColumn id="3" xr3:uid="{00000000-0010-0000-0000-000003000000}" name="Sheet" dataDxfId="171"/>
    <tableColumn id="4" xr3:uid="{00000000-0010-0000-0000-000004000000}" name="Region" dataDxfId="170"/>
    <tableColumn id="5" xr3:uid="{00000000-0010-0000-0000-000005000000}" name="Flow.1" dataDxfId="169"/>
    <tableColumn id="6" xr3:uid="{00000000-0010-0000-0000-000006000000}" name="Unit" dataDxfId="168"/>
    <tableColumn id="7" xr3:uid="{00000000-0010-0000-0000-000007000000}" name="Table.1" dataDxfId="167"/>
    <tableColumn id="8" xr3:uid="{00000000-0010-0000-0000-000008000000}" name="Sector.ETP" dataDxfId="166"/>
    <tableColumn id="9" xr3:uid="{00000000-0010-0000-0000-000009000000}" name="2014" dataDxfId="165"/>
    <tableColumn id="10" xr3:uid="{00000000-0010-0000-0000-00000A000000}" name="2015" dataDxfId="164"/>
    <tableColumn id="11" xr3:uid="{00000000-0010-0000-0000-00000B000000}" name="2016" dataDxfId="163"/>
    <tableColumn id="12" xr3:uid="{00000000-0010-0000-0000-00000C000000}" name="2017" dataDxfId="162"/>
    <tableColumn id="13" xr3:uid="{00000000-0010-0000-0000-00000D000000}" name="2018" dataDxfId="161"/>
    <tableColumn id="14" xr3:uid="{00000000-0010-0000-0000-00000E000000}" name="2019" dataDxfId="160"/>
    <tableColumn id="15" xr3:uid="{00000000-0010-0000-0000-00000F000000}" name="2020" dataDxfId="159"/>
    <tableColumn id="16" xr3:uid="{00000000-0010-0000-0000-000010000000}" name="2021" dataDxfId="158"/>
    <tableColumn id="17" xr3:uid="{00000000-0010-0000-0000-000011000000}" name="2022" dataDxfId="157"/>
    <tableColumn id="18" xr3:uid="{00000000-0010-0000-0000-000012000000}" name="2023" dataDxfId="156"/>
    <tableColumn id="19" xr3:uid="{00000000-0010-0000-0000-000013000000}" name="2024" dataDxfId="155"/>
    <tableColumn id="20" xr3:uid="{00000000-0010-0000-0000-000014000000}" name="2025" dataDxfId="154"/>
    <tableColumn id="21" xr3:uid="{00000000-0010-0000-0000-000015000000}" name="2026" dataDxfId="153"/>
    <tableColumn id="22" xr3:uid="{00000000-0010-0000-0000-000016000000}" name="2027" dataDxfId="152"/>
    <tableColumn id="23" xr3:uid="{00000000-0010-0000-0000-000017000000}" name="2028" dataDxfId="151"/>
    <tableColumn id="24" xr3:uid="{00000000-0010-0000-0000-000018000000}" name="2029" dataDxfId="150"/>
    <tableColumn id="25" xr3:uid="{00000000-0010-0000-0000-000019000000}" name="2030" dataDxfId="149"/>
    <tableColumn id="26" xr3:uid="{00000000-0010-0000-0000-00001A000000}" name="2031" dataDxfId="148"/>
    <tableColumn id="27" xr3:uid="{00000000-0010-0000-0000-00001B000000}" name="2032" dataDxfId="147"/>
    <tableColumn id="28" xr3:uid="{00000000-0010-0000-0000-00001C000000}" name="2033" dataDxfId="146"/>
    <tableColumn id="29" xr3:uid="{00000000-0010-0000-0000-00001D000000}" name="2034" dataDxfId="145"/>
    <tableColumn id="30" xr3:uid="{00000000-0010-0000-0000-00001E000000}" name="2035" dataDxfId="144"/>
    <tableColumn id="31" xr3:uid="{00000000-0010-0000-0000-00001F000000}" name="2036" dataDxfId="143"/>
    <tableColumn id="32" xr3:uid="{00000000-0010-0000-0000-000020000000}" name="2037" dataDxfId="142"/>
    <tableColumn id="33" xr3:uid="{00000000-0010-0000-0000-000021000000}" name="2038" dataDxfId="141"/>
    <tableColumn id="34" xr3:uid="{00000000-0010-0000-0000-000022000000}" name="2039" dataDxfId="140"/>
    <tableColumn id="35" xr3:uid="{00000000-0010-0000-0000-000023000000}" name="2040" dataDxfId="139"/>
    <tableColumn id="36" xr3:uid="{00000000-0010-0000-0000-000024000000}" name="2041" dataDxfId="138"/>
    <tableColumn id="37" xr3:uid="{00000000-0010-0000-0000-000025000000}" name="2042" dataDxfId="137"/>
    <tableColumn id="38" xr3:uid="{00000000-0010-0000-0000-000026000000}" name="2043" dataDxfId="136"/>
    <tableColumn id="39" xr3:uid="{00000000-0010-0000-0000-000027000000}" name="2044" dataDxfId="135"/>
    <tableColumn id="40" xr3:uid="{00000000-0010-0000-0000-000028000000}" name="2045" dataDxfId="134"/>
    <tableColumn id="41" xr3:uid="{00000000-0010-0000-0000-000029000000}" name="2046" dataDxfId="133"/>
    <tableColumn id="42" xr3:uid="{00000000-0010-0000-0000-00002A000000}" name="2047" dataDxfId="132"/>
    <tableColumn id="43" xr3:uid="{00000000-0010-0000-0000-00002B000000}" name="2048" dataDxfId="131"/>
    <tableColumn id="44" xr3:uid="{00000000-0010-0000-0000-00002C000000}" name="2049" dataDxfId="130"/>
    <tableColumn id="45" xr3:uid="{00000000-0010-0000-0000-00002D000000}" name="2050" dataDxfId="129"/>
    <tableColumn id="46" xr3:uid="{00000000-0010-0000-0000-00002E000000}" name="2051" dataDxfId="128"/>
    <tableColumn id="47" xr3:uid="{00000000-0010-0000-0000-00002F000000}" name="2052" dataDxfId="127"/>
    <tableColumn id="48" xr3:uid="{00000000-0010-0000-0000-000030000000}" name="2053" dataDxfId="126"/>
    <tableColumn id="49" xr3:uid="{00000000-0010-0000-0000-000031000000}" name="2054" dataDxfId="125"/>
    <tableColumn id="50" xr3:uid="{00000000-0010-0000-0000-000032000000}" name="2055" dataDxfId="124"/>
    <tableColumn id="51" xr3:uid="{00000000-0010-0000-0000-000033000000}" name="2056" dataDxfId="123"/>
    <tableColumn id="52" xr3:uid="{00000000-0010-0000-0000-000034000000}" name="2057" dataDxfId="122"/>
    <tableColumn id="53" xr3:uid="{00000000-0010-0000-0000-000035000000}" name="2058" dataDxfId="121"/>
    <tableColumn id="54" xr3:uid="{00000000-0010-0000-0000-000036000000}" name="2059" dataDxfId="120"/>
    <tableColumn id="55" xr3:uid="{00000000-0010-0000-0000-000037000000}" name="2060" dataDxfId="119"/>
  </tableColumns>
  <tableStyleInfo name="TableStyleMedium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K96" dT="2023-03-14T13:41:27.10" personId="{92415D1C-E0F2-4566-B74D-656E93E155A4}" id="{90336A70-9245-48DA-AA3B-6D531107C4A4}">
    <text>Made these cells refer to new emission pathway instead of RMI pathway in 'steel-data' tab</text>
  </threadedComment>
</ThreadedComments>
</file>

<file path=xl/threadedComments/threadedComment2.xml><?xml version="1.0" encoding="utf-8"?>
<ThreadedComments xmlns="http://schemas.microsoft.com/office/spreadsheetml/2018/threadedcomments" xmlns:x="http://schemas.openxmlformats.org/spreadsheetml/2006/main">
  <threadedComment ref="C13" dT="2023-03-14T13:41:06.91" personId="{92415D1C-E0F2-4566-B74D-656E93E155A4}" id="{77ACE318-1DD7-4832-AD4B-FC96F8003152}">
    <text>Hard copied new emission pathway in here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iea.blob.core.windows.net/assets/deebef5d-0c34-4539-9d0c-10b13d840027/NetZeroby2050-ARoadmapfortheGlobalEnergySector_CORR.pdf" TargetMode="External"/><Relationship Id="rId2" Type="http://schemas.openxmlformats.org/officeDocument/2006/relationships/hyperlink" Target="mailto:info@sciencebasedtargets.org" TargetMode="External"/><Relationship Id="rId1" Type="http://schemas.openxmlformats.org/officeDocument/2006/relationships/hyperlink" Target="https://www.iea.org/data-and-statistics/data-product/net-zero-by-2050-scenari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sciencebasedtargets.org/resources/files/Net-Zero-Standard-Criteria.pdf" TargetMode="External"/><Relationship Id="rId13" Type="http://schemas.openxmlformats.org/officeDocument/2006/relationships/printerSettings" Target="../printerSettings/printerSettings2.bin"/><Relationship Id="rId3" Type="http://schemas.openxmlformats.org/officeDocument/2006/relationships/hyperlink" Target="https://sciencebasedtargets.org/methods/" TargetMode="External"/><Relationship Id="rId7" Type="http://schemas.openxmlformats.org/officeDocument/2006/relationships/hyperlink" Target="https://sciencebasedtargets.org/resources/files/Target-Validation-Protocol.pdf" TargetMode="External"/><Relationship Id="rId12" Type="http://schemas.openxmlformats.org/officeDocument/2006/relationships/hyperlink" Target="https://sciencebasedtargets.org/resources/files/SBTi-Steel-Guidance.pdf" TargetMode="External"/><Relationship Id="rId2" Type="http://schemas.openxmlformats.org/officeDocument/2006/relationships/hyperlink" Target="https://sciencebasedtargets.org/step-by-step-guide/" TargetMode="External"/><Relationship Id="rId1" Type="http://schemas.openxmlformats.org/officeDocument/2006/relationships/hyperlink" Target="mailto:info@sciencebasedtargets.org" TargetMode="External"/><Relationship Id="rId6" Type="http://schemas.openxmlformats.org/officeDocument/2006/relationships/hyperlink" Target="https://sciencebasedtargets.org/about-us" TargetMode="External"/><Relationship Id="rId11" Type="http://schemas.openxmlformats.org/officeDocument/2006/relationships/hyperlink" Target="https://sciencebasedtargets.org/resources/files/Net-Zero-tool.xlsx" TargetMode="External"/><Relationship Id="rId5" Type="http://schemas.openxmlformats.org/officeDocument/2006/relationships/hyperlink" Target="https://sciencebasedtargets.org/wp-content/uploads/2019/04/foundations-of-SBT-setting.pdf" TargetMode="External"/><Relationship Id="rId10" Type="http://schemas.openxmlformats.org/officeDocument/2006/relationships/hyperlink" Target="https://sciencebasedtargets.org/resources/files/Net-Zero-tool.xlsx" TargetMode="External"/><Relationship Id="rId4" Type="http://schemas.openxmlformats.org/officeDocument/2006/relationships/hyperlink" Target="https://sciencebasedtargets.org/resources/files/SBTi-criteria.pdf" TargetMode="External"/><Relationship Id="rId9" Type="http://schemas.openxmlformats.org/officeDocument/2006/relationships/hyperlink" Target="https://sciencebasedtargets.org/resources/files/SBTi-target-setting-tool.xlsx"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info@sciencebasedtargets.or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mailto:info@sciencebasedtargets.or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tabColor rgb="FFF5A81C"/>
  </sheetPr>
  <dimension ref="B26:S69"/>
  <sheetViews>
    <sheetView showGridLines="0" tabSelected="1" zoomScaleNormal="100" workbookViewId="0">
      <selection activeCell="E53" sqref="E53:O53"/>
    </sheetView>
  </sheetViews>
  <sheetFormatPr baseColWidth="10" defaultColWidth="11.5" defaultRowHeight="13" x14ac:dyDescent="0.15"/>
  <cols>
    <col min="1" max="1" width="3.5" style="22" customWidth="1"/>
    <col min="2" max="2" width="13.5" style="22" customWidth="1"/>
    <col min="3" max="16384" width="11.5" style="22"/>
  </cols>
  <sheetData>
    <row r="26" spans="2:19" ht="33.75" customHeight="1" x14ac:dyDescent="0.3">
      <c r="D26" s="585" t="s">
        <v>678</v>
      </c>
      <c r="F26" s="584"/>
      <c r="G26" s="584"/>
      <c r="H26" s="584"/>
      <c r="I26" s="584"/>
      <c r="J26" s="584"/>
      <c r="K26" s="584"/>
      <c r="L26" s="586" t="s">
        <v>201</v>
      </c>
      <c r="M26" s="597">
        <v>1.1000000000000001</v>
      </c>
      <c r="N26" s="584"/>
      <c r="O26" s="584"/>
      <c r="P26" s="73"/>
      <c r="Q26" s="73"/>
      <c r="R26" s="73"/>
      <c r="S26" s="73"/>
    </row>
    <row r="27" spans="2:19" ht="19.5" customHeight="1" x14ac:dyDescent="0.2">
      <c r="L27" s="621" t="s">
        <v>216</v>
      </c>
      <c r="M27" s="587" t="s">
        <v>217</v>
      </c>
    </row>
    <row r="28" spans="2:19" ht="17" thickBot="1" x14ac:dyDescent="0.25">
      <c r="B28" s="588"/>
      <c r="C28" s="588"/>
      <c r="D28" s="588"/>
      <c r="E28" s="588"/>
      <c r="F28" s="588"/>
      <c r="G28" s="588"/>
      <c r="H28" s="588"/>
      <c r="I28" s="588"/>
      <c r="J28" s="588"/>
      <c r="K28" s="588"/>
      <c r="L28" s="588"/>
      <c r="M28" s="588"/>
      <c r="N28" s="588"/>
      <c r="O28" s="588"/>
    </row>
    <row r="29" spans="2:19" ht="16" x14ac:dyDescent="0.15">
      <c r="B29" s="96"/>
      <c r="C29" s="96"/>
      <c r="D29" s="96"/>
      <c r="E29" s="96"/>
      <c r="F29" s="96"/>
      <c r="G29" s="96"/>
      <c r="H29" s="96"/>
      <c r="I29" s="96"/>
      <c r="J29" s="96"/>
      <c r="K29" s="96"/>
      <c r="L29" s="96"/>
      <c r="M29" s="96"/>
      <c r="N29" s="96"/>
      <c r="O29" s="96"/>
    </row>
    <row r="30" spans="2:19" ht="18" x14ac:dyDescent="0.15">
      <c r="B30" s="646" t="s">
        <v>436</v>
      </c>
      <c r="C30" s="646"/>
      <c r="D30" s="646"/>
      <c r="E30" s="646"/>
      <c r="F30" s="646"/>
      <c r="G30" s="646"/>
      <c r="H30" s="646"/>
      <c r="I30" s="646"/>
      <c r="J30" s="646"/>
      <c r="K30" s="646"/>
      <c r="L30" s="646"/>
      <c r="M30" s="646"/>
      <c r="N30" s="646"/>
      <c r="O30" s="646"/>
    </row>
    <row r="31" spans="2:19" s="98" customFormat="1" x14ac:dyDescent="0.15">
      <c r="B31" s="97"/>
      <c r="C31" s="97"/>
      <c r="D31" s="97"/>
      <c r="E31" s="97"/>
      <c r="F31" s="97"/>
      <c r="G31" s="97"/>
      <c r="H31" s="97"/>
      <c r="I31" s="97"/>
      <c r="J31" s="97"/>
      <c r="K31" s="97"/>
      <c r="L31" s="97"/>
      <c r="M31" s="97"/>
      <c r="N31" s="97"/>
      <c r="O31" s="97"/>
    </row>
    <row r="32" spans="2:19" ht="25" x14ac:dyDescent="0.15">
      <c r="B32" s="62" t="s">
        <v>199</v>
      </c>
      <c r="C32" s="70"/>
      <c r="D32" s="70"/>
      <c r="E32" s="70"/>
      <c r="F32" s="70"/>
      <c r="G32" s="70"/>
      <c r="H32" s="70"/>
      <c r="I32" s="70"/>
      <c r="J32" s="70"/>
      <c r="K32" s="70"/>
      <c r="L32" s="70"/>
      <c r="M32" s="70"/>
      <c r="N32" s="70"/>
      <c r="O32" s="70"/>
    </row>
    <row r="33" spans="2:17" s="94" customFormat="1" ht="33.75" customHeight="1" x14ac:dyDescent="0.15">
      <c r="B33" s="644" t="s">
        <v>437</v>
      </c>
      <c r="C33" s="647"/>
      <c r="D33" s="647"/>
      <c r="E33" s="647"/>
      <c r="F33" s="647"/>
      <c r="G33" s="647"/>
      <c r="H33" s="647"/>
      <c r="I33" s="647"/>
      <c r="J33" s="647"/>
      <c r="K33" s="647"/>
      <c r="L33" s="647"/>
      <c r="M33" s="647"/>
      <c r="N33" s="647"/>
      <c r="O33" s="647"/>
    </row>
    <row r="34" spans="2:17" s="94" customFormat="1" ht="33.75" customHeight="1" x14ac:dyDescent="0.15">
      <c r="B34" s="648"/>
      <c r="C34" s="648"/>
      <c r="D34" s="648"/>
      <c r="E34" s="648"/>
      <c r="F34" s="648"/>
      <c r="G34" s="648"/>
      <c r="H34" s="648"/>
      <c r="I34" s="648"/>
      <c r="J34" s="648"/>
      <c r="K34" s="648"/>
      <c r="L34" s="648"/>
      <c r="M34" s="648"/>
      <c r="N34" s="648"/>
      <c r="O34" s="648"/>
      <c r="P34" s="607"/>
    </row>
    <row r="35" spans="2:17" s="94" customFormat="1" ht="33.75" customHeight="1" x14ac:dyDescent="0.15">
      <c r="B35" s="648"/>
      <c r="C35" s="648"/>
      <c r="D35" s="648"/>
      <c r="E35" s="648"/>
      <c r="F35" s="648"/>
      <c r="G35" s="648"/>
      <c r="H35" s="648"/>
      <c r="I35" s="648"/>
      <c r="J35" s="648"/>
      <c r="K35" s="648"/>
      <c r="L35" s="648"/>
      <c r="M35" s="648"/>
      <c r="N35" s="648"/>
      <c r="O35" s="648"/>
    </row>
    <row r="36" spans="2:17" s="94" customFormat="1" ht="33.75" customHeight="1" x14ac:dyDescent="0.15">
      <c r="B36" s="648"/>
      <c r="C36" s="648"/>
      <c r="D36" s="648"/>
      <c r="E36" s="648"/>
      <c r="F36" s="648"/>
      <c r="G36" s="648"/>
      <c r="H36" s="648"/>
      <c r="I36" s="648"/>
      <c r="J36" s="648"/>
      <c r="K36" s="648"/>
      <c r="L36" s="648"/>
      <c r="M36" s="648"/>
      <c r="N36" s="648"/>
      <c r="O36" s="648"/>
    </row>
    <row r="37" spans="2:17" ht="14" x14ac:dyDescent="0.15">
      <c r="B37" s="60"/>
      <c r="C37" s="60"/>
      <c r="D37" s="60"/>
      <c r="E37" s="60"/>
      <c r="F37" s="60"/>
      <c r="G37" s="60"/>
      <c r="H37" s="60"/>
      <c r="I37" s="60"/>
      <c r="J37" s="60"/>
      <c r="K37" s="60"/>
      <c r="L37" s="60"/>
      <c r="M37" s="60"/>
      <c r="N37" s="60"/>
      <c r="O37" s="60"/>
    </row>
    <row r="38" spans="2:17" ht="25" x14ac:dyDescent="0.15">
      <c r="B38" s="62" t="s">
        <v>198</v>
      </c>
      <c r="C38" s="61"/>
      <c r="D38" s="61"/>
      <c r="E38" s="61"/>
      <c r="F38" s="61"/>
      <c r="G38" s="61"/>
      <c r="H38" s="61"/>
      <c r="I38" s="61"/>
      <c r="J38" s="61"/>
      <c r="K38" s="61"/>
      <c r="L38" s="61"/>
      <c r="M38" s="61"/>
      <c r="N38" s="61"/>
      <c r="O38" s="61"/>
    </row>
    <row r="39" spans="2:17" ht="33.75" customHeight="1" x14ac:dyDescent="0.15">
      <c r="B39" s="644" t="s">
        <v>438</v>
      </c>
      <c r="C39" s="644"/>
      <c r="D39" s="644"/>
      <c r="E39" s="644"/>
      <c r="F39" s="644"/>
      <c r="G39" s="644"/>
      <c r="H39" s="644"/>
      <c r="I39" s="644"/>
      <c r="J39" s="644"/>
      <c r="K39" s="644"/>
      <c r="L39" s="644"/>
      <c r="M39" s="644"/>
      <c r="N39" s="644"/>
      <c r="O39" s="644"/>
    </row>
    <row r="40" spans="2:17" ht="33.75" customHeight="1" x14ac:dyDescent="0.15">
      <c r="B40" s="645"/>
      <c r="C40" s="645"/>
      <c r="D40" s="645"/>
      <c r="E40" s="645"/>
      <c r="F40" s="645"/>
      <c r="G40" s="645"/>
      <c r="H40" s="645"/>
      <c r="I40" s="645"/>
      <c r="J40" s="645"/>
      <c r="K40" s="645"/>
      <c r="L40" s="645"/>
      <c r="M40" s="645"/>
      <c r="N40" s="645"/>
      <c r="O40" s="645"/>
    </row>
    <row r="41" spans="2:17" ht="33.75" customHeight="1" x14ac:dyDescent="0.15">
      <c r="B41" s="645"/>
      <c r="C41" s="645"/>
      <c r="D41" s="645"/>
      <c r="E41" s="645"/>
      <c r="F41" s="645"/>
      <c r="G41" s="645"/>
      <c r="H41" s="645"/>
      <c r="I41" s="645"/>
      <c r="J41" s="645"/>
      <c r="K41" s="645"/>
      <c r="L41" s="645"/>
      <c r="M41" s="645"/>
      <c r="N41" s="645"/>
      <c r="O41" s="645"/>
    </row>
    <row r="42" spans="2:17" ht="33.75" customHeight="1" x14ac:dyDescent="0.15">
      <c r="B42" s="645"/>
      <c r="C42" s="645"/>
      <c r="D42" s="645"/>
      <c r="E42" s="645"/>
      <c r="F42" s="645"/>
      <c r="G42" s="645"/>
      <c r="H42" s="645"/>
      <c r="I42" s="645"/>
      <c r="J42" s="645"/>
      <c r="K42" s="645"/>
      <c r="L42" s="645"/>
      <c r="M42" s="645"/>
      <c r="N42" s="645"/>
      <c r="O42" s="645"/>
    </row>
    <row r="43" spans="2:17" ht="33.75" customHeight="1" x14ac:dyDescent="0.15">
      <c r="B43" s="645"/>
      <c r="C43" s="645"/>
      <c r="D43" s="645"/>
      <c r="E43" s="645"/>
      <c r="F43" s="645"/>
      <c r="G43" s="645"/>
      <c r="H43" s="645"/>
      <c r="I43" s="645"/>
      <c r="J43" s="645"/>
      <c r="K43" s="645"/>
      <c r="L43" s="645"/>
      <c r="M43" s="645"/>
      <c r="N43" s="645"/>
      <c r="O43" s="645"/>
    </row>
    <row r="44" spans="2:17" ht="33.75" customHeight="1" x14ac:dyDescent="0.15">
      <c r="B44" s="645"/>
      <c r="C44" s="645"/>
      <c r="D44" s="645"/>
      <c r="E44" s="645"/>
      <c r="F44" s="645"/>
      <c r="G44" s="645"/>
      <c r="H44" s="645"/>
      <c r="I44" s="645"/>
      <c r="J44" s="645"/>
      <c r="K44" s="645"/>
      <c r="L44" s="645"/>
      <c r="M44" s="645"/>
      <c r="N44" s="645"/>
      <c r="O44" s="645"/>
    </row>
    <row r="45" spans="2:17" x14ac:dyDescent="0.15">
      <c r="B45" s="59"/>
      <c r="C45" s="59"/>
      <c r="D45" s="59"/>
      <c r="E45" s="59"/>
      <c r="F45" s="59"/>
      <c r="G45" s="59"/>
      <c r="H45" s="59"/>
      <c r="I45" s="59"/>
      <c r="J45" s="59"/>
      <c r="K45" s="59"/>
      <c r="L45" s="59"/>
      <c r="M45" s="59"/>
      <c r="N45" s="59"/>
      <c r="O45" s="59"/>
    </row>
    <row r="46" spans="2:17" ht="25" x14ac:dyDescent="0.15">
      <c r="B46" s="62" t="s">
        <v>222</v>
      </c>
      <c r="C46" s="61"/>
      <c r="D46" s="61"/>
      <c r="E46" s="61"/>
      <c r="F46" s="61"/>
      <c r="G46" s="61"/>
      <c r="H46" s="61"/>
      <c r="I46" s="61"/>
      <c r="J46" s="61"/>
      <c r="K46" s="61"/>
      <c r="L46" s="61"/>
      <c r="M46" s="61"/>
      <c r="N46" s="61"/>
      <c r="O46" s="61"/>
    </row>
    <row r="47" spans="2:17" s="602" customFormat="1" ht="25.25" customHeight="1" x14ac:dyDescent="0.15">
      <c r="B47" s="649" t="s">
        <v>644</v>
      </c>
      <c r="C47" s="649"/>
      <c r="D47" s="649"/>
      <c r="E47" s="649"/>
      <c r="F47" s="649"/>
      <c r="G47" s="649"/>
      <c r="H47" s="649"/>
      <c r="I47" s="649"/>
      <c r="J47" s="649"/>
      <c r="K47" s="649"/>
      <c r="L47" s="649"/>
      <c r="M47" s="649"/>
      <c r="N47" s="649"/>
      <c r="O47" s="649"/>
      <c r="Q47" s="603"/>
    </row>
    <row r="48" spans="2:17" ht="25.25" customHeight="1" x14ac:dyDescent="0.2">
      <c r="B48" s="650" t="s">
        <v>637</v>
      </c>
      <c r="C48" s="650"/>
      <c r="D48" s="650"/>
      <c r="E48" s="650"/>
      <c r="F48" s="650"/>
      <c r="G48" s="650"/>
      <c r="H48" s="650"/>
      <c r="I48" s="650"/>
      <c r="J48" s="650"/>
      <c r="K48" s="650"/>
      <c r="L48" s="650"/>
      <c r="M48" s="650"/>
      <c r="N48" s="650"/>
      <c r="O48" s="650"/>
      <c r="Q48" s="99"/>
    </row>
    <row r="50" spans="2:16" ht="26" thickBot="1" x14ac:dyDescent="0.25">
      <c r="B50" s="589" t="s">
        <v>200</v>
      </c>
      <c r="C50" s="590"/>
      <c r="D50" s="590"/>
      <c r="E50" s="590"/>
      <c r="F50" s="590"/>
      <c r="G50" s="590"/>
      <c r="H50" s="590"/>
      <c r="I50" s="591"/>
      <c r="J50" s="590"/>
      <c r="K50" s="590"/>
      <c r="L50" s="590"/>
      <c r="M50" s="590"/>
      <c r="N50" s="590"/>
      <c r="O50" s="590"/>
    </row>
    <row r="52" spans="2:16" ht="19.5" customHeight="1" thickBot="1" x14ac:dyDescent="0.2">
      <c r="B52" s="100" t="s">
        <v>201</v>
      </c>
      <c r="C52" s="656" t="s">
        <v>643</v>
      </c>
      <c r="D52" s="658"/>
      <c r="E52" s="656" t="s">
        <v>202</v>
      </c>
      <c r="F52" s="657"/>
      <c r="G52" s="657"/>
      <c r="H52" s="657"/>
      <c r="I52" s="657"/>
      <c r="J52" s="657"/>
      <c r="K52" s="657"/>
      <c r="L52" s="657"/>
      <c r="M52" s="657"/>
      <c r="N52" s="657"/>
      <c r="O52" s="657"/>
      <c r="P52" s="592"/>
    </row>
    <row r="53" spans="2:16" ht="30" customHeight="1" thickTop="1" thickBot="1" x14ac:dyDescent="0.2">
      <c r="B53" s="101" t="s">
        <v>633</v>
      </c>
      <c r="C53" s="651">
        <v>45125</v>
      </c>
      <c r="D53" s="652"/>
      <c r="E53" s="653" t="s">
        <v>648</v>
      </c>
      <c r="F53" s="654"/>
      <c r="G53" s="654"/>
      <c r="H53" s="654"/>
      <c r="I53" s="654"/>
      <c r="J53" s="654"/>
      <c r="K53" s="654"/>
      <c r="L53" s="654"/>
      <c r="M53" s="654"/>
      <c r="N53" s="654"/>
      <c r="O53" s="655"/>
    </row>
    <row r="54" spans="2:16" ht="30" customHeight="1" thickTop="1" x14ac:dyDescent="0.15">
      <c r="B54" s="101" t="s">
        <v>687</v>
      </c>
      <c r="C54" s="651">
        <v>46174</v>
      </c>
      <c r="D54" s="652"/>
      <c r="E54" s="653" t="s">
        <v>688</v>
      </c>
      <c r="F54" s="654"/>
      <c r="G54" s="654"/>
      <c r="H54" s="654"/>
      <c r="I54" s="654"/>
      <c r="J54" s="654"/>
      <c r="K54" s="654"/>
      <c r="L54" s="654"/>
      <c r="M54" s="654"/>
      <c r="N54" s="654"/>
      <c r="O54" s="655"/>
    </row>
    <row r="55" spans="2:16" ht="13.25" customHeight="1" x14ac:dyDescent="0.15">
      <c r="B55" s="598"/>
      <c r="C55" s="599"/>
      <c r="D55" s="599"/>
      <c r="E55" s="600"/>
      <c r="F55" s="601"/>
      <c r="G55" s="601"/>
      <c r="H55" s="601"/>
      <c r="I55" s="601"/>
      <c r="J55" s="601"/>
      <c r="K55" s="601"/>
      <c r="L55" s="601"/>
      <c r="M55" s="601"/>
      <c r="N55" s="601"/>
      <c r="O55" s="601"/>
    </row>
    <row r="57" spans="2:16" ht="25" x14ac:dyDescent="0.15">
      <c r="B57" s="62" t="s">
        <v>245</v>
      </c>
      <c r="C57" s="61"/>
      <c r="D57" s="61"/>
      <c r="E57" s="61"/>
      <c r="F57" s="61"/>
      <c r="G57" s="61"/>
      <c r="H57" s="61"/>
      <c r="I57" s="61"/>
      <c r="J57" s="61"/>
      <c r="K57" s="61"/>
      <c r="L57" s="61"/>
      <c r="M57" s="61"/>
      <c r="N57" s="61"/>
      <c r="O57" s="61"/>
      <c r="P57" s="592"/>
    </row>
    <row r="59" spans="2:16" ht="14" thickBot="1" x14ac:dyDescent="0.2"/>
    <row r="60" spans="2:16" ht="19.5" customHeight="1" thickTop="1" thickBot="1" x14ac:dyDescent="0.2">
      <c r="B60" s="102" t="s">
        <v>642</v>
      </c>
      <c r="C60" s="594" t="s">
        <v>256</v>
      </c>
      <c r="D60" s="595"/>
      <c r="E60" s="595"/>
      <c r="F60" s="595"/>
      <c r="G60" s="595"/>
      <c r="H60" s="595"/>
      <c r="I60" s="595"/>
      <c r="J60" s="595"/>
      <c r="K60" s="595"/>
      <c r="L60" s="595"/>
      <c r="M60" s="595"/>
      <c r="N60" s="595"/>
      <c r="O60" s="595"/>
    </row>
    <row r="61" spans="2:16" ht="19.5" customHeight="1" thickTop="1" thickBot="1" x14ac:dyDescent="0.2">
      <c r="B61" s="608" t="s">
        <v>239</v>
      </c>
      <c r="C61" s="642" t="s">
        <v>240</v>
      </c>
      <c r="D61" s="643"/>
      <c r="E61" s="643"/>
      <c r="F61" s="643"/>
      <c r="G61" s="643"/>
      <c r="H61" s="643"/>
      <c r="I61" s="643"/>
      <c r="J61" s="643"/>
      <c r="K61" s="643"/>
      <c r="L61" s="643"/>
      <c r="M61" s="643"/>
      <c r="N61" s="643"/>
      <c r="O61" s="643"/>
    </row>
    <row r="62" spans="2:16" ht="19.5" customHeight="1" thickTop="1" thickBot="1" x14ac:dyDescent="0.2">
      <c r="B62" s="102" t="s">
        <v>241</v>
      </c>
      <c r="C62" s="642" t="s">
        <v>238</v>
      </c>
      <c r="D62" s="643"/>
      <c r="E62" s="643"/>
      <c r="F62" s="643"/>
      <c r="G62" s="643"/>
      <c r="H62" s="643"/>
      <c r="I62" s="643"/>
      <c r="J62" s="643"/>
      <c r="K62" s="643"/>
      <c r="L62" s="643"/>
      <c r="M62" s="643"/>
      <c r="N62" s="643"/>
      <c r="O62" s="643"/>
    </row>
    <row r="63" spans="2:16" ht="19.5" customHeight="1" thickTop="1" thickBot="1" x14ac:dyDescent="0.2">
      <c r="B63" s="102" t="s">
        <v>260</v>
      </c>
      <c r="C63" s="642" t="s">
        <v>244</v>
      </c>
      <c r="D63" s="643"/>
      <c r="E63" s="643"/>
      <c r="F63" s="643"/>
      <c r="G63" s="643"/>
      <c r="H63" s="643"/>
      <c r="I63" s="643"/>
      <c r="J63" s="643"/>
      <c r="K63" s="643"/>
      <c r="L63" s="643"/>
      <c r="M63" s="643"/>
      <c r="N63" s="643"/>
      <c r="O63" s="643"/>
    </row>
    <row r="64" spans="2:16" ht="19.5" customHeight="1" thickTop="1" thickBot="1" x14ac:dyDescent="0.2">
      <c r="B64" s="102" t="s">
        <v>242</v>
      </c>
      <c r="C64" s="642" t="s">
        <v>243</v>
      </c>
      <c r="D64" s="643"/>
      <c r="E64" s="643"/>
      <c r="F64" s="643"/>
      <c r="G64" s="643"/>
      <c r="H64" s="643"/>
      <c r="I64" s="643"/>
      <c r="J64" s="643"/>
      <c r="K64" s="643"/>
      <c r="L64" s="643"/>
      <c r="M64" s="643"/>
      <c r="N64" s="643"/>
      <c r="O64" s="643"/>
    </row>
    <row r="65" spans="2:15" ht="19.5" customHeight="1" thickTop="1" thickBot="1" x14ac:dyDescent="0.2">
      <c r="B65" s="102" t="s">
        <v>246</v>
      </c>
      <c r="C65" s="642" t="s">
        <v>640</v>
      </c>
      <c r="D65" s="643"/>
      <c r="E65" s="643"/>
      <c r="F65" s="643"/>
      <c r="G65" s="643"/>
      <c r="H65" s="643"/>
      <c r="I65" s="643"/>
      <c r="J65" s="643"/>
      <c r="K65" s="643"/>
      <c r="L65" s="643"/>
      <c r="M65" s="643"/>
      <c r="N65" s="643"/>
      <c r="O65" s="643"/>
    </row>
    <row r="66" spans="2:15" ht="19.5" customHeight="1" thickTop="1" thickBot="1" x14ac:dyDescent="0.2">
      <c r="B66" s="102" t="s">
        <v>247</v>
      </c>
      <c r="C66" s="642" t="s">
        <v>248</v>
      </c>
      <c r="D66" s="643"/>
      <c r="E66" s="643"/>
      <c r="F66" s="643"/>
      <c r="G66" s="643"/>
      <c r="H66" s="643"/>
      <c r="I66" s="643"/>
      <c r="J66" s="643"/>
      <c r="K66" s="643"/>
      <c r="L66" s="643"/>
      <c r="M66" s="643"/>
      <c r="N66" s="643"/>
      <c r="O66" s="643"/>
    </row>
    <row r="67" spans="2:15" ht="19.5" customHeight="1" thickTop="1" x14ac:dyDescent="0.15"/>
    <row r="68" spans="2:15" ht="19.5" customHeight="1" x14ac:dyDescent="0.15"/>
    <row r="69" spans="2:15" ht="19.5" customHeight="1" x14ac:dyDescent="0.15"/>
  </sheetData>
  <sheetProtection algorithmName="SHA-512" hashValue="hEEkORXUZdKUCTOjTqhWs8n7JSzyDBtChXrAtBjAow9ANBxq97Ke3ZtI+2zZ7qQqdJTlkJtZboWH4GyG2AxekQ==" saltValue="b7rhflLGD6rjgn6XZMFmrw==" spinCount="100000" sheet="1" objects="1" scenarios="1"/>
  <mergeCells count="18">
    <mergeCell ref="C61:O61"/>
    <mergeCell ref="B39:O44"/>
    <mergeCell ref="B30:O30"/>
    <mergeCell ref="B33:O36"/>
    <mergeCell ref="B47:O47"/>
    <mergeCell ref="B48:M48"/>
    <mergeCell ref="N48:O48"/>
    <mergeCell ref="C53:D53"/>
    <mergeCell ref="E53:O53"/>
    <mergeCell ref="E52:O52"/>
    <mergeCell ref="C52:D52"/>
    <mergeCell ref="C54:D54"/>
    <mergeCell ref="E54:O54"/>
    <mergeCell ref="C66:O66"/>
    <mergeCell ref="C62:O62"/>
    <mergeCell ref="C63:O63"/>
    <mergeCell ref="C64:O64"/>
    <mergeCell ref="C65:O65"/>
  </mergeCells>
  <hyperlinks>
    <hyperlink ref="B48" r:id="rId1" display="https://www.iea.org/data-and-statistics/data-product/net-zero-by-2050-scenario" xr:uid="{00000000-0004-0000-0000-000002000000}"/>
    <hyperlink ref="M27" r:id="rId2" xr:uid="{9F3E8FD6-E6E6-47DC-B02A-F396F25EEC82}"/>
    <hyperlink ref="B48:M48" r:id="rId3" display="IEA Net Zero by 2050 - A Roadmap for the Global Energy Sector" xr:uid="{D085C157-1258-4765-889C-DEBDE718B53B}"/>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theme="0" tint="-0.499984740745262"/>
  </sheetPr>
  <dimension ref="A1:BF103"/>
  <sheetViews>
    <sheetView topLeftCell="D48" zoomScale="110" zoomScaleNormal="110" workbookViewId="0">
      <selection activeCell="P99" sqref="P99"/>
    </sheetView>
  </sheetViews>
  <sheetFormatPr baseColWidth="10" defaultColWidth="11.5" defaultRowHeight="12" x14ac:dyDescent="0.15"/>
  <cols>
    <col min="1" max="7" width="11.5" style="7"/>
    <col min="8" max="8" width="32" style="7" bestFit="1" customWidth="1"/>
    <col min="9" max="9" width="11" style="7" customWidth="1"/>
    <col min="10" max="16384" width="11.5" style="7"/>
  </cols>
  <sheetData>
    <row r="1" spans="1:30" s="45" customFormat="1" ht="16" x14ac:dyDescent="0.2">
      <c r="A1" s="44" t="s">
        <v>46</v>
      </c>
      <c r="B1" s="44" t="s">
        <v>13</v>
      </c>
      <c r="C1" s="44" t="s">
        <v>20</v>
      </c>
      <c r="D1" s="44" t="s">
        <v>14</v>
      </c>
      <c r="E1" s="44" t="s">
        <v>16</v>
      </c>
      <c r="F1" s="44" t="s">
        <v>15</v>
      </c>
      <c r="G1" s="44" t="s">
        <v>35</v>
      </c>
      <c r="H1" s="44" t="s">
        <v>21</v>
      </c>
      <c r="I1" s="44">
        <v>2010</v>
      </c>
      <c r="J1" s="44">
        <v>2014</v>
      </c>
      <c r="K1" s="44">
        <v>2019</v>
      </c>
      <c r="L1" s="44">
        <v>2020</v>
      </c>
      <c r="M1" s="44">
        <v>2025</v>
      </c>
      <c r="N1" s="44">
        <v>2030</v>
      </c>
      <c r="O1" s="44">
        <v>2035</v>
      </c>
      <c r="P1" s="44">
        <v>2040</v>
      </c>
      <c r="Q1" s="44">
        <v>2045</v>
      </c>
      <c r="R1" s="44">
        <v>2050</v>
      </c>
      <c r="S1" s="44">
        <v>2055</v>
      </c>
      <c r="T1" s="44">
        <v>2060</v>
      </c>
      <c r="U1" s="7"/>
      <c r="V1" s="44"/>
      <c r="W1" s="44">
        <v>2025</v>
      </c>
      <c r="X1" s="44">
        <v>2030</v>
      </c>
      <c r="Y1" s="44">
        <v>2035</v>
      </c>
      <c r="Z1" s="44">
        <v>2040</v>
      </c>
      <c r="AA1" s="44">
        <v>2045</v>
      </c>
      <c r="AB1" s="44">
        <v>2050</v>
      </c>
      <c r="AC1" s="44">
        <v>2055</v>
      </c>
      <c r="AD1" s="44">
        <v>2060</v>
      </c>
    </row>
    <row r="2" spans="1:30" x14ac:dyDescent="0.15">
      <c r="A2" s="7" t="s">
        <v>41</v>
      </c>
      <c r="B2" s="7" t="s">
        <v>23</v>
      </c>
      <c r="C2" s="7" t="s">
        <v>22</v>
      </c>
      <c r="D2" s="7" t="s">
        <v>18</v>
      </c>
      <c r="E2" s="7" t="s">
        <v>24</v>
      </c>
      <c r="F2" s="47" t="s">
        <v>25</v>
      </c>
      <c r="G2" s="47" t="s">
        <v>74</v>
      </c>
      <c r="H2" s="47" t="s">
        <v>76</v>
      </c>
      <c r="I2" s="47"/>
      <c r="J2" s="53">
        <f>+'ETP2017'!C143</f>
        <v>34253.904473515526</v>
      </c>
      <c r="M2" s="53">
        <f>+'ETP2017'!D143</f>
        <v>27156.419260615228</v>
      </c>
      <c r="N2" s="53">
        <f>+'ETP2017'!E143</f>
        <v>22067.993094428126</v>
      </c>
      <c r="O2" s="53">
        <f>+'ETP2017'!F143</f>
        <v>17080.853611802715</v>
      </c>
      <c r="P2" s="53">
        <f>+'ETP2017'!G143</f>
        <v>12268.25409985759</v>
      </c>
      <c r="Q2" s="53">
        <f>+'ETP2017'!H143</f>
        <v>8040.169589471745</v>
      </c>
      <c r="R2" s="53">
        <f>+'ETP2017'!I143</f>
        <v>4726.3518172388031</v>
      </c>
      <c r="S2" s="53">
        <f>+'ETP2017'!J143</f>
        <v>1793.5887573251284</v>
      </c>
      <c r="T2" s="53">
        <f>+'ETP2017'!K143</f>
        <v>-36.589869523183552</v>
      </c>
      <c r="V2" s="7" t="s">
        <v>189</v>
      </c>
      <c r="W2" s="48">
        <f t="shared" ref="W2:AD2" si="0">1-M2/$J2</f>
        <v>0.2072022247387284</v>
      </c>
      <c r="X2" s="48">
        <f t="shared" si="0"/>
        <v>0.35575247745871763</v>
      </c>
      <c r="Y2" s="48">
        <f t="shared" si="0"/>
        <v>0.50134579183493344</v>
      </c>
      <c r="Z2" s="48">
        <f t="shared" si="0"/>
        <v>0.64184362955343754</v>
      </c>
      <c r="AA2" s="48">
        <f t="shared" si="0"/>
        <v>0.76527728114357729</v>
      </c>
      <c r="AB2" s="48">
        <f t="shared" si="0"/>
        <v>0.86202005611088428</v>
      </c>
      <c r="AC2" s="48">
        <f t="shared" si="0"/>
        <v>0.94763841422189121</v>
      </c>
      <c r="AD2" s="48">
        <f t="shared" si="0"/>
        <v>1.0010681955848704</v>
      </c>
    </row>
    <row r="3" spans="1:30" x14ac:dyDescent="0.15">
      <c r="A3" s="7" t="s">
        <v>41</v>
      </c>
      <c r="B3" s="7" t="s">
        <v>23</v>
      </c>
      <c r="C3" s="7" t="s">
        <v>22</v>
      </c>
      <c r="D3" s="7" t="s">
        <v>18</v>
      </c>
      <c r="E3" s="7" t="s">
        <v>24</v>
      </c>
      <c r="F3" s="47" t="s">
        <v>25</v>
      </c>
      <c r="G3" s="47" t="s">
        <v>36</v>
      </c>
      <c r="H3" s="7" t="s">
        <v>6</v>
      </c>
      <c r="J3" s="53">
        <f>+'ETP2017'!O100</f>
        <v>2338.4101620461929</v>
      </c>
      <c r="M3" s="53">
        <f>+'ETP2017'!P100</f>
        <v>1486.448853394957</v>
      </c>
      <c r="N3" s="53">
        <f>+'ETP2017'!Q100</f>
        <v>1162.2090048784066</v>
      </c>
      <c r="O3" s="53">
        <f>+'ETP2017'!R100</f>
        <v>897.39024487790971</v>
      </c>
      <c r="P3" s="53">
        <f>+'ETP2017'!S100</f>
        <v>778.1719315129377</v>
      </c>
      <c r="Q3" s="53">
        <f>+'ETP2017'!T100</f>
        <v>647.05010229236814</v>
      </c>
      <c r="R3" s="53">
        <f>+'ETP2017'!U100</f>
        <v>487.60961729012712</v>
      </c>
      <c r="S3" s="53">
        <f>+'ETP2017'!V100</f>
        <v>377.8224902635593</v>
      </c>
      <c r="T3" s="53">
        <f>+'ETP2017'!W100</f>
        <v>207.92612194625229</v>
      </c>
      <c r="V3" s="7" t="s">
        <v>190</v>
      </c>
      <c r="W3" s="48">
        <f>+W2/(W1-2014)</f>
        <v>1.8836565885338944E-2</v>
      </c>
      <c r="X3" s="49">
        <f t="shared" ref="X3:AD3" si="1">+X2/(X1-2014)</f>
        <v>2.2234529841169852E-2</v>
      </c>
      <c r="Y3" s="49">
        <f t="shared" si="1"/>
        <v>2.387360913499683E-2</v>
      </c>
      <c r="Z3" s="49">
        <f t="shared" si="1"/>
        <v>2.4686293444362982E-2</v>
      </c>
      <c r="AA3" s="49">
        <f t="shared" si="1"/>
        <v>2.468636390785733E-2</v>
      </c>
      <c r="AB3" s="49">
        <f t="shared" si="1"/>
        <v>2.3945001558635673E-2</v>
      </c>
      <c r="AC3" s="49">
        <f t="shared" si="1"/>
        <v>2.3113132054192468E-2</v>
      </c>
      <c r="AD3" s="49">
        <f t="shared" si="1"/>
        <v>2.1762352077931965E-2</v>
      </c>
    </row>
    <row r="4" spans="1:30" x14ac:dyDescent="0.15">
      <c r="A4" s="7" t="s">
        <v>41</v>
      </c>
      <c r="B4" s="7" t="s">
        <v>23</v>
      </c>
      <c r="C4" s="7" t="s">
        <v>22</v>
      </c>
      <c r="D4" s="7" t="s">
        <v>18</v>
      </c>
      <c r="E4" s="7" t="s">
        <v>24</v>
      </c>
      <c r="F4" s="47" t="s">
        <v>25</v>
      </c>
      <c r="G4" s="47" t="s">
        <v>36</v>
      </c>
      <c r="H4" s="7" t="s">
        <v>7</v>
      </c>
      <c r="J4" s="53">
        <f>+'ETP2017'!O98</f>
        <v>2230.1009269397146</v>
      </c>
      <c r="M4" s="53">
        <f>+'ETP2017'!P98</f>
        <v>2125.7360196186214</v>
      </c>
      <c r="N4" s="53">
        <f>+'ETP2017'!Q98</f>
        <v>1876.4818682927826</v>
      </c>
      <c r="O4" s="53">
        <f>+'ETP2017'!R98</f>
        <v>1616.1512071622758</v>
      </c>
      <c r="P4" s="53">
        <f>+'ETP2017'!S98</f>
        <v>1343.0156681753047</v>
      </c>
      <c r="Q4" s="53">
        <f>+'ETP2017'!T98</f>
        <v>1208.2029158881917</v>
      </c>
      <c r="R4" s="53">
        <f>+'ETP2017'!U98</f>
        <v>865.472922850911</v>
      </c>
      <c r="S4" s="53">
        <f>+'ETP2017'!V98</f>
        <v>728.75145031952661</v>
      </c>
      <c r="T4" s="53">
        <f>+'ETP2017'!W98</f>
        <v>485.29551155780666</v>
      </c>
    </row>
    <row r="5" spans="1:30" x14ac:dyDescent="0.15">
      <c r="A5" s="7" t="s">
        <v>41</v>
      </c>
      <c r="B5" s="7" t="s">
        <v>23</v>
      </c>
      <c r="C5" s="7" t="s">
        <v>22</v>
      </c>
      <c r="D5" s="7" t="s">
        <v>18</v>
      </c>
      <c r="E5" s="7" t="s">
        <v>24</v>
      </c>
      <c r="F5" s="47" t="s">
        <v>25</v>
      </c>
      <c r="G5" s="47" t="s">
        <v>36</v>
      </c>
      <c r="H5" s="7" t="s">
        <v>8</v>
      </c>
      <c r="J5" s="53">
        <f>+'ETP2017'!O102</f>
        <v>260.65242521456832</v>
      </c>
      <c r="M5" s="53">
        <f>+'ETP2017'!P102</f>
        <v>294.61142755804804</v>
      </c>
      <c r="N5" s="53">
        <f>+'ETP2017'!Q102</f>
        <v>283.27371297645277</v>
      </c>
      <c r="O5" s="53">
        <f>+'ETP2017'!R102</f>
        <v>266.92459289305839</v>
      </c>
      <c r="P5" s="53">
        <f>+'ETP2017'!S102</f>
        <v>236.1548724441227</v>
      </c>
      <c r="Q5" s="53">
        <f>+'ETP2017'!T102</f>
        <v>204.8840090521042</v>
      </c>
      <c r="R5" s="53">
        <f>+'ETP2017'!U102</f>
        <v>170.96132714449232</v>
      </c>
      <c r="S5" s="53">
        <f>+'ETP2017'!V102</f>
        <v>138.66330714883668</v>
      </c>
      <c r="T5" s="53">
        <f>+'ETP2017'!W102</f>
        <v>125.42815582380175</v>
      </c>
    </row>
    <row r="6" spans="1:30" x14ac:dyDescent="0.15">
      <c r="A6" s="7" t="s">
        <v>41</v>
      </c>
      <c r="B6" s="7" t="s">
        <v>23</v>
      </c>
      <c r="C6" s="7" t="s">
        <v>22</v>
      </c>
      <c r="D6" s="7" t="s">
        <v>18</v>
      </c>
      <c r="E6" s="7" t="s">
        <v>24</v>
      </c>
      <c r="F6" s="47" t="s">
        <v>25</v>
      </c>
      <c r="G6" s="47" t="s">
        <v>36</v>
      </c>
      <c r="H6" s="7" t="s">
        <v>28</v>
      </c>
      <c r="J6" s="53">
        <f>+'ETP2017'!O101</f>
        <v>194.41575097860326</v>
      </c>
      <c r="M6" s="53">
        <f>+'ETP2017'!P101</f>
        <v>133.20048915940689</v>
      </c>
      <c r="N6" s="53">
        <f>+'ETP2017'!Q101</f>
        <v>122.64894659746955</v>
      </c>
      <c r="O6" s="53">
        <f>+'ETP2017'!R101</f>
        <v>98.493149467847886</v>
      </c>
      <c r="P6" s="53">
        <f>+'ETP2017'!S101</f>
        <v>69.915817706529495</v>
      </c>
      <c r="Q6" s="53">
        <f>+'ETP2017'!T101</f>
        <v>29.733493634410511</v>
      </c>
      <c r="R6" s="53">
        <f>+'ETP2017'!U101</f>
        <v>28.58075799113324</v>
      </c>
      <c r="S6" s="53">
        <f>+'ETP2017'!V101</f>
        <v>27.183653427341326</v>
      </c>
      <c r="T6" s="53">
        <f>+'ETP2017'!W101</f>
        <v>22.743816137104837</v>
      </c>
    </row>
    <row r="7" spans="1:30" x14ac:dyDescent="0.15">
      <c r="A7" s="7" t="s">
        <v>41</v>
      </c>
      <c r="B7" s="7" t="s">
        <v>23</v>
      </c>
      <c r="C7" s="7" t="s">
        <v>22</v>
      </c>
      <c r="D7" s="7" t="s">
        <v>18</v>
      </c>
      <c r="E7" s="7" t="s">
        <v>24</v>
      </c>
      <c r="F7" s="47" t="s">
        <v>25</v>
      </c>
      <c r="G7" s="47" t="s">
        <v>36</v>
      </c>
      <c r="H7" s="7" t="s">
        <v>9</v>
      </c>
      <c r="J7" s="53">
        <f>+'ETP2017'!O17-SUM('ETP2017'!O98:O102)</f>
        <v>2377.0997172539774</v>
      </c>
      <c r="M7" s="53">
        <f>+'ETP2017'!P17-SUM('ETP2017'!P98:P102)</f>
        <v>1819.1787389911442</v>
      </c>
      <c r="N7" s="53">
        <f>+'ETP2017'!Q17-SUM('ETP2017'!Q98:Q102)</f>
        <v>1613.2870283405782</v>
      </c>
      <c r="O7" s="53">
        <f>+'ETP2017'!R17-SUM('ETP2017'!R98:R102)</f>
        <v>1524.4549361322797</v>
      </c>
      <c r="P7" s="53">
        <f>+'ETP2017'!S17-SUM('ETP2017'!S98:S102)</f>
        <v>1446.8190108503591</v>
      </c>
      <c r="Q7" s="53">
        <f>+'ETP2017'!T17-SUM('ETP2017'!T98:T102)</f>
        <v>1306.1377136653887</v>
      </c>
      <c r="R7" s="53">
        <f>+'ETP2017'!U17-SUM('ETP2017'!U98:U102)</f>
        <v>1183.4003983385037</v>
      </c>
      <c r="S7" s="53">
        <f>+'ETP2017'!V17-SUM('ETP2017'!V98:V102)</f>
        <v>1060.4789987363806</v>
      </c>
      <c r="T7" s="53">
        <f>+'ETP2017'!W17-SUM('ETP2017'!W98:W102)</f>
        <v>943.5951150278961</v>
      </c>
    </row>
    <row r="8" spans="1:30" x14ac:dyDescent="0.15">
      <c r="A8" s="7" t="s">
        <v>41</v>
      </c>
      <c r="B8" s="7" t="s">
        <v>23</v>
      </c>
      <c r="C8" s="7" t="s">
        <v>22</v>
      </c>
      <c r="D8" s="7" t="s">
        <v>18</v>
      </c>
      <c r="E8" s="7" t="s">
        <v>24</v>
      </c>
      <c r="F8" s="47" t="s">
        <v>25</v>
      </c>
      <c r="G8" s="47" t="s">
        <v>36</v>
      </c>
      <c r="H8" s="7" t="s">
        <v>49</v>
      </c>
      <c r="J8" s="53">
        <f>+'ETP2017'!AA228</f>
        <v>918.89557394509734</v>
      </c>
      <c r="M8" s="53">
        <f>+'ETP2017'!AB228</f>
        <v>563.09324357376943</v>
      </c>
      <c r="N8" s="53">
        <f>+'ETP2017'!AC228</f>
        <v>382.85854487048317</v>
      </c>
      <c r="O8" s="53">
        <f>+'ETP2017'!AD228</f>
        <v>321.71567720384121</v>
      </c>
      <c r="P8" s="53">
        <f>+'ETP2017'!AE228</f>
        <v>252.43813067165379</v>
      </c>
      <c r="Q8" s="53">
        <f>+'ETP2017'!AF228</f>
        <v>193.32487441641351</v>
      </c>
      <c r="R8" s="53">
        <f>+'ETP2017'!AG228</f>
        <v>131.86617449800713</v>
      </c>
      <c r="S8" s="53">
        <f>+'ETP2017'!AH228</f>
        <v>117.37327949373226</v>
      </c>
      <c r="T8" s="53">
        <f>+'ETP2017'!AI228</f>
        <v>103.2152754713188</v>
      </c>
    </row>
    <row r="9" spans="1:30" x14ac:dyDescent="0.15">
      <c r="A9" s="7" t="s">
        <v>41</v>
      </c>
      <c r="B9" s="7" t="s">
        <v>23</v>
      </c>
      <c r="C9" s="7" t="s">
        <v>19</v>
      </c>
      <c r="D9" s="7" t="s">
        <v>18</v>
      </c>
      <c r="E9" s="7" t="s">
        <v>24</v>
      </c>
      <c r="F9" s="47" t="s">
        <v>25</v>
      </c>
      <c r="G9" s="47" t="s">
        <v>62</v>
      </c>
      <c r="H9" s="47" t="s">
        <v>29</v>
      </c>
      <c r="I9" s="47"/>
      <c r="J9" s="53">
        <f>+'ETP2017'!C141</f>
        <v>13625.004647</v>
      </c>
      <c r="M9" s="53">
        <f>+'ETP2017'!D141</f>
        <v>9369.4364035276667</v>
      </c>
      <c r="N9" s="53">
        <f>+'ETP2017'!E141</f>
        <v>7083.1994249231311</v>
      </c>
      <c r="O9" s="53">
        <f>+'ETP2017'!F141</f>
        <v>4758.6490241959691</v>
      </c>
      <c r="P9" s="53">
        <f>+'ETP2017'!G141</f>
        <v>2661.9039102911465</v>
      </c>
      <c r="Q9" s="53">
        <f>+'ETP2017'!H141</f>
        <v>823.65980003171899</v>
      </c>
      <c r="R9" s="53">
        <f>+'ETP2017'!I141</f>
        <v>-355.66926433015539</v>
      </c>
      <c r="S9" s="53">
        <f>+'ETP2017'!J141</f>
        <v>-1189.020977350287</v>
      </c>
      <c r="T9" s="53">
        <f>+'ETP2017'!K141</f>
        <v>-1743.8363466395458</v>
      </c>
    </row>
    <row r="10" spans="1:30" x14ac:dyDescent="0.15">
      <c r="A10" s="7" t="s">
        <v>41</v>
      </c>
      <c r="B10" s="7" t="s">
        <v>23</v>
      </c>
      <c r="C10" s="7" t="s">
        <v>22</v>
      </c>
      <c r="D10" s="7" t="s">
        <v>19</v>
      </c>
      <c r="E10" s="7" t="s">
        <v>24</v>
      </c>
      <c r="F10" s="47" t="s">
        <v>25</v>
      </c>
      <c r="G10" s="47" t="s">
        <v>62</v>
      </c>
      <c r="H10" s="7" t="s">
        <v>29</v>
      </c>
      <c r="J10" s="53">
        <f>+'ETP2017'!C298</f>
        <v>4734.122652</v>
      </c>
      <c r="M10" s="53">
        <f>+'ETP2017'!D298</f>
        <v>2564.2861436198455</v>
      </c>
      <c r="N10" s="53">
        <f>+'ETP2017'!E298</f>
        <v>1821.3861589863279</v>
      </c>
      <c r="O10" s="53">
        <f>+'ETP2017'!F298</f>
        <v>1150.8107839438487</v>
      </c>
      <c r="P10" s="53">
        <f>+'ETP2017'!G298</f>
        <v>593.17986449079842</v>
      </c>
      <c r="Q10" s="53">
        <f>+'ETP2017'!H298</f>
        <v>90.347307114415656</v>
      </c>
      <c r="R10" s="53">
        <f>+'ETP2017'!I298</f>
        <v>-261.47838878489404</v>
      </c>
      <c r="S10" s="53">
        <f>+'ETP2017'!J298</f>
        <v>-546.75830919122438</v>
      </c>
      <c r="T10" s="53">
        <f>+'ETP2017'!K298</f>
        <v>-772.11671574694935</v>
      </c>
    </row>
    <row r="11" spans="1:30" x14ac:dyDescent="0.15">
      <c r="A11" s="7" t="s">
        <v>41</v>
      </c>
      <c r="B11" s="7" t="s">
        <v>23</v>
      </c>
      <c r="C11" s="7" t="s">
        <v>34</v>
      </c>
      <c r="D11" s="7" t="s">
        <v>34</v>
      </c>
      <c r="E11" s="7" t="s">
        <v>24</v>
      </c>
      <c r="F11" s="47" t="s">
        <v>25</v>
      </c>
      <c r="G11" s="47" t="s">
        <v>62</v>
      </c>
      <c r="H11" s="47" t="s">
        <v>29</v>
      </c>
      <c r="I11" s="47"/>
      <c r="J11" s="53">
        <f>+'ETP2017'!C454</f>
        <v>8871.2562230000021</v>
      </c>
      <c r="M11" s="53">
        <f>+'ETP2017'!D454</f>
        <v>6805.1502599078231</v>
      </c>
      <c r="N11" s="53">
        <f>+'ETP2017'!E454</f>
        <v>5261.813265936803</v>
      </c>
      <c r="O11" s="53">
        <f>+'ETP2017'!F454</f>
        <v>3607.8382402521197</v>
      </c>
      <c r="P11" s="53">
        <f>+'ETP2017'!G454</f>
        <v>2068.7240458003475</v>
      </c>
      <c r="Q11" s="53">
        <f>+'ETP2017'!H454</f>
        <v>733.31249291730342</v>
      </c>
      <c r="R11" s="53">
        <f>+'ETP2017'!I454</f>
        <v>-94.190875545261335</v>
      </c>
      <c r="S11" s="53">
        <f>+'ETP2017'!J454</f>
        <v>-642.26266815906297</v>
      </c>
      <c r="T11" s="53">
        <f>+'ETP2017'!K454</f>
        <v>-971.7196308925968</v>
      </c>
    </row>
    <row r="12" spans="1:30" x14ac:dyDescent="0.15">
      <c r="A12" s="7" t="s">
        <v>47</v>
      </c>
      <c r="B12" s="7" t="s">
        <v>23</v>
      </c>
      <c r="C12" s="7" t="s">
        <v>22</v>
      </c>
      <c r="D12" s="7" t="s">
        <v>18</v>
      </c>
      <c r="E12" s="7" t="s">
        <v>37</v>
      </c>
      <c r="F12" s="47" t="s">
        <v>30</v>
      </c>
      <c r="G12" s="47" t="s">
        <v>38</v>
      </c>
      <c r="H12" s="7" t="s">
        <v>6</v>
      </c>
      <c r="J12" s="53">
        <f>+'ETP2017'!O57</f>
        <v>4282.8951823919997</v>
      </c>
      <c r="M12" s="53">
        <f>+'ETP2017'!P57</f>
        <v>4408.3426873476228</v>
      </c>
      <c r="N12" s="53">
        <f>+'ETP2017'!Q57</f>
        <v>4595.7506785705345</v>
      </c>
      <c r="O12" s="53">
        <f>+'ETP2017'!R57</f>
        <v>4738.0831710233533</v>
      </c>
      <c r="P12" s="53">
        <f>+'ETP2017'!S57</f>
        <v>5021.4994113816565</v>
      </c>
      <c r="Q12" s="53">
        <f>+'ETP2017'!T57</f>
        <v>5186.6228130405607</v>
      </c>
      <c r="R12" s="53">
        <f>+'ETP2017'!U57</f>
        <v>5376.0918750632663</v>
      </c>
      <c r="S12" s="53">
        <f>+'ETP2017'!V57</f>
        <v>5547.5869151793022</v>
      </c>
      <c r="T12" s="53">
        <f>+'ETP2017'!W57</f>
        <v>5771.0991420817672</v>
      </c>
    </row>
    <row r="13" spans="1:30" x14ac:dyDescent="0.15">
      <c r="A13" s="7" t="s">
        <v>47</v>
      </c>
      <c r="B13" s="7" t="s">
        <v>23</v>
      </c>
      <c r="C13" s="7" t="s">
        <v>22</v>
      </c>
      <c r="D13" s="7" t="s">
        <v>18</v>
      </c>
      <c r="E13" s="7" t="s">
        <v>37</v>
      </c>
      <c r="F13" s="47" t="s">
        <v>30</v>
      </c>
      <c r="G13" s="47" t="s">
        <v>38</v>
      </c>
      <c r="H13" s="7" t="s">
        <v>7</v>
      </c>
      <c r="J13" s="53">
        <f>+'ETP2017'!O24</f>
        <v>1275.1759529988908</v>
      </c>
      <c r="M13" s="53">
        <f>+'ETP2017'!P24</f>
        <v>1510.5856378617225</v>
      </c>
      <c r="N13" s="53">
        <f>+'ETP2017'!Q24</f>
        <v>1589.9597119287432</v>
      </c>
      <c r="O13" s="53">
        <f>+'ETP2017'!R24</f>
        <v>1669.1449333464464</v>
      </c>
      <c r="P13" s="53">
        <f>+'ETP2017'!S24</f>
        <v>1875.0412722426395</v>
      </c>
      <c r="Q13" s="53">
        <f>+'ETP2017'!T24</f>
        <v>1948.9658747677618</v>
      </c>
      <c r="R13" s="53">
        <f>+'ETP2017'!U24</f>
        <v>2165.8698197274689</v>
      </c>
      <c r="S13" s="53">
        <f>+'ETP2017'!V24</f>
        <v>2326.962340729111</v>
      </c>
      <c r="T13" s="53">
        <f>+'ETP2017'!W24</f>
        <v>2507.1380712498731</v>
      </c>
    </row>
    <row r="14" spans="1:30" x14ac:dyDescent="0.15">
      <c r="A14" s="7" t="s">
        <v>47</v>
      </c>
      <c r="B14" s="7" t="s">
        <v>23</v>
      </c>
      <c r="C14" s="7" t="s">
        <v>22</v>
      </c>
      <c r="D14" s="7" t="s">
        <v>18</v>
      </c>
      <c r="E14" s="7" t="s">
        <v>37</v>
      </c>
      <c r="F14" s="47" t="s">
        <v>30</v>
      </c>
      <c r="G14" s="47" t="s">
        <v>38</v>
      </c>
      <c r="H14" s="7" t="s">
        <v>8</v>
      </c>
      <c r="J14" s="53">
        <f>+'ETP2017'!O90</f>
        <v>3336.9459492588026</v>
      </c>
      <c r="M14" s="53">
        <f>+'ETP2017'!P90</f>
        <v>3554.5536167269192</v>
      </c>
      <c r="N14" s="53">
        <f>+'ETP2017'!Q90</f>
        <v>3554.4724084886511</v>
      </c>
      <c r="O14" s="53">
        <f>+'ETP2017'!R90</f>
        <v>3469.9059883379941</v>
      </c>
      <c r="P14" s="53">
        <f>+'ETP2017'!S90</f>
        <v>3126.9213512448787</v>
      </c>
      <c r="Q14" s="53">
        <f>+'ETP2017'!T90</f>
        <v>2865.2522590217372</v>
      </c>
      <c r="R14" s="53">
        <f>+'ETP2017'!U90</f>
        <v>2616.8047943456263</v>
      </c>
      <c r="S14" s="53">
        <f>+'ETP2017'!V90</f>
        <v>2454.3277315118962</v>
      </c>
      <c r="T14" s="53">
        <f>+'ETP2017'!W90</f>
        <v>2320.1851731638212</v>
      </c>
    </row>
    <row r="15" spans="1:30" x14ac:dyDescent="0.15">
      <c r="A15" s="7" t="s">
        <v>47</v>
      </c>
      <c r="B15" s="7" t="s">
        <v>23</v>
      </c>
      <c r="C15" s="7" t="s">
        <v>22</v>
      </c>
      <c r="D15" s="7" t="s">
        <v>18</v>
      </c>
      <c r="E15" s="7" t="s">
        <v>37</v>
      </c>
      <c r="F15" s="47" t="s">
        <v>30</v>
      </c>
      <c r="G15" s="47" t="s">
        <v>38</v>
      </c>
      <c r="H15" s="7" t="s">
        <v>28</v>
      </c>
      <c r="J15" s="53">
        <f>+'ETP2017'!O79</f>
        <v>1025.6459611143143</v>
      </c>
      <c r="M15" s="53">
        <f>+'ETP2017'!P79</f>
        <v>1108.0628438172164</v>
      </c>
      <c r="N15" s="53">
        <f>+'ETP2017'!Q79</f>
        <v>1137.2737513526686</v>
      </c>
      <c r="O15" s="53">
        <f>+'ETP2017'!R79</f>
        <v>1152.6679854467557</v>
      </c>
      <c r="P15" s="53">
        <f>+'ETP2017'!S79</f>
        <v>1160.1904333814118</v>
      </c>
      <c r="Q15" s="53">
        <f>+'ETP2017'!T79</f>
        <v>1157.2113002185097</v>
      </c>
      <c r="R15" s="53">
        <f>+'ETP2017'!U79</f>
        <v>1147.1366548084779</v>
      </c>
      <c r="S15" s="53">
        <f>+'ETP2017'!V79</f>
        <v>1183.5629528862064</v>
      </c>
      <c r="T15" s="53">
        <f>+'ETP2017'!W79</f>
        <v>1218.1711176051322</v>
      </c>
    </row>
    <row r="16" spans="1:30" x14ac:dyDescent="0.15">
      <c r="A16" s="7" t="s">
        <v>47</v>
      </c>
      <c r="B16" s="7" t="s">
        <v>23</v>
      </c>
      <c r="C16" s="7" t="s">
        <v>22</v>
      </c>
      <c r="D16" s="7" t="s">
        <v>18</v>
      </c>
      <c r="E16" s="7" t="s">
        <v>37</v>
      </c>
      <c r="F16" s="47" t="s">
        <v>30</v>
      </c>
      <c r="G16" s="47" t="s">
        <v>38</v>
      </c>
      <c r="H16" s="7" t="s">
        <v>9</v>
      </c>
      <c r="J16" s="53">
        <f>+'ETP2017'!O9-SUM(DataArrange!J12:J15)-'ETP2017'!O35</f>
        <v>15992.994142770574</v>
      </c>
      <c r="M16" s="53">
        <f>+'ETP2017'!P9-SUM(DataArrange!M12:M15)-'ETP2017'!P35</f>
        <v>16391.584677149222</v>
      </c>
      <c r="N16" s="53">
        <f>+'ETP2017'!Q9-SUM(DataArrange!N12:N15)-'ETP2017'!Q35</f>
        <v>16789.37348463108</v>
      </c>
      <c r="O16" s="53">
        <f>+'ETP2017'!R9-SUM(DataArrange!O12:O15)-'ETP2017'!R35</f>
        <v>18004.883862038434</v>
      </c>
      <c r="P16" s="53">
        <f>+'ETP2017'!S9-SUM(DataArrange!P12:P15)-'ETP2017'!S35</f>
        <v>19537.187883468861</v>
      </c>
      <c r="Q16" s="53">
        <f>+'ETP2017'!T9-SUM(DataArrange!Q12:Q15)-'ETP2017'!T35</f>
        <v>20487.746932389578</v>
      </c>
      <c r="R16" s="53">
        <f>+'ETP2017'!U9-SUM(DataArrange!R12:R15)-'ETP2017'!U35</f>
        <v>21923.089304253648</v>
      </c>
      <c r="S16" s="53">
        <f>+'ETP2017'!V9-SUM(DataArrange!S12:S15)-'ETP2017'!V35</f>
        <v>23569.83173325755</v>
      </c>
      <c r="T16" s="53">
        <f>+'ETP2017'!W9-SUM(DataArrange!T12:T15)-'ETP2017'!W35</f>
        <v>25485.916684923941</v>
      </c>
    </row>
    <row r="17" spans="1:20" x14ac:dyDescent="0.15">
      <c r="A17" s="7" t="s">
        <v>47</v>
      </c>
      <c r="B17" s="7" t="s">
        <v>23</v>
      </c>
      <c r="C17" s="7" t="s">
        <v>22</v>
      </c>
      <c r="D17" s="7" t="s">
        <v>18</v>
      </c>
      <c r="E17" s="7" t="s">
        <v>37</v>
      </c>
      <c r="F17" s="47" t="s">
        <v>30</v>
      </c>
      <c r="G17" s="47" t="s">
        <v>38</v>
      </c>
      <c r="H17" s="7" t="s">
        <v>49</v>
      </c>
      <c r="J17" s="53">
        <f>+'ETP2017'!AA207</f>
        <v>17800.654137950361</v>
      </c>
      <c r="M17" s="53">
        <f>+'ETP2017'!AB207</f>
        <v>19984.682156372055</v>
      </c>
      <c r="N17" s="53">
        <f>+'ETP2017'!AC207</f>
        <v>20613.557593371843</v>
      </c>
      <c r="O17" s="53">
        <f>+'ETP2017'!AD207</f>
        <v>21436.631918460633</v>
      </c>
      <c r="P17" s="53">
        <f>+'ETP2017'!AE207</f>
        <v>22036.409493120856</v>
      </c>
      <c r="Q17" s="53">
        <f>+'ETP2017'!AF207</f>
        <v>22432.591723770274</v>
      </c>
      <c r="R17" s="53">
        <f>+'ETP2017'!AG207</f>
        <v>22640.446108941025</v>
      </c>
      <c r="S17" s="53">
        <f>+'ETP2017'!AH207</f>
        <v>23122.176646764692</v>
      </c>
      <c r="T17" s="53">
        <f>+'ETP2017'!AI207</f>
        <v>23369.794062290537</v>
      </c>
    </row>
    <row r="18" spans="1:20" x14ac:dyDescent="0.15">
      <c r="A18" s="7" t="s">
        <v>47</v>
      </c>
      <c r="B18" s="7" t="s">
        <v>23</v>
      </c>
      <c r="C18" s="7" t="s">
        <v>22</v>
      </c>
      <c r="D18" s="7" t="s">
        <v>18</v>
      </c>
      <c r="E18" s="7" t="s">
        <v>37</v>
      </c>
      <c r="F18" s="47" t="s">
        <v>30</v>
      </c>
      <c r="G18" s="47" t="s">
        <v>38</v>
      </c>
      <c r="H18" s="47" t="s">
        <v>29</v>
      </c>
      <c r="I18" s="47"/>
      <c r="J18" s="54"/>
      <c r="M18" s="54"/>
      <c r="N18" s="54"/>
      <c r="O18" s="54"/>
      <c r="P18" s="54"/>
      <c r="Q18" s="54"/>
      <c r="R18" s="54"/>
      <c r="S18" s="54"/>
      <c r="T18" s="54"/>
    </row>
    <row r="19" spans="1:20" x14ac:dyDescent="0.15">
      <c r="A19" s="7" t="s">
        <v>42</v>
      </c>
      <c r="B19" s="7" t="s">
        <v>23</v>
      </c>
      <c r="C19" s="7" t="s">
        <v>22</v>
      </c>
      <c r="D19" s="7" t="s">
        <v>18</v>
      </c>
      <c r="E19" s="7" t="s">
        <v>31</v>
      </c>
      <c r="F19" s="47" t="s">
        <v>196</v>
      </c>
      <c r="G19" s="47" t="s">
        <v>75</v>
      </c>
      <c r="H19" s="7" t="s">
        <v>6</v>
      </c>
      <c r="J19" s="53">
        <f>+'ETP2017'!O109</f>
        <v>1670.1409999999994</v>
      </c>
      <c r="M19" s="53">
        <f>+'ETP2017'!P109</f>
        <v>1675.1046645416709</v>
      </c>
      <c r="N19" s="53">
        <f>+'ETP2017'!Q109</f>
        <v>1662.9129832230658</v>
      </c>
      <c r="O19" s="53">
        <f>+'ETP2017'!R109</f>
        <v>1708.0237152079249</v>
      </c>
      <c r="P19" s="53">
        <f>+'ETP2017'!S109</f>
        <v>1769.5732626372328</v>
      </c>
      <c r="Q19" s="53">
        <f>+'ETP2017'!T109</f>
        <v>1778.9635528906899</v>
      </c>
      <c r="R19" s="53">
        <f>+'ETP2017'!U109</f>
        <v>1825.4605452134547</v>
      </c>
      <c r="S19" s="53">
        <f>+'ETP2017'!V109</f>
        <v>1818.2203032869736</v>
      </c>
      <c r="T19" s="53">
        <f>+'ETP2017'!W109</f>
        <v>1779.1842507030296</v>
      </c>
    </row>
    <row r="20" spans="1:20" x14ac:dyDescent="0.15">
      <c r="A20" s="7" t="s">
        <v>42</v>
      </c>
      <c r="B20" s="7" t="s">
        <v>23</v>
      </c>
      <c r="C20" s="7" t="s">
        <v>22</v>
      </c>
      <c r="D20" s="7" t="s">
        <v>18</v>
      </c>
      <c r="E20" s="7" t="s">
        <v>31</v>
      </c>
      <c r="F20" s="47" t="s">
        <v>196</v>
      </c>
      <c r="G20" s="47" t="s">
        <v>75</v>
      </c>
      <c r="H20" s="7" t="s">
        <v>7</v>
      </c>
      <c r="J20" s="53">
        <f>+'ETP2017'!O105</f>
        <v>4175.3100000000004</v>
      </c>
      <c r="M20" s="53">
        <f>+'ETP2017'!P105</f>
        <v>4515.5711824795253</v>
      </c>
      <c r="N20" s="53">
        <f>+'ETP2017'!Q105</f>
        <v>4594.6951295645804</v>
      </c>
      <c r="O20" s="53">
        <f>+'ETP2017'!R105</f>
        <v>4661.5596583061852</v>
      </c>
      <c r="P20" s="53">
        <f>+'ETP2017'!S105</f>
        <v>4882.6020330291394</v>
      </c>
      <c r="Q20" s="53">
        <f>+'ETP2017'!T105</f>
        <v>5018.1877366409472</v>
      </c>
      <c r="R20" s="53">
        <f>+'ETP2017'!U105</f>
        <v>5093.5929055644683</v>
      </c>
      <c r="S20" s="53">
        <f>+'ETP2017'!V105</f>
        <v>5024.0576151884925</v>
      </c>
      <c r="T20" s="53">
        <f>+'ETP2017'!W105</f>
        <v>4926.7374163654467</v>
      </c>
    </row>
    <row r="21" spans="1:20" x14ac:dyDescent="0.15">
      <c r="A21" s="7" t="s">
        <v>42</v>
      </c>
      <c r="B21" s="7" t="s">
        <v>23</v>
      </c>
      <c r="C21" s="7" t="s">
        <v>22</v>
      </c>
      <c r="D21" s="7" t="s">
        <v>18</v>
      </c>
      <c r="E21" s="7" t="s">
        <v>31</v>
      </c>
      <c r="F21" s="47" t="s">
        <v>196</v>
      </c>
      <c r="G21" s="47" t="s">
        <v>75</v>
      </c>
      <c r="H21" s="7" t="s">
        <v>8</v>
      </c>
      <c r="J21" s="53">
        <f>+'ETP2017'!O111</f>
        <v>126.29013428541874</v>
      </c>
      <c r="M21" s="53">
        <f>+'ETP2017'!P111</f>
        <v>157.6999730937074</v>
      </c>
      <c r="N21" s="53">
        <f>+'ETP2017'!Q111</f>
        <v>170.2768326765775</v>
      </c>
      <c r="O21" s="53">
        <f>+'ETP2017'!R111</f>
        <v>178.77314291073739</v>
      </c>
      <c r="P21" s="53">
        <f>+'ETP2017'!S111</f>
        <v>177.74473856736552</v>
      </c>
      <c r="Q21" s="53">
        <f>+'ETP2017'!T111</f>
        <v>177.98139312975937</v>
      </c>
      <c r="R21" s="53">
        <f>+'ETP2017'!U111</f>
        <v>174.5874660151826</v>
      </c>
      <c r="S21" s="53">
        <f>+'ETP2017'!V111</f>
        <v>171.41755314495919</v>
      </c>
      <c r="T21" s="53">
        <f>+'ETP2017'!W111</f>
        <v>167.90353044441747</v>
      </c>
    </row>
    <row r="22" spans="1:20" x14ac:dyDescent="0.15">
      <c r="A22" s="7" t="s">
        <v>42</v>
      </c>
      <c r="B22" s="7" t="s">
        <v>23</v>
      </c>
      <c r="C22" s="7" t="s">
        <v>22</v>
      </c>
      <c r="D22" s="7" t="s">
        <v>18</v>
      </c>
      <c r="E22" s="7" t="s">
        <v>31</v>
      </c>
      <c r="F22" s="47" t="s">
        <v>196</v>
      </c>
      <c r="G22" s="47" t="s">
        <v>75</v>
      </c>
      <c r="H22" s="7" t="s">
        <v>28</v>
      </c>
      <c r="J22" s="53">
        <f>+'ETP2017'!O110</f>
        <v>400.2218530822455</v>
      </c>
      <c r="M22" s="53">
        <f>+'ETP2017'!P110</f>
        <v>441.47277325350422</v>
      </c>
      <c r="N22" s="53">
        <f>+'ETP2017'!Q110</f>
        <v>460.44980305757571</v>
      </c>
      <c r="O22" s="53">
        <f>+'ETP2017'!R110</f>
        <v>472.47871101104107</v>
      </c>
      <c r="P22" s="53">
        <f>+'ETP2017'!S110</f>
        <v>483.46187525984527</v>
      </c>
      <c r="Q22" s="53">
        <f>+'ETP2017'!T110</f>
        <v>491.14878742774687</v>
      </c>
      <c r="R22" s="53">
        <f>+'ETP2017'!U110</f>
        <v>497.9387191090081</v>
      </c>
      <c r="S22" s="53">
        <f>+'ETP2017'!V110</f>
        <v>504.33785995717193</v>
      </c>
      <c r="T22" s="53">
        <f>+'ETP2017'!W110</f>
        <v>510.09861283024463</v>
      </c>
    </row>
    <row r="23" spans="1:20" x14ac:dyDescent="0.15">
      <c r="A23" s="7" t="s">
        <v>42</v>
      </c>
      <c r="B23" s="7" t="s">
        <v>23</v>
      </c>
      <c r="C23" s="7" t="s">
        <v>22</v>
      </c>
      <c r="D23" s="7" t="s">
        <v>18</v>
      </c>
      <c r="E23" s="7" t="s">
        <v>31</v>
      </c>
      <c r="F23" s="47" t="s">
        <v>30</v>
      </c>
      <c r="G23" s="47" t="s">
        <v>75</v>
      </c>
      <c r="H23" s="7" t="s">
        <v>9</v>
      </c>
      <c r="J23" s="53">
        <f>+'ETP2017'!C52-'ETP2017'!O29-'ETP2017'!O40-'ETP2017'!O62-'ETP2017'!O84-'ETP2017'!O95</f>
        <v>28215.330195858784</v>
      </c>
      <c r="M23" s="53">
        <f>+'ETP2017'!D52-'ETP2017'!P29-'ETP2017'!P40-'ETP2017'!P62-'ETP2017'!P84-'ETP2017'!P95</f>
        <v>20699.041154564857</v>
      </c>
      <c r="N23" s="53">
        <f>+'ETP2017'!E52-'ETP2017'!Q29-'ETP2017'!Q40-'ETP2017'!Q62-'ETP2017'!Q84-'ETP2017'!Q95</f>
        <v>19150.878219264981</v>
      </c>
      <c r="O23" s="53">
        <f>+'ETP2017'!F52-'ETP2017'!R29-'ETP2017'!R40-'ETP2017'!R62-'ETP2017'!R84-'ETP2017'!R95</f>
        <v>20217.090787912763</v>
      </c>
      <c r="P23" s="53">
        <f>+'ETP2017'!G52-'ETP2017'!S29-'ETP2017'!S40-'ETP2017'!S62-'ETP2017'!S84-'ETP2017'!S95</f>
        <v>21676.732524867199</v>
      </c>
      <c r="Q23" s="53">
        <f>+'ETP2017'!H52-'ETP2017'!T29-'ETP2017'!T40-'ETP2017'!T62-'ETP2017'!T84-'ETP2017'!T95</f>
        <v>22883.96488554516</v>
      </c>
      <c r="R23" s="53">
        <f>+'ETP2017'!I52-'ETP2017'!U29-'ETP2017'!U40-'ETP2017'!U62-'ETP2017'!U84-'ETP2017'!U95</f>
        <v>25461.372646158619</v>
      </c>
      <c r="S23" s="53">
        <f>+'ETP2017'!J52-'ETP2017'!V29-'ETP2017'!V40-'ETP2017'!V62-'ETP2017'!V84-'ETP2017'!V95</f>
        <v>27107.104935237785</v>
      </c>
      <c r="T23" s="53">
        <f>+'ETP2017'!K52-'ETP2017'!W29-'ETP2017'!W40-'ETP2017'!W62-'ETP2017'!W84-'ETP2017'!W95</f>
        <v>31174.399408529396</v>
      </c>
    </row>
    <row r="24" spans="1:20" x14ac:dyDescent="0.15">
      <c r="A24" s="7" t="s">
        <v>42</v>
      </c>
      <c r="B24" s="7" t="s">
        <v>23</v>
      </c>
      <c r="C24" s="7" t="s">
        <v>22</v>
      </c>
      <c r="D24" s="7" t="s">
        <v>18</v>
      </c>
      <c r="E24" s="7" t="s">
        <v>31</v>
      </c>
      <c r="F24" s="47" t="s">
        <v>195</v>
      </c>
      <c r="G24" s="47" t="s">
        <v>75</v>
      </c>
      <c r="H24" s="7" t="s">
        <v>49</v>
      </c>
      <c r="J24" s="53">
        <f>+'ETP2017'!R136</f>
        <v>40143</v>
      </c>
      <c r="M24" s="53">
        <f>+('ETP2017'!Q133+'ETP2017'!P133)/2</f>
        <v>48016</v>
      </c>
      <c r="N24" s="53">
        <f>+'ETP2017'!Q133</f>
        <v>52124</v>
      </c>
      <c r="O24" s="53">
        <f>+('ETP2017'!Q133+'ETP2017'!R133)/2</f>
        <v>54786.5</v>
      </c>
      <c r="P24" s="53">
        <f>+'ETP2017'!R133</f>
        <v>57449</v>
      </c>
      <c r="Q24" s="53">
        <f>+('ETP2017'!R133+'ETP2017'!S133)/2</f>
        <v>59981.5</v>
      </c>
      <c r="R24" s="53">
        <f>+'ETP2017'!S133</f>
        <v>62514</v>
      </c>
      <c r="S24" s="54"/>
      <c r="T24" s="54"/>
    </row>
    <row r="25" spans="1:20" x14ac:dyDescent="0.15">
      <c r="A25" s="7" t="s">
        <v>42</v>
      </c>
      <c r="B25" s="7" t="s">
        <v>23</v>
      </c>
      <c r="C25" s="7" t="s">
        <v>22</v>
      </c>
      <c r="D25" s="7" t="s">
        <v>18</v>
      </c>
      <c r="E25" s="7" t="s">
        <v>31</v>
      </c>
      <c r="F25" s="47" t="s">
        <v>192</v>
      </c>
      <c r="G25" s="47" t="s">
        <v>75</v>
      </c>
      <c r="H25" s="47" t="s">
        <v>29</v>
      </c>
      <c r="I25" s="47"/>
      <c r="J25" s="53">
        <f>+'ETP2017'!C116</f>
        <v>23818.899236000001</v>
      </c>
      <c r="M25" s="53">
        <f>+'ETP2017'!D116</f>
        <v>28376.859498996477</v>
      </c>
      <c r="N25" s="53">
        <f>+'ETP2017'!E116</f>
        <v>30959.294532562992</v>
      </c>
      <c r="O25" s="53">
        <f>+'ETP2017'!F116</f>
        <v>33824.81659758625</v>
      </c>
      <c r="P25" s="53">
        <f>+'ETP2017'!G116</f>
        <v>37015.335114018257</v>
      </c>
      <c r="Q25" s="53">
        <f>+'ETP2017'!H116</f>
        <v>40481.30248414159</v>
      </c>
      <c r="R25" s="53">
        <f>+'ETP2017'!I116</f>
        <v>44320.722868883975</v>
      </c>
      <c r="S25" s="53">
        <f>+'ETP2017'!J116</f>
        <v>48600.433498031431</v>
      </c>
      <c r="T25" s="53">
        <f>+'ETP2017'!K116</f>
        <v>53122.56668612465</v>
      </c>
    </row>
    <row r="26" spans="1:20" x14ac:dyDescent="0.15">
      <c r="A26" s="7" t="s">
        <v>42</v>
      </c>
      <c r="B26" s="7" t="s">
        <v>23</v>
      </c>
      <c r="C26" s="7" t="s">
        <v>22</v>
      </c>
      <c r="D26" s="7" t="s">
        <v>19</v>
      </c>
      <c r="E26" s="7" t="s">
        <v>31</v>
      </c>
      <c r="F26" s="47" t="s">
        <v>192</v>
      </c>
      <c r="G26" s="47" t="s">
        <v>75</v>
      </c>
      <c r="H26" s="47" t="s">
        <v>29</v>
      </c>
      <c r="I26" s="47"/>
      <c r="J26" s="53">
        <f>+'ETP2017'!C273</f>
        <v>10792.753189999999</v>
      </c>
      <c r="M26" s="53">
        <f>+'ETP2017'!D273</f>
        <v>10679.257287090019</v>
      </c>
      <c r="N26" s="53">
        <f>+'ETP2017'!E273</f>
        <v>10890.500462665597</v>
      </c>
      <c r="O26" s="53">
        <f>+'ETP2017'!F273</f>
        <v>11147.169340431086</v>
      </c>
      <c r="P26" s="53">
        <f>+'ETP2017'!G273</f>
        <v>11596.427499160684</v>
      </c>
      <c r="Q26" s="53">
        <f>+'ETP2017'!H273</f>
        <v>12218.949181369944</v>
      </c>
      <c r="R26" s="53">
        <f>+'ETP2017'!I273</f>
        <v>12886.635349607644</v>
      </c>
      <c r="S26" s="53">
        <f>+'ETP2017'!J273</f>
        <v>13562.815829167135</v>
      </c>
      <c r="T26" s="53">
        <f>+'ETP2017'!K273</f>
        <v>14181.772115613312</v>
      </c>
    </row>
    <row r="27" spans="1:20" x14ac:dyDescent="0.15">
      <c r="A27" s="7" t="s">
        <v>42</v>
      </c>
      <c r="B27" s="7" t="s">
        <v>23</v>
      </c>
      <c r="C27" s="7" t="s">
        <v>22</v>
      </c>
      <c r="D27" s="7" t="s">
        <v>34</v>
      </c>
      <c r="E27" s="7" t="s">
        <v>31</v>
      </c>
      <c r="F27" s="47" t="s">
        <v>192</v>
      </c>
      <c r="G27" s="47" t="s">
        <v>75</v>
      </c>
      <c r="H27" s="47" t="s">
        <v>29</v>
      </c>
      <c r="I27" s="47"/>
      <c r="J27" s="53">
        <f>+'ETP2017'!C429</f>
        <v>13048.41631452</v>
      </c>
      <c r="M27" s="53">
        <f>+'ETP2017'!D429</f>
        <v>17562.362731718247</v>
      </c>
      <c r="N27" s="53">
        <f>+'ETP2017'!E429</f>
        <v>19812.232120311834</v>
      </c>
      <c r="O27" s="53">
        <f>+'ETP2017'!F429</f>
        <v>22251.868904079471</v>
      </c>
      <c r="P27" s="53">
        <f>+'ETP2017'!G429</f>
        <v>24814.51815998547</v>
      </c>
      <c r="Q27" s="53">
        <f>+'ETP2017'!H429</f>
        <v>27472.257317512547</v>
      </c>
      <c r="R27" s="53">
        <f>+'ETP2017'!I429</f>
        <v>30453.456305794436</v>
      </c>
      <c r="S27" s="53">
        <f>+'ETP2017'!J429</f>
        <v>33835.208943224075</v>
      </c>
      <c r="T27" s="53">
        <f>+'ETP2017'!K429</f>
        <v>37485.760306144235</v>
      </c>
    </row>
    <row r="28" spans="1:20" x14ac:dyDescent="0.15">
      <c r="A28" s="7" t="s">
        <v>48</v>
      </c>
      <c r="B28" s="7" t="s">
        <v>23</v>
      </c>
      <c r="C28" s="7" t="s">
        <v>22</v>
      </c>
      <c r="D28" s="7" t="s">
        <v>18</v>
      </c>
      <c r="E28" s="7" t="s">
        <v>33</v>
      </c>
      <c r="F28" s="47" t="s">
        <v>193</v>
      </c>
      <c r="G28" s="47" t="s">
        <v>39</v>
      </c>
      <c r="H28" s="47" t="s">
        <v>29</v>
      </c>
      <c r="I28" s="47"/>
      <c r="J28" s="50"/>
      <c r="M28" s="50"/>
      <c r="N28" s="50"/>
      <c r="O28" s="50"/>
      <c r="P28" s="50"/>
      <c r="Q28" s="50"/>
      <c r="R28" s="50"/>
      <c r="S28" s="50"/>
      <c r="T28" s="50"/>
    </row>
    <row r="29" spans="1:20" x14ac:dyDescent="0.15">
      <c r="A29" s="7" t="s">
        <v>48</v>
      </c>
      <c r="B29" s="7" t="s">
        <v>23</v>
      </c>
      <c r="C29" s="7" t="s">
        <v>19</v>
      </c>
      <c r="D29" s="7" t="s">
        <v>19</v>
      </c>
      <c r="E29" s="7" t="s">
        <v>33</v>
      </c>
      <c r="F29" s="47" t="s">
        <v>193</v>
      </c>
      <c r="G29" s="47" t="s">
        <v>39</v>
      </c>
      <c r="H29" s="47" t="s">
        <v>29</v>
      </c>
      <c r="I29" s="47"/>
      <c r="J29" s="50"/>
      <c r="M29" s="50"/>
      <c r="N29" s="50"/>
      <c r="O29" s="50"/>
      <c r="P29" s="50"/>
      <c r="Q29" s="50"/>
      <c r="R29" s="50"/>
      <c r="S29" s="50"/>
      <c r="T29" s="50"/>
    </row>
    <row r="30" spans="1:20" x14ac:dyDescent="0.15">
      <c r="A30" s="7" t="s">
        <v>48</v>
      </c>
      <c r="B30" s="7" t="s">
        <v>23</v>
      </c>
      <c r="C30" s="7" t="s">
        <v>34</v>
      </c>
      <c r="D30" s="7" t="s">
        <v>34</v>
      </c>
      <c r="E30" s="7" t="s">
        <v>33</v>
      </c>
      <c r="F30" s="47" t="s">
        <v>193</v>
      </c>
      <c r="G30" s="47" t="s">
        <v>39</v>
      </c>
      <c r="H30" s="47" t="s">
        <v>29</v>
      </c>
      <c r="I30" s="47"/>
      <c r="J30" s="50"/>
      <c r="M30" s="50"/>
      <c r="N30" s="50"/>
      <c r="O30" s="50"/>
      <c r="P30" s="50"/>
      <c r="Q30" s="50"/>
      <c r="R30" s="50"/>
      <c r="S30" s="50"/>
      <c r="T30" s="50"/>
    </row>
    <row r="31" spans="1:20" x14ac:dyDescent="0.15">
      <c r="A31" s="7" t="s">
        <v>41</v>
      </c>
      <c r="B31" s="441" t="s">
        <v>23</v>
      </c>
      <c r="C31" s="441" t="s">
        <v>22</v>
      </c>
      <c r="D31" s="441" t="s">
        <v>18</v>
      </c>
      <c r="E31" s="441" t="s">
        <v>24</v>
      </c>
      <c r="F31" s="442" t="s">
        <v>25</v>
      </c>
      <c r="G31" s="442"/>
      <c r="H31" s="441" t="s">
        <v>410</v>
      </c>
      <c r="I31" s="441"/>
      <c r="J31" s="448">
        <f>'ETP2017'!AA129</f>
        <v>1971.7196040309964</v>
      </c>
      <c r="K31" s="448"/>
      <c r="L31" s="448"/>
      <c r="M31" s="448">
        <f>'ETP2017'!AB129</f>
        <v>1491.4305794857614</v>
      </c>
      <c r="N31" s="448">
        <f>'ETP2017'!AC129</f>
        <v>1119.0509039426586</v>
      </c>
      <c r="O31" s="448">
        <f>'ETP2017'!AD129</f>
        <v>819.71836083073015</v>
      </c>
      <c r="P31" s="448">
        <f>'ETP2017'!AE129</f>
        <v>628.15193692482626</v>
      </c>
      <c r="Q31" s="448">
        <f>'ETP2017'!AF129</f>
        <v>491.55565913344083</v>
      </c>
      <c r="R31" s="448">
        <f>'ETP2017'!AG129</f>
        <v>368.36383630738101</v>
      </c>
      <c r="S31" s="448">
        <f>'ETP2017'!AH129</f>
        <v>270.96599666204474</v>
      </c>
      <c r="T31" s="448">
        <f>'ETP2017'!AI129</f>
        <v>210.84853648118363</v>
      </c>
    </row>
    <row r="32" spans="1:20" x14ac:dyDescent="0.15">
      <c r="A32" s="7" t="s">
        <v>47</v>
      </c>
      <c r="B32" s="441" t="s">
        <v>23</v>
      </c>
      <c r="C32" s="441" t="s">
        <v>22</v>
      </c>
      <c r="D32" s="441" t="s">
        <v>18</v>
      </c>
      <c r="E32" s="441" t="s">
        <v>37</v>
      </c>
      <c r="F32" s="442" t="s">
        <v>30</v>
      </c>
      <c r="G32" s="442"/>
      <c r="H32" s="441" t="s">
        <v>410</v>
      </c>
      <c r="I32" s="441"/>
      <c r="J32" s="448">
        <f>'ETP2017'!AA108</f>
        <v>20426.919965419918</v>
      </c>
      <c r="K32" s="448"/>
      <c r="L32" s="448"/>
      <c r="M32" s="448">
        <f>'ETP2017'!AB108</f>
        <v>26255.279729168549</v>
      </c>
      <c r="N32" s="448">
        <f>'ETP2017'!AC108</f>
        <v>29753.106334502369</v>
      </c>
      <c r="O32" s="448">
        <f>'ETP2017'!AD108</f>
        <v>33259.119387878854</v>
      </c>
      <c r="P32" s="448">
        <f>'ETP2017'!AE108</f>
        <v>36499.286147439292</v>
      </c>
      <c r="Q32" s="448">
        <f>'ETP2017'!AF108</f>
        <v>39375.520960042333</v>
      </c>
      <c r="R32" s="448">
        <f>'ETP2017'!AG108</f>
        <v>41890.313971833675</v>
      </c>
      <c r="S32" s="448">
        <f>'ETP2017'!AH108</f>
        <v>44302.437471731901</v>
      </c>
      <c r="T32" s="448">
        <f>'ETP2017'!AI108</f>
        <v>46758.144002297689</v>
      </c>
    </row>
    <row r="33" spans="1:57" x14ac:dyDescent="0.15">
      <c r="A33" s="7" t="s">
        <v>42</v>
      </c>
      <c r="B33" s="441" t="s">
        <v>23</v>
      </c>
      <c r="C33" s="441" t="s">
        <v>22</v>
      </c>
      <c r="D33" s="441" t="s">
        <v>18</v>
      </c>
      <c r="E33" s="441" t="s">
        <v>31</v>
      </c>
      <c r="F33" s="442" t="s">
        <v>195</v>
      </c>
      <c r="G33" s="442"/>
      <c r="H33" s="441" t="s">
        <v>410</v>
      </c>
      <c r="I33" s="441">
        <f>'ETP2017'!O159</f>
        <v>167854</v>
      </c>
      <c r="K33" s="443"/>
      <c r="L33" s="443"/>
      <c r="N33" s="443"/>
      <c r="P33" s="443"/>
      <c r="R33" s="444">
        <f>'ETP2017'!S159</f>
        <v>293787</v>
      </c>
    </row>
    <row r="34" spans="1:57" s="441" customFormat="1" x14ac:dyDescent="0.15">
      <c r="A34" s="7" t="s">
        <v>41</v>
      </c>
      <c r="B34" s="441" t="s">
        <v>261</v>
      </c>
      <c r="C34" s="441" t="s">
        <v>22</v>
      </c>
      <c r="D34" s="441" t="s">
        <v>18</v>
      </c>
      <c r="E34" s="441" t="s">
        <v>24</v>
      </c>
      <c r="F34" s="442" t="s">
        <v>25</v>
      </c>
      <c r="G34" s="442"/>
      <c r="H34" s="442" t="s">
        <v>7</v>
      </c>
      <c r="I34" s="442"/>
      <c r="J34" s="443"/>
      <c r="K34" s="443">
        <f>'NZE2021'!B157</f>
        <v>2461</v>
      </c>
      <c r="L34" s="443">
        <f>'NZE2021'!C157</f>
        <v>2334</v>
      </c>
      <c r="M34" s="443"/>
      <c r="N34" s="443">
        <f>'NZE2021'!D157</f>
        <v>1899</v>
      </c>
      <c r="O34" s="443"/>
      <c r="P34" s="443">
        <f>'NZE2021'!E157</f>
        <v>906</v>
      </c>
      <c r="Q34" s="443"/>
      <c r="R34" s="443">
        <f>'NZE2021'!F157</f>
        <v>133</v>
      </c>
      <c r="S34" s="443"/>
      <c r="T34" s="443"/>
    </row>
    <row r="35" spans="1:57" x14ac:dyDescent="0.15">
      <c r="A35" s="7" t="s">
        <v>47</v>
      </c>
      <c r="B35" s="441" t="s">
        <v>261</v>
      </c>
      <c r="C35" s="441" t="s">
        <v>22</v>
      </c>
      <c r="D35" s="441" t="s">
        <v>18</v>
      </c>
      <c r="E35" s="441" t="s">
        <v>37</v>
      </c>
      <c r="F35" s="442" t="s">
        <v>30</v>
      </c>
      <c r="G35" s="442"/>
      <c r="H35" s="441" t="s">
        <v>7</v>
      </c>
      <c r="I35" s="441"/>
      <c r="J35" s="443"/>
      <c r="K35" s="443"/>
      <c r="L35" s="443"/>
      <c r="M35" s="443"/>
      <c r="N35" s="443"/>
      <c r="O35" s="443"/>
      <c r="P35" s="443"/>
      <c r="Q35" s="443"/>
      <c r="R35" s="443"/>
      <c r="S35" s="440"/>
      <c r="T35" s="440"/>
    </row>
    <row r="36" spans="1:57" x14ac:dyDescent="0.15">
      <c r="A36" s="7" t="s">
        <v>42</v>
      </c>
      <c r="B36" s="441" t="s">
        <v>261</v>
      </c>
      <c r="C36" s="441" t="s">
        <v>22</v>
      </c>
      <c r="D36" s="441" t="s">
        <v>18</v>
      </c>
      <c r="E36" s="441" t="s">
        <v>31</v>
      </c>
      <c r="F36" s="442" t="s">
        <v>196</v>
      </c>
      <c r="G36" s="442"/>
      <c r="H36" s="441" t="s">
        <v>7</v>
      </c>
      <c r="I36" s="441"/>
      <c r="J36" s="443"/>
      <c r="K36" s="443">
        <f>'NZE2021'!B189</f>
        <v>4215</v>
      </c>
      <c r="L36" s="443">
        <f>'NZE2021'!C189</f>
        <v>4054</v>
      </c>
      <c r="M36" s="441"/>
      <c r="N36" s="443">
        <f>'NZE2021'!D189</f>
        <v>4258</v>
      </c>
      <c r="O36" s="441"/>
      <c r="P36" s="443">
        <f>'NZE2021'!E189</f>
        <v>4129</v>
      </c>
      <c r="Q36" s="441"/>
      <c r="R36" s="443">
        <f>'NZE2021'!F189</f>
        <v>4032</v>
      </c>
      <c r="S36" s="440"/>
      <c r="T36" s="440"/>
    </row>
    <row r="37" spans="1:57" x14ac:dyDescent="0.15">
      <c r="A37" s="7" t="s">
        <v>41</v>
      </c>
      <c r="B37" s="441" t="s">
        <v>261</v>
      </c>
      <c r="C37" s="441" t="s">
        <v>22</v>
      </c>
      <c r="D37" s="441" t="s">
        <v>18</v>
      </c>
      <c r="E37" s="441" t="s">
        <v>24</v>
      </c>
      <c r="F37" s="442" t="s">
        <v>25</v>
      </c>
      <c r="G37" s="442"/>
      <c r="H37" s="441" t="s">
        <v>6</v>
      </c>
      <c r="I37" s="441"/>
      <c r="K37" s="443">
        <f>'NZE2021'!B155</f>
        <v>2507</v>
      </c>
      <c r="L37" s="443">
        <f>'NZE2021'!C155</f>
        <v>2349</v>
      </c>
      <c r="M37" s="443"/>
      <c r="N37" s="443">
        <f>'NZE2021'!D155</f>
        <v>1779</v>
      </c>
      <c r="O37" s="443"/>
      <c r="P37" s="443">
        <f>'NZE2021'!E155</f>
        <v>859</v>
      </c>
      <c r="Q37" s="443"/>
      <c r="R37" s="443">
        <f>'NZE2021'!F155</f>
        <v>220</v>
      </c>
    </row>
    <row r="38" spans="1:57" x14ac:dyDescent="0.15">
      <c r="A38" s="7" t="s">
        <v>47</v>
      </c>
      <c r="B38" s="441" t="s">
        <v>261</v>
      </c>
      <c r="C38" s="441" t="s">
        <v>22</v>
      </c>
      <c r="D38" s="441" t="s">
        <v>18</v>
      </c>
      <c r="E38" s="441" t="s">
        <v>37</v>
      </c>
      <c r="F38" s="442" t="s">
        <v>30</v>
      </c>
      <c r="G38" s="442"/>
      <c r="H38" s="441" t="s">
        <v>6</v>
      </c>
      <c r="I38" s="441"/>
    </row>
    <row r="39" spans="1:57" x14ac:dyDescent="0.15">
      <c r="A39" s="7" t="s">
        <v>42</v>
      </c>
      <c r="B39" s="441" t="s">
        <v>261</v>
      </c>
      <c r="C39" s="441" t="s">
        <v>22</v>
      </c>
      <c r="D39" s="441" t="s">
        <v>18</v>
      </c>
      <c r="E39" s="441" t="s">
        <v>31</v>
      </c>
      <c r="F39" s="442" t="s">
        <v>196</v>
      </c>
      <c r="G39" s="442"/>
      <c r="H39" s="441" t="s">
        <v>6</v>
      </c>
      <c r="I39" s="441"/>
      <c r="K39" s="443">
        <f>'NZE2021'!B188</f>
        <v>1869</v>
      </c>
      <c r="L39" s="443">
        <f>'NZE2021'!C188</f>
        <v>1781</v>
      </c>
      <c r="M39" s="443"/>
      <c r="N39" s="443">
        <f>'NZE2021'!D188</f>
        <v>1937</v>
      </c>
      <c r="O39" s="443"/>
      <c r="P39" s="443">
        <f>'NZE2021'!E188</f>
        <v>1958</v>
      </c>
      <c r="Q39" s="443"/>
      <c r="R39" s="443">
        <f>'NZE2021'!F188</f>
        <v>1987</v>
      </c>
    </row>
    <row r="40" spans="1:57" x14ac:dyDescent="0.15">
      <c r="A40" s="7" t="s">
        <v>41</v>
      </c>
      <c r="B40" s="441" t="s">
        <v>261</v>
      </c>
      <c r="C40" s="441" t="s">
        <v>22</v>
      </c>
      <c r="D40" s="441" t="s">
        <v>18</v>
      </c>
      <c r="E40" s="441" t="s">
        <v>24</v>
      </c>
      <c r="F40" s="442" t="s">
        <v>25</v>
      </c>
      <c r="G40" s="442"/>
      <c r="H40" s="441" t="s">
        <v>49</v>
      </c>
      <c r="I40" s="441"/>
      <c r="K40" s="443">
        <f>'NZE2021'!B166</f>
        <v>977</v>
      </c>
      <c r="L40" s="443">
        <f>'NZE2021'!C166</f>
        <v>892</v>
      </c>
      <c r="N40" s="443">
        <f>'NZE2021'!D166</f>
        <v>432</v>
      </c>
      <c r="P40" s="443">
        <f>'NZE2021'!E166</f>
        <v>144</v>
      </c>
      <c r="R40" s="443">
        <f>'NZE2021'!F166</f>
        <v>14</v>
      </c>
    </row>
    <row r="41" spans="1:57" x14ac:dyDescent="0.15">
      <c r="A41" s="7" t="s">
        <v>47</v>
      </c>
      <c r="B41" s="441" t="s">
        <v>261</v>
      </c>
      <c r="C41" s="441" t="s">
        <v>22</v>
      </c>
      <c r="D41" s="441" t="s">
        <v>18</v>
      </c>
      <c r="E41" s="441" t="s">
        <v>37</v>
      </c>
      <c r="F41" s="442" t="s">
        <v>30</v>
      </c>
      <c r="G41" s="442"/>
      <c r="H41" s="441" t="s">
        <v>49</v>
      </c>
      <c r="I41" s="441"/>
      <c r="K41" s="443"/>
      <c r="L41" s="443"/>
      <c r="M41" s="443"/>
      <c r="N41" s="443"/>
      <c r="O41" s="443"/>
      <c r="P41" s="443"/>
      <c r="Q41" s="443"/>
      <c r="R41" s="443"/>
    </row>
    <row r="42" spans="1:57" x14ac:dyDescent="0.15">
      <c r="A42" s="7" t="s">
        <v>42</v>
      </c>
      <c r="B42" s="441" t="s">
        <v>261</v>
      </c>
      <c r="C42" s="441" t="s">
        <v>22</v>
      </c>
      <c r="D42" s="441" t="s">
        <v>18</v>
      </c>
      <c r="E42" s="441" t="s">
        <v>31</v>
      </c>
      <c r="F42" s="442" t="s">
        <v>195</v>
      </c>
      <c r="G42" s="442"/>
      <c r="H42" s="441" t="s">
        <v>49</v>
      </c>
      <c r="I42" s="441"/>
      <c r="K42" s="443">
        <f>'NZE2021'!B196</f>
        <v>49670</v>
      </c>
      <c r="L42" s="443">
        <f>'NZE2021'!C196</f>
        <v>49825</v>
      </c>
      <c r="N42" s="443">
        <f>'NZE2021'!D196</f>
        <v>58867</v>
      </c>
      <c r="P42" s="443">
        <f>'NZE2021'!E196</f>
        <v>68576</v>
      </c>
      <c r="R42" s="443">
        <f>'NZE2021'!F196</f>
        <v>78157</v>
      </c>
    </row>
    <row r="43" spans="1:57" x14ac:dyDescent="0.15">
      <c r="A43" s="7" t="s">
        <v>41</v>
      </c>
      <c r="B43" s="441" t="s">
        <v>261</v>
      </c>
      <c r="C43" s="441" t="s">
        <v>22</v>
      </c>
      <c r="D43" s="441" t="s">
        <v>18</v>
      </c>
      <c r="E43" s="441" t="s">
        <v>24</v>
      </c>
      <c r="F43" s="442" t="s">
        <v>25</v>
      </c>
      <c r="G43" s="442"/>
      <c r="H43" s="441" t="s">
        <v>410</v>
      </c>
      <c r="I43" s="441"/>
      <c r="K43" s="443">
        <f>'NZE2021'!B165</f>
        <v>2030</v>
      </c>
      <c r="L43" s="443">
        <f>'NZE2021'!C165</f>
        <v>1968</v>
      </c>
      <c r="N43" s="443">
        <f>'NZE2021'!D165</f>
        <v>1377</v>
      </c>
      <c r="P43" s="443">
        <f>'NZE2021'!E165</f>
        <v>542</v>
      </c>
      <c r="R43" s="443">
        <f>'NZE2021'!F165</f>
        <v>108</v>
      </c>
    </row>
    <row r="44" spans="1:57" x14ac:dyDescent="0.15">
      <c r="A44" s="7" t="s">
        <v>47</v>
      </c>
      <c r="B44" s="441" t="s">
        <v>261</v>
      </c>
      <c r="C44" s="441" t="s">
        <v>22</v>
      </c>
      <c r="D44" s="441" t="s">
        <v>18</v>
      </c>
      <c r="E44" s="441" t="s">
        <v>37</v>
      </c>
      <c r="F44" s="442" t="s">
        <v>30</v>
      </c>
      <c r="G44" s="442"/>
      <c r="H44" s="441" t="s">
        <v>410</v>
      </c>
      <c r="I44" s="441"/>
      <c r="K44" s="443"/>
      <c r="L44" s="443"/>
      <c r="N44" s="443"/>
      <c r="P44" s="443"/>
      <c r="R44" s="443"/>
    </row>
    <row r="45" spans="1:57" x14ac:dyDescent="0.15">
      <c r="A45" s="7" t="s">
        <v>42</v>
      </c>
      <c r="B45" s="441" t="s">
        <v>261</v>
      </c>
      <c r="C45" s="441" t="s">
        <v>22</v>
      </c>
      <c r="D45" s="441" t="s">
        <v>18</v>
      </c>
      <c r="E45" s="441" t="s">
        <v>31</v>
      </c>
      <c r="F45" s="442" t="s">
        <v>195</v>
      </c>
      <c r="G45" s="442"/>
      <c r="H45" s="441" t="s">
        <v>410</v>
      </c>
      <c r="I45" s="441"/>
      <c r="K45" s="443">
        <f>'NZE2021'!B197</f>
        <v>190062</v>
      </c>
      <c r="L45" s="443">
        <f>'NZE2021'!C197</f>
        <v>192558</v>
      </c>
      <c r="N45" s="443">
        <f>'NZE2021'!D197</f>
        <v>235745</v>
      </c>
      <c r="P45" s="443">
        <f>'NZE2021'!E197</f>
        <v>290696</v>
      </c>
      <c r="R45" s="443">
        <f>'NZE2021'!F197</f>
        <v>345183</v>
      </c>
    </row>
    <row r="46" spans="1:57" x14ac:dyDescent="0.15">
      <c r="A46" s="441" t="s">
        <v>48</v>
      </c>
      <c r="B46" s="441" t="s">
        <v>23</v>
      </c>
      <c r="C46" s="441" t="s">
        <v>22</v>
      </c>
      <c r="D46" s="441" t="s">
        <v>18</v>
      </c>
      <c r="E46" s="441" t="s">
        <v>33</v>
      </c>
      <c r="F46" s="441" t="s">
        <v>193</v>
      </c>
      <c r="G46" s="441"/>
      <c r="H46" s="441" t="s">
        <v>29</v>
      </c>
      <c r="J46" s="53"/>
      <c r="K46" s="7">
        <f>'NZE2021'!B182</f>
        <v>0.46800000000000003</v>
      </c>
      <c r="L46" s="7">
        <f>'NZE2021'!C182</f>
        <v>0.438</v>
      </c>
      <c r="M46" s="53"/>
      <c r="N46" s="53">
        <f>'NZE2021'!D182</f>
        <v>0.13800000000000001</v>
      </c>
      <c r="O46" s="53"/>
      <c r="P46" s="53">
        <f>'NZE2021'!E182</f>
        <v>-1E-3</v>
      </c>
      <c r="Q46" s="53"/>
      <c r="R46" s="53">
        <f>'NZE2021'!F182</f>
        <v>-5.0000000000000001E-3</v>
      </c>
      <c r="S46" s="53"/>
      <c r="T46" s="53"/>
    </row>
    <row r="47" spans="1:57" x14ac:dyDescent="0.15">
      <c r="A47" s="441"/>
      <c r="B47" s="441"/>
      <c r="C47" s="441"/>
      <c r="D47" s="441"/>
      <c r="E47" s="441"/>
      <c r="F47" s="441"/>
      <c r="G47" s="441"/>
      <c r="H47" s="441"/>
      <c r="J47" s="53"/>
      <c r="M47" s="53"/>
      <c r="N47" s="53"/>
      <c r="O47" s="53"/>
      <c r="P47" s="53"/>
      <c r="Q47" s="53"/>
      <c r="R47" s="53"/>
      <c r="S47" s="53"/>
      <c r="T47" s="53"/>
    </row>
    <row r="48" spans="1:57" ht="16" x14ac:dyDescent="0.2">
      <c r="J48" s="57" t="s">
        <v>197</v>
      </c>
      <c r="BE48" s="7" t="s">
        <v>413</v>
      </c>
    </row>
    <row r="49" spans="1:58" s="45" customFormat="1" ht="16" x14ac:dyDescent="0.2">
      <c r="A49" s="44" t="s">
        <v>46</v>
      </c>
      <c r="B49" s="44" t="s">
        <v>13</v>
      </c>
      <c r="C49" s="44" t="s">
        <v>20</v>
      </c>
      <c r="D49" s="44" t="s">
        <v>14</v>
      </c>
      <c r="E49" s="44" t="s">
        <v>16</v>
      </c>
      <c r="F49" s="44" t="s">
        <v>15</v>
      </c>
      <c r="G49" s="44" t="s">
        <v>35</v>
      </c>
      <c r="H49" s="44" t="s">
        <v>21</v>
      </c>
      <c r="I49" s="46">
        <v>2010</v>
      </c>
      <c r="J49" s="46">
        <v>2014</v>
      </c>
      <c r="K49" s="46">
        <v>2015</v>
      </c>
      <c r="L49" s="46">
        <v>2016</v>
      </c>
      <c r="M49" s="46">
        <v>2017</v>
      </c>
      <c r="N49" s="46">
        <v>2018</v>
      </c>
      <c r="O49" s="46">
        <v>2019</v>
      </c>
      <c r="P49" s="46">
        <v>2020</v>
      </c>
      <c r="Q49" s="46">
        <v>2021</v>
      </c>
      <c r="R49" s="46">
        <v>2022</v>
      </c>
      <c r="S49" s="46">
        <v>2023</v>
      </c>
      <c r="T49" s="46">
        <v>2024</v>
      </c>
      <c r="U49" s="46">
        <v>2025</v>
      </c>
      <c r="V49" s="46">
        <v>2026</v>
      </c>
      <c r="W49" s="46">
        <v>2027</v>
      </c>
      <c r="X49" s="46">
        <v>2028</v>
      </c>
      <c r="Y49" s="46">
        <v>2029</v>
      </c>
      <c r="Z49" s="46">
        <v>2030</v>
      </c>
      <c r="AA49" s="46">
        <v>2031</v>
      </c>
      <c r="AB49" s="46">
        <v>2032</v>
      </c>
      <c r="AC49" s="46">
        <v>2033</v>
      </c>
      <c r="AD49" s="46">
        <v>2034</v>
      </c>
      <c r="AE49" s="46">
        <v>2035</v>
      </c>
      <c r="AF49" s="46">
        <v>2036</v>
      </c>
      <c r="AG49" s="46">
        <v>2037</v>
      </c>
      <c r="AH49" s="46">
        <v>2038</v>
      </c>
      <c r="AI49" s="46">
        <v>2039</v>
      </c>
      <c r="AJ49" s="46">
        <v>2040</v>
      </c>
      <c r="AK49" s="46">
        <v>2041</v>
      </c>
      <c r="AL49" s="46">
        <v>2042</v>
      </c>
      <c r="AM49" s="46">
        <v>2043</v>
      </c>
      <c r="AN49" s="46">
        <v>2044</v>
      </c>
      <c r="AO49" s="46">
        <v>2045</v>
      </c>
      <c r="AP49" s="46">
        <v>2046</v>
      </c>
      <c r="AQ49" s="46">
        <v>2047</v>
      </c>
      <c r="AR49" s="46">
        <v>2048</v>
      </c>
      <c r="AS49" s="46">
        <v>2049</v>
      </c>
      <c r="AT49" s="46">
        <v>2050</v>
      </c>
      <c r="AU49" s="46">
        <v>2051</v>
      </c>
      <c r="AV49" s="46">
        <v>2052</v>
      </c>
      <c r="AW49" s="46">
        <v>2053</v>
      </c>
      <c r="AX49" s="46">
        <v>2054</v>
      </c>
      <c r="AY49" s="46">
        <v>2055</v>
      </c>
      <c r="AZ49" s="46">
        <v>2056</v>
      </c>
      <c r="BA49" s="46">
        <v>2057</v>
      </c>
      <c r="BB49" s="46">
        <v>2058</v>
      </c>
      <c r="BC49" s="46">
        <v>2059</v>
      </c>
      <c r="BD49" s="46">
        <v>2060</v>
      </c>
      <c r="BE49" s="45" t="s">
        <v>259</v>
      </c>
      <c r="BF49" s="45" t="s">
        <v>320</v>
      </c>
    </row>
    <row r="50" spans="1:58" x14ac:dyDescent="0.15">
      <c r="A50" s="7" t="s">
        <v>41</v>
      </c>
      <c r="B50" s="7" t="s">
        <v>23</v>
      </c>
      <c r="C50" s="7" t="s">
        <v>22</v>
      </c>
      <c r="D50" s="7" t="s">
        <v>18</v>
      </c>
      <c r="E50" s="7" t="s">
        <v>24</v>
      </c>
      <c r="F50" s="47" t="str">
        <f t="shared" ref="F50:F78" si="2">+F2</f>
        <v>MtCO2</v>
      </c>
      <c r="G50" s="47" t="s">
        <v>74</v>
      </c>
      <c r="H50" s="47" t="s">
        <v>76</v>
      </c>
      <c r="I50" s="47"/>
      <c r="J50" s="51">
        <f t="shared" ref="J50:J75" si="3">+J2</f>
        <v>34253.904473515526</v>
      </c>
      <c r="K50" s="52">
        <f t="shared" ref="K50:T59" si="4">$J50-(($J50-$U50)/(11)*(K$49-$J$49))</f>
        <v>33608.678545070041</v>
      </c>
      <c r="L50" s="52">
        <f t="shared" si="4"/>
        <v>32963.452616624563</v>
      </c>
      <c r="M50" s="52">
        <f t="shared" si="4"/>
        <v>32318.226688179082</v>
      </c>
      <c r="N50" s="52">
        <f t="shared" si="4"/>
        <v>31673.000759733601</v>
      </c>
      <c r="O50" s="52">
        <f t="shared" si="4"/>
        <v>31027.774831288116</v>
      </c>
      <c r="P50" s="52">
        <f t="shared" si="4"/>
        <v>30382.548902842638</v>
      </c>
      <c r="Q50" s="52">
        <f t="shared" si="4"/>
        <v>29737.322974397153</v>
      </c>
      <c r="R50" s="52">
        <f t="shared" si="4"/>
        <v>29092.097045951672</v>
      </c>
      <c r="S50" s="52">
        <f t="shared" si="4"/>
        <v>28446.871117506191</v>
      </c>
      <c r="T50" s="52">
        <f t="shared" si="4"/>
        <v>27801.64518906071</v>
      </c>
      <c r="U50" s="51">
        <f t="shared" ref="U50:U75" si="5">+M2</f>
        <v>27156.419260615228</v>
      </c>
      <c r="V50" s="52">
        <f t="shared" ref="V50:Y75" si="6">$U50-(($U50-$Z50)/(5)*(V$49-$U$49))</f>
        <v>26138.734027377806</v>
      </c>
      <c r="W50" s="52">
        <f t="shared" si="6"/>
        <v>25121.048794140388</v>
      </c>
      <c r="X50" s="52">
        <f t="shared" si="6"/>
        <v>24103.363560902966</v>
      </c>
      <c r="Y50" s="52">
        <f t="shared" si="6"/>
        <v>23085.678327665548</v>
      </c>
      <c r="Z50" s="51">
        <f t="shared" ref="Z50:Z75" si="7">+N2</f>
        <v>22067.993094428126</v>
      </c>
      <c r="AA50" s="52">
        <f t="shared" ref="AA50:AD75" si="8">$Z50-(($Z50-$AE50)/(5)*(AA$49-$Z$49))</f>
        <v>21070.565197903044</v>
      </c>
      <c r="AB50" s="52">
        <f t="shared" si="8"/>
        <v>20073.137301377963</v>
      </c>
      <c r="AC50" s="52">
        <f t="shared" si="8"/>
        <v>19075.709404852882</v>
      </c>
      <c r="AD50" s="52">
        <f t="shared" si="8"/>
        <v>18078.281508327796</v>
      </c>
      <c r="AE50" s="51">
        <f t="shared" ref="AE50:AE75" si="9">+O2</f>
        <v>17080.853611802715</v>
      </c>
      <c r="AF50" s="52">
        <f t="shared" ref="AF50:AI75" si="10">$AE50-(($AE50-$AJ50)/(5)*(AF$49-$AE$49))</f>
        <v>16118.33370941369</v>
      </c>
      <c r="AG50" s="52">
        <f t="shared" si="10"/>
        <v>15155.813807024664</v>
      </c>
      <c r="AH50" s="52">
        <f t="shared" si="10"/>
        <v>14193.293904635641</v>
      </c>
      <c r="AI50" s="52">
        <f t="shared" si="10"/>
        <v>13230.774002246615</v>
      </c>
      <c r="AJ50" s="51">
        <f t="shared" ref="AJ50:AJ75" si="11">+P2</f>
        <v>12268.25409985759</v>
      </c>
      <c r="AK50" s="52">
        <f t="shared" ref="AK50:AN75" si="12">$AJ50-(($AJ50-$AO50)/(5)*(AK$49-$AJ$49))</f>
        <v>11422.637197780421</v>
      </c>
      <c r="AL50" s="52">
        <f t="shared" si="12"/>
        <v>10577.020295703252</v>
      </c>
      <c r="AM50" s="52">
        <f t="shared" si="12"/>
        <v>9731.4033936260821</v>
      </c>
      <c r="AN50" s="52">
        <f t="shared" si="12"/>
        <v>8885.7864915489135</v>
      </c>
      <c r="AO50" s="51">
        <f t="shared" ref="AO50:AO75" si="13">+Q2</f>
        <v>8040.169589471745</v>
      </c>
      <c r="AP50" s="52">
        <f t="shared" ref="AP50:AS75" si="14">$AO50-(($AO50-$AT50)/(5)*(AP$49-$AO$49))</f>
        <v>7377.4060350251566</v>
      </c>
      <c r="AQ50" s="52">
        <f t="shared" si="14"/>
        <v>6714.6424805785682</v>
      </c>
      <c r="AR50" s="52">
        <f t="shared" si="14"/>
        <v>6051.8789261319798</v>
      </c>
      <c r="AS50" s="52">
        <f t="shared" si="14"/>
        <v>5389.1153716853914</v>
      </c>
      <c r="AT50" s="51">
        <f t="shared" ref="AT50:AT75" si="15">+R2</f>
        <v>4726.3518172388031</v>
      </c>
      <c r="AU50" s="52">
        <f t="shared" ref="AU50:AX71" si="16">$AT50-(($AT50-$AY50)/(5)*(AU$49-$AT$49))</f>
        <v>4139.7992052560685</v>
      </c>
      <c r="AV50" s="52">
        <f t="shared" si="16"/>
        <v>3553.246593273333</v>
      </c>
      <c r="AW50" s="52">
        <f t="shared" si="16"/>
        <v>2966.6939812905985</v>
      </c>
      <c r="AX50" s="52">
        <f t="shared" si="16"/>
        <v>2380.1413693078634</v>
      </c>
      <c r="AY50" s="51">
        <f t="shared" ref="AY50:AY71" si="17">+S2</f>
        <v>1793.5887573251284</v>
      </c>
      <c r="AZ50" s="52">
        <f t="shared" ref="AZ50:BC71" si="18">$AY50-(($AY50-$BD50)/(5)*(AZ$49-$AY$49))</f>
        <v>1427.5530319554659</v>
      </c>
      <c r="BA50" s="52">
        <f t="shared" si="18"/>
        <v>1061.5173065858037</v>
      </c>
      <c r="BB50" s="52">
        <f t="shared" si="18"/>
        <v>695.48158121614142</v>
      </c>
      <c r="BC50" s="52">
        <f t="shared" si="18"/>
        <v>329.44585584647893</v>
      </c>
      <c r="BD50" s="51">
        <f t="shared" ref="BD50:BD71" si="19">+T2</f>
        <v>-36.589869523183552</v>
      </c>
      <c r="BF50" s="440">
        <f>($U$49-$P$49)*(0.5*(P50-U50)+U50)+($Z$49-$U$49)*(0.5*(U50-Z50)+Z50)+($AE$49-$Z$49)*(0.5*(Z50-AE50)+AE50)+($AJ$49-$AE$49)*(0.5*(AE50-AJ50)+AJ50)+($AO$49-$AJ$49)*(0.5*(AJ50-AO50)+AO50)+($AT$49-$AO$49)*(0.5*(AO50-AT50)+AT50)</f>
        <v>520840.70008108061</v>
      </c>
    </row>
    <row r="51" spans="1:58" x14ac:dyDescent="0.15">
      <c r="A51" s="7" t="s">
        <v>41</v>
      </c>
      <c r="B51" s="7" t="s">
        <v>23</v>
      </c>
      <c r="C51" s="7" t="s">
        <v>22</v>
      </c>
      <c r="D51" s="7" t="s">
        <v>18</v>
      </c>
      <c r="E51" s="7" t="s">
        <v>24</v>
      </c>
      <c r="F51" s="47" t="str">
        <f t="shared" si="2"/>
        <v>MtCO2</v>
      </c>
      <c r="G51" s="47" t="s">
        <v>36</v>
      </c>
      <c r="H51" s="7" t="s">
        <v>6</v>
      </c>
      <c r="J51" s="51">
        <f t="shared" si="3"/>
        <v>2338.4101620461929</v>
      </c>
      <c r="K51" s="52">
        <f t="shared" si="4"/>
        <v>2260.9591339869899</v>
      </c>
      <c r="L51" s="52">
        <f t="shared" si="4"/>
        <v>2183.5081059277863</v>
      </c>
      <c r="M51" s="52">
        <f t="shared" si="4"/>
        <v>2106.0570778685833</v>
      </c>
      <c r="N51" s="52">
        <f t="shared" si="4"/>
        <v>2028.6060498093798</v>
      </c>
      <c r="O51" s="52">
        <f t="shared" si="4"/>
        <v>1951.1550217501765</v>
      </c>
      <c r="P51" s="52">
        <f t="shared" si="4"/>
        <v>1873.7039936909732</v>
      </c>
      <c r="Q51" s="52">
        <f t="shared" si="4"/>
        <v>1796.2529656317702</v>
      </c>
      <c r="R51" s="52">
        <f t="shared" si="4"/>
        <v>1718.8019375725667</v>
      </c>
      <c r="S51" s="52">
        <f t="shared" si="4"/>
        <v>1641.3509095133636</v>
      </c>
      <c r="T51" s="52">
        <f t="shared" si="4"/>
        <v>1563.8998814541601</v>
      </c>
      <c r="U51" s="51">
        <f t="shared" si="5"/>
        <v>1486.448853394957</v>
      </c>
      <c r="V51" s="52">
        <f t="shared" si="6"/>
        <v>1421.6008836916469</v>
      </c>
      <c r="W51" s="52">
        <f t="shared" si="6"/>
        <v>1356.7529139883368</v>
      </c>
      <c r="X51" s="52">
        <f t="shared" si="6"/>
        <v>1291.9049442850269</v>
      </c>
      <c r="Y51" s="52">
        <f t="shared" si="6"/>
        <v>1227.0569745817168</v>
      </c>
      <c r="Z51" s="51">
        <f t="shared" si="7"/>
        <v>1162.2090048784066</v>
      </c>
      <c r="AA51" s="52">
        <f t="shared" si="8"/>
        <v>1109.2452528783072</v>
      </c>
      <c r="AB51" s="52">
        <f t="shared" si="8"/>
        <v>1056.2815008782079</v>
      </c>
      <c r="AC51" s="52">
        <f t="shared" si="8"/>
        <v>1003.3177488781084</v>
      </c>
      <c r="AD51" s="52">
        <f t="shared" si="8"/>
        <v>950.35399687800907</v>
      </c>
      <c r="AE51" s="51">
        <f t="shared" si="9"/>
        <v>897.39024487790971</v>
      </c>
      <c r="AF51" s="52">
        <f t="shared" si="10"/>
        <v>873.54658220491535</v>
      </c>
      <c r="AG51" s="52">
        <f t="shared" si="10"/>
        <v>849.70291953192088</v>
      </c>
      <c r="AH51" s="52">
        <f t="shared" si="10"/>
        <v>825.85925685892653</v>
      </c>
      <c r="AI51" s="52">
        <f t="shared" si="10"/>
        <v>802.01559418593206</v>
      </c>
      <c r="AJ51" s="51">
        <f t="shared" si="11"/>
        <v>778.1719315129377</v>
      </c>
      <c r="AK51" s="52">
        <f t="shared" si="12"/>
        <v>751.94756566882381</v>
      </c>
      <c r="AL51" s="52">
        <f t="shared" si="12"/>
        <v>725.72319982470992</v>
      </c>
      <c r="AM51" s="52">
        <f t="shared" si="12"/>
        <v>699.49883398059592</v>
      </c>
      <c r="AN51" s="52">
        <f t="shared" si="12"/>
        <v>673.27446813648203</v>
      </c>
      <c r="AO51" s="51">
        <f t="shared" si="13"/>
        <v>647.05010229236814</v>
      </c>
      <c r="AP51" s="52">
        <f t="shared" si="14"/>
        <v>615.16200529191997</v>
      </c>
      <c r="AQ51" s="52">
        <f t="shared" si="14"/>
        <v>583.27390829147168</v>
      </c>
      <c r="AR51" s="52">
        <f t="shared" si="14"/>
        <v>551.38581129102351</v>
      </c>
      <c r="AS51" s="52">
        <f t="shared" si="14"/>
        <v>519.49771429057535</v>
      </c>
      <c r="AT51" s="51">
        <f t="shared" si="15"/>
        <v>487.60961729012712</v>
      </c>
      <c r="AU51" s="52">
        <f t="shared" si="16"/>
        <v>465.65219188481353</v>
      </c>
      <c r="AV51" s="52">
        <f t="shared" si="16"/>
        <v>443.6947664795</v>
      </c>
      <c r="AW51" s="52">
        <f t="shared" si="16"/>
        <v>421.73734107418642</v>
      </c>
      <c r="AX51" s="52">
        <f t="shared" si="16"/>
        <v>399.77991566887283</v>
      </c>
      <c r="AY51" s="51">
        <f t="shared" si="17"/>
        <v>377.8224902635593</v>
      </c>
      <c r="AZ51" s="52">
        <f t="shared" si="18"/>
        <v>343.84321660009789</v>
      </c>
      <c r="BA51" s="52">
        <f t="shared" si="18"/>
        <v>309.86394293663648</v>
      </c>
      <c r="BB51" s="52">
        <f t="shared" si="18"/>
        <v>275.88466927317512</v>
      </c>
      <c r="BC51" s="52">
        <f t="shared" si="18"/>
        <v>241.90539560971371</v>
      </c>
      <c r="BD51" s="51">
        <f t="shared" si="19"/>
        <v>207.92612194625229</v>
      </c>
      <c r="BF51" s="440">
        <f>($U$49-$P$49)*(0.5*(P51-U51)+U51)+($Z$49-$U$49)*(0.5*(U51-Z51)+Z51)+($AE$49-$Z$49)*(0.5*(Z51-AE51)+AE51)+($AJ$49-$AE$49)*(0.5*(AE51-AJ51)+AJ51)+($AO$49-$AJ$49)*(0.5*(AJ51-AO51)+AO51)+($AT$49-$AO$49)*(0.5*(AO51-AT51)+AT51)</f>
        <v>30759.634712235649</v>
      </c>
    </row>
    <row r="52" spans="1:58" x14ac:dyDescent="0.15">
      <c r="A52" s="7" t="s">
        <v>41</v>
      </c>
      <c r="B52" s="7" t="s">
        <v>23</v>
      </c>
      <c r="C52" s="7" t="s">
        <v>22</v>
      </c>
      <c r="D52" s="7" t="s">
        <v>18</v>
      </c>
      <c r="E52" s="7" t="s">
        <v>24</v>
      </c>
      <c r="F52" s="47" t="str">
        <f t="shared" si="2"/>
        <v>MtCO2</v>
      </c>
      <c r="G52" s="47" t="s">
        <v>36</v>
      </c>
      <c r="H52" s="7" t="s">
        <v>7</v>
      </c>
      <c r="J52" s="51">
        <f t="shared" si="3"/>
        <v>2230.1009269397146</v>
      </c>
      <c r="K52" s="52">
        <f t="shared" si="4"/>
        <v>2220.6132080923426</v>
      </c>
      <c r="L52" s="52">
        <f t="shared" si="4"/>
        <v>2211.1254892449701</v>
      </c>
      <c r="M52" s="52">
        <f t="shared" si="4"/>
        <v>2201.6377703975982</v>
      </c>
      <c r="N52" s="52">
        <f t="shared" si="4"/>
        <v>2192.1500515502262</v>
      </c>
      <c r="O52" s="52">
        <f t="shared" si="4"/>
        <v>2182.6623327028542</v>
      </c>
      <c r="P52" s="52">
        <f t="shared" si="4"/>
        <v>2173.1746138554818</v>
      </c>
      <c r="Q52" s="52">
        <f t="shared" si="4"/>
        <v>2163.6868950081098</v>
      </c>
      <c r="R52" s="52">
        <f t="shared" si="4"/>
        <v>2154.1991761607378</v>
      </c>
      <c r="S52" s="52">
        <f t="shared" si="4"/>
        <v>2144.7114573133658</v>
      </c>
      <c r="T52" s="52">
        <f t="shared" si="4"/>
        <v>2135.2237384659934</v>
      </c>
      <c r="U52" s="51">
        <f t="shared" si="5"/>
        <v>2125.7360196186214</v>
      </c>
      <c r="V52" s="52">
        <f t="shared" si="6"/>
        <v>2075.8851893534538</v>
      </c>
      <c r="W52" s="52">
        <f t="shared" si="6"/>
        <v>2026.0343590882858</v>
      </c>
      <c r="X52" s="52">
        <f t="shared" si="6"/>
        <v>1976.1835288231182</v>
      </c>
      <c r="Y52" s="52">
        <f t="shared" si="6"/>
        <v>1926.3326985579504</v>
      </c>
      <c r="Z52" s="51">
        <f t="shared" si="7"/>
        <v>1876.4818682927826</v>
      </c>
      <c r="AA52" s="52">
        <f t="shared" si="8"/>
        <v>1824.4157360666811</v>
      </c>
      <c r="AB52" s="52">
        <f t="shared" si="8"/>
        <v>1772.3496038405799</v>
      </c>
      <c r="AC52" s="52">
        <f t="shared" si="8"/>
        <v>1720.2834716144785</v>
      </c>
      <c r="AD52" s="52">
        <f t="shared" si="8"/>
        <v>1668.2173393883772</v>
      </c>
      <c r="AE52" s="51">
        <f t="shared" si="9"/>
        <v>1616.1512071622758</v>
      </c>
      <c r="AF52" s="52">
        <f t="shared" si="10"/>
        <v>1561.5240993648815</v>
      </c>
      <c r="AG52" s="52">
        <f t="shared" si="10"/>
        <v>1506.8969915674872</v>
      </c>
      <c r="AH52" s="52">
        <f t="shared" si="10"/>
        <v>1452.2698837700932</v>
      </c>
      <c r="AI52" s="52">
        <f t="shared" si="10"/>
        <v>1397.6427759726989</v>
      </c>
      <c r="AJ52" s="51">
        <f t="shared" si="11"/>
        <v>1343.0156681753047</v>
      </c>
      <c r="AK52" s="52">
        <f t="shared" si="12"/>
        <v>1316.0531177178821</v>
      </c>
      <c r="AL52" s="52">
        <f t="shared" si="12"/>
        <v>1289.0905672604595</v>
      </c>
      <c r="AM52" s="52">
        <f t="shared" si="12"/>
        <v>1262.1280168030369</v>
      </c>
      <c r="AN52" s="52">
        <f t="shared" si="12"/>
        <v>1235.1654663456143</v>
      </c>
      <c r="AO52" s="51">
        <f t="shared" si="13"/>
        <v>1208.2029158881917</v>
      </c>
      <c r="AP52" s="52">
        <f t="shared" si="14"/>
        <v>1139.6569172807356</v>
      </c>
      <c r="AQ52" s="52">
        <f t="shared" si="14"/>
        <v>1071.1109186732795</v>
      </c>
      <c r="AR52" s="52">
        <f t="shared" si="14"/>
        <v>1002.5649200658232</v>
      </c>
      <c r="AS52" s="52">
        <f t="shared" si="14"/>
        <v>934.01892145836712</v>
      </c>
      <c r="AT52" s="51">
        <f t="shared" si="15"/>
        <v>865.472922850911</v>
      </c>
      <c r="AU52" s="52">
        <f t="shared" si="16"/>
        <v>838.12862834463408</v>
      </c>
      <c r="AV52" s="52">
        <f t="shared" si="16"/>
        <v>810.78433383835727</v>
      </c>
      <c r="AW52" s="52">
        <f t="shared" si="16"/>
        <v>783.44003933208035</v>
      </c>
      <c r="AX52" s="52">
        <f t="shared" si="16"/>
        <v>756.09574482580354</v>
      </c>
      <c r="AY52" s="51">
        <f t="shared" si="17"/>
        <v>728.75145031952661</v>
      </c>
      <c r="AZ52" s="52">
        <f t="shared" si="18"/>
        <v>680.06026256718258</v>
      </c>
      <c r="BA52" s="52">
        <f t="shared" si="18"/>
        <v>631.36907481483865</v>
      </c>
      <c r="BB52" s="52">
        <f t="shared" si="18"/>
        <v>582.67788706249462</v>
      </c>
      <c r="BC52" s="52">
        <f t="shared" si="18"/>
        <v>533.9866993101507</v>
      </c>
      <c r="BD52" s="51">
        <f t="shared" si="19"/>
        <v>485.29551155780666</v>
      </c>
      <c r="BF52" s="440">
        <f t="shared" ref="BF52:BF59" si="20">($U$49-$P$49)*(0.5*(P52-U52)+U52)+($Z$49-$U$49)*(0.5*(U52-Z52)+Z52)+($AE$49-$Z$49)*(0.5*(Z52-AE52)+AE52)+($AJ$49-$AE$49)*(0.5*(AE52-AJ52)+AJ52)+($AO$49-$AJ$49)*(0.5*(AJ52-AO52)+AO52)+($AT$49-$AO$49)*(0.5*(AO52-AT52)+AT52)</f>
        <v>48444.55723745186</v>
      </c>
    </row>
    <row r="53" spans="1:58" x14ac:dyDescent="0.15">
      <c r="A53" s="7" t="s">
        <v>41</v>
      </c>
      <c r="B53" s="7" t="s">
        <v>23</v>
      </c>
      <c r="C53" s="7" t="s">
        <v>22</v>
      </c>
      <c r="D53" s="7" t="s">
        <v>18</v>
      </c>
      <c r="E53" s="7" t="s">
        <v>24</v>
      </c>
      <c r="F53" s="47" t="str">
        <f t="shared" si="2"/>
        <v>MtCO2</v>
      </c>
      <c r="G53" s="47" t="s">
        <v>36</v>
      </c>
      <c r="H53" s="7" t="s">
        <v>8</v>
      </c>
      <c r="J53" s="51">
        <f t="shared" si="3"/>
        <v>260.65242521456832</v>
      </c>
      <c r="K53" s="52">
        <f t="shared" si="4"/>
        <v>263.73960724579376</v>
      </c>
      <c r="L53" s="52">
        <f t="shared" si="4"/>
        <v>266.8267892770192</v>
      </c>
      <c r="M53" s="52">
        <f t="shared" si="4"/>
        <v>269.91397130824458</v>
      </c>
      <c r="N53" s="52">
        <f t="shared" si="4"/>
        <v>273.00115333947002</v>
      </c>
      <c r="O53" s="52">
        <f t="shared" si="4"/>
        <v>276.08833537069546</v>
      </c>
      <c r="P53" s="52">
        <f t="shared" si="4"/>
        <v>279.1755174019209</v>
      </c>
      <c r="Q53" s="52">
        <f t="shared" si="4"/>
        <v>282.26269943314634</v>
      </c>
      <c r="R53" s="52">
        <f t="shared" si="4"/>
        <v>285.34988146437178</v>
      </c>
      <c r="S53" s="52">
        <f t="shared" si="4"/>
        <v>288.43706349559716</v>
      </c>
      <c r="T53" s="52">
        <f t="shared" si="4"/>
        <v>291.5242455268226</v>
      </c>
      <c r="U53" s="51">
        <f t="shared" si="5"/>
        <v>294.61142755804804</v>
      </c>
      <c r="V53" s="52">
        <f t="shared" si="6"/>
        <v>292.34388464172901</v>
      </c>
      <c r="W53" s="52">
        <f t="shared" si="6"/>
        <v>290.07634172540992</v>
      </c>
      <c r="X53" s="52">
        <f t="shared" si="6"/>
        <v>287.80879880909089</v>
      </c>
      <c r="Y53" s="52">
        <f t="shared" si="6"/>
        <v>285.5412558927718</v>
      </c>
      <c r="Z53" s="51">
        <f t="shared" si="7"/>
        <v>283.27371297645277</v>
      </c>
      <c r="AA53" s="52">
        <f t="shared" si="8"/>
        <v>280.00388895977392</v>
      </c>
      <c r="AB53" s="52">
        <f t="shared" si="8"/>
        <v>276.73406494309501</v>
      </c>
      <c r="AC53" s="52">
        <f t="shared" si="8"/>
        <v>273.46424092641615</v>
      </c>
      <c r="AD53" s="52">
        <f t="shared" si="8"/>
        <v>270.19441690973724</v>
      </c>
      <c r="AE53" s="51">
        <f t="shared" si="9"/>
        <v>266.92459289305839</v>
      </c>
      <c r="AF53" s="52">
        <f t="shared" si="10"/>
        <v>260.77064880327123</v>
      </c>
      <c r="AG53" s="52">
        <f t="shared" si="10"/>
        <v>254.61670471348413</v>
      </c>
      <c r="AH53" s="52">
        <f t="shared" si="10"/>
        <v>248.46276062369697</v>
      </c>
      <c r="AI53" s="52">
        <f t="shared" si="10"/>
        <v>242.30881653390983</v>
      </c>
      <c r="AJ53" s="51">
        <f t="shared" si="11"/>
        <v>236.1548724441227</v>
      </c>
      <c r="AK53" s="52">
        <f t="shared" si="12"/>
        <v>229.900699765719</v>
      </c>
      <c r="AL53" s="52">
        <f t="shared" si="12"/>
        <v>223.64652708731529</v>
      </c>
      <c r="AM53" s="52">
        <f t="shared" si="12"/>
        <v>217.39235440891161</v>
      </c>
      <c r="AN53" s="52">
        <f t="shared" si="12"/>
        <v>211.13818173050791</v>
      </c>
      <c r="AO53" s="51">
        <f t="shared" si="13"/>
        <v>204.8840090521042</v>
      </c>
      <c r="AP53" s="52">
        <f t="shared" si="14"/>
        <v>198.09947267058183</v>
      </c>
      <c r="AQ53" s="52">
        <f t="shared" si="14"/>
        <v>191.31493628905946</v>
      </c>
      <c r="AR53" s="52">
        <f t="shared" si="14"/>
        <v>184.53039990753706</v>
      </c>
      <c r="AS53" s="52">
        <f t="shared" si="14"/>
        <v>177.74586352601469</v>
      </c>
      <c r="AT53" s="51">
        <f t="shared" si="15"/>
        <v>170.96132714449232</v>
      </c>
      <c r="AU53" s="52">
        <f t="shared" si="16"/>
        <v>164.50172314536118</v>
      </c>
      <c r="AV53" s="52">
        <f t="shared" si="16"/>
        <v>158.04211914623005</v>
      </c>
      <c r="AW53" s="52">
        <f t="shared" si="16"/>
        <v>151.58251514709895</v>
      </c>
      <c r="AX53" s="52">
        <f t="shared" si="16"/>
        <v>145.12291114796781</v>
      </c>
      <c r="AY53" s="51">
        <f t="shared" si="17"/>
        <v>138.66330714883668</v>
      </c>
      <c r="AZ53" s="52">
        <f t="shared" si="18"/>
        <v>136.0162768838297</v>
      </c>
      <c r="BA53" s="52">
        <f t="shared" si="18"/>
        <v>133.3692466188227</v>
      </c>
      <c r="BB53" s="52">
        <f t="shared" si="18"/>
        <v>130.72221635381572</v>
      </c>
      <c r="BC53" s="52">
        <f t="shared" si="18"/>
        <v>128.07518608880872</v>
      </c>
      <c r="BD53" s="51">
        <f t="shared" si="19"/>
        <v>125.42815582380175</v>
      </c>
      <c r="BF53" s="440">
        <f t="shared" si="20"/>
        <v>7554.5851859849645</v>
      </c>
    </row>
    <row r="54" spans="1:58" x14ac:dyDescent="0.15">
      <c r="A54" s="7" t="s">
        <v>41</v>
      </c>
      <c r="B54" s="7" t="s">
        <v>23</v>
      </c>
      <c r="C54" s="7" t="s">
        <v>22</v>
      </c>
      <c r="D54" s="7" t="s">
        <v>18</v>
      </c>
      <c r="E54" s="7" t="s">
        <v>24</v>
      </c>
      <c r="F54" s="47" t="str">
        <f t="shared" si="2"/>
        <v>MtCO2</v>
      </c>
      <c r="G54" s="47" t="s">
        <v>36</v>
      </c>
      <c r="H54" s="7" t="s">
        <v>28</v>
      </c>
      <c r="J54" s="51">
        <f t="shared" si="3"/>
        <v>194.41575097860326</v>
      </c>
      <c r="K54" s="52">
        <f t="shared" si="4"/>
        <v>188.85072717685813</v>
      </c>
      <c r="L54" s="52">
        <f t="shared" si="4"/>
        <v>183.285703375113</v>
      </c>
      <c r="M54" s="52">
        <f t="shared" si="4"/>
        <v>177.72067957336787</v>
      </c>
      <c r="N54" s="52">
        <f t="shared" si="4"/>
        <v>172.15565577162275</v>
      </c>
      <c r="O54" s="52">
        <f t="shared" si="4"/>
        <v>166.59063196987762</v>
      </c>
      <c r="P54" s="52">
        <f t="shared" si="4"/>
        <v>161.02560816813252</v>
      </c>
      <c r="Q54" s="52">
        <f t="shared" si="4"/>
        <v>155.46058436638739</v>
      </c>
      <c r="R54" s="52">
        <f t="shared" si="4"/>
        <v>149.89556056464227</v>
      </c>
      <c r="S54" s="52">
        <f t="shared" si="4"/>
        <v>144.33053676289714</v>
      </c>
      <c r="T54" s="52">
        <f t="shared" si="4"/>
        <v>138.76551296115201</v>
      </c>
      <c r="U54" s="51">
        <f t="shared" si="5"/>
        <v>133.20048915940689</v>
      </c>
      <c r="V54" s="52">
        <f t="shared" si="6"/>
        <v>131.09018064701942</v>
      </c>
      <c r="W54" s="52">
        <f t="shared" si="6"/>
        <v>128.97987213463196</v>
      </c>
      <c r="X54" s="52">
        <f t="shared" si="6"/>
        <v>126.86956362224448</v>
      </c>
      <c r="Y54" s="52">
        <f t="shared" si="6"/>
        <v>124.75925510985701</v>
      </c>
      <c r="Z54" s="51">
        <f t="shared" si="7"/>
        <v>122.64894659746955</v>
      </c>
      <c r="AA54" s="52">
        <f t="shared" si="8"/>
        <v>117.81778717154522</v>
      </c>
      <c r="AB54" s="52">
        <f t="shared" si="8"/>
        <v>112.98662774562088</v>
      </c>
      <c r="AC54" s="52">
        <f t="shared" si="8"/>
        <v>108.15546831969655</v>
      </c>
      <c r="AD54" s="52">
        <f t="shared" si="8"/>
        <v>103.32430889377221</v>
      </c>
      <c r="AE54" s="51">
        <f t="shared" si="9"/>
        <v>98.493149467847886</v>
      </c>
      <c r="AF54" s="52">
        <f t="shared" si="10"/>
        <v>92.77768311558421</v>
      </c>
      <c r="AG54" s="52">
        <f t="shared" si="10"/>
        <v>87.062216763320535</v>
      </c>
      <c r="AH54" s="52">
        <f t="shared" si="10"/>
        <v>81.34675041105686</v>
      </c>
      <c r="AI54" s="52">
        <f t="shared" si="10"/>
        <v>75.63128405879317</v>
      </c>
      <c r="AJ54" s="51">
        <f t="shared" si="11"/>
        <v>69.915817706529495</v>
      </c>
      <c r="AK54" s="52">
        <f t="shared" si="12"/>
        <v>61.8793528921057</v>
      </c>
      <c r="AL54" s="52">
        <f t="shared" si="12"/>
        <v>53.842888077681899</v>
      </c>
      <c r="AM54" s="52">
        <f t="shared" si="12"/>
        <v>45.806423263258097</v>
      </c>
      <c r="AN54" s="52">
        <f t="shared" si="12"/>
        <v>37.769958448834302</v>
      </c>
      <c r="AO54" s="51">
        <f t="shared" si="13"/>
        <v>29.733493634410511</v>
      </c>
      <c r="AP54" s="52">
        <f t="shared" si="14"/>
        <v>29.502946505755055</v>
      </c>
      <c r="AQ54" s="52">
        <f t="shared" si="14"/>
        <v>29.272399377099603</v>
      </c>
      <c r="AR54" s="52">
        <f t="shared" si="14"/>
        <v>29.041852248444147</v>
      </c>
      <c r="AS54" s="52">
        <f t="shared" si="14"/>
        <v>28.811305119788695</v>
      </c>
      <c r="AT54" s="51">
        <f t="shared" si="15"/>
        <v>28.58075799113324</v>
      </c>
      <c r="AU54" s="52">
        <f t="shared" si="16"/>
        <v>28.301337078374857</v>
      </c>
      <c r="AV54" s="52">
        <f t="shared" si="16"/>
        <v>28.021916165616474</v>
      </c>
      <c r="AW54" s="52">
        <f t="shared" si="16"/>
        <v>27.742495252858092</v>
      </c>
      <c r="AX54" s="52">
        <f t="shared" si="16"/>
        <v>27.463074340099709</v>
      </c>
      <c r="AY54" s="51">
        <f t="shared" si="17"/>
        <v>27.183653427341326</v>
      </c>
      <c r="AZ54" s="52">
        <f t="shared" si="18"/>
        <v>26.295685969294027</v>
      </c>
      <c r="BA54" s="52">
        <f t="shared" si="18"/>
        <v>25.407718511246731</v>
      </c>
      <c r="BB54" s="52">
        <f t="shared" si="18"/>
        <v>24.519751053199432</v>
      </c>
      <c r="BC54" s="52">
        <f t="shared" si="18"/>
        <v>23.631783595152136</v>
      </c>
      <c r="BD54" s="51">
        <f t="shared" si="19"/>
        <v>22.743816137104837</v>
      </c>
      <c r="BF54" s="440">
        <f t="shared" si="20"/>
        <v>2743.975398226486</v>
      </c>
    </row>
    <row r="55" spans="1:58" x14ac:dyDescent="0.15">
      <c r="A55" s="7" t="s">
        <v>41</v>
      </c>
      <c r="B55" s="7" t="s">
        <v>23</v>
      </c>
      <c r="C55" s="7" t="s">
        <v>22</v>
      </c>
      <c r="D55" s="7" t="s">
        <v>18</v>
      </c>
      <c r="E55" s="7" t="s">
        <v>24</v>
      </c>
      <c r="F55" s="47" t="str">
        <f t="shared" si="2"/>
        <v>MtCO2</v>
      </c>
      <c r="G55" s="47" t="s">
        <v>36</v>
      </c>
      <c r="H55" s="7" t="s">
        <v>9</v>
      </c>
      <c r="J55" s="51">
        <f t="shared" si="3"/>
        <v>2377.0997172539774</v>
      </c>
      <c r="K55" s="52">
        <f t="shared" si="4"/>
        <v>2326.3796283209927</v>
      </c>
      <c r="L55" s="52">
        <f t="shared" si="4"/>
        <v>2275.6595393880075</v>
      </c>
      <c r="M55" s="52">
        <f t="shared" si="4"/>
        <v>2224.9394504550228</v>
      </c>
      <c r="N55" s="52">
        <f t="shared" si="4"/>
        <v>2174.2193615220381</v>
      </c>
      <c r="O55" s="52">
        <f t="shared" si="4"/>
        <v>2123.4992725890534</v>
      </c>
      <c r="P55" s="52">
        <f t="shared" si="4"/>
        <v>2072.7791836560682</v>
      </c>
      <c r="Q55" s="52">
        <f t="shared" si="4"/>
        <v>2022.0590947230835</v>
      </c>
      <c r="R55" s="52">
        <f t="shared" si="4"/>
        <v>1971.3390057900988</v>
      </c>
      <c r="S55" s="52">
        <f t="shared" si="4"/>
        <v>1920.6189168571138</v>
      </c>
      <c r="T55" s="52">
        <f t="shared" si="4"/>
        <v>1869.8988279241291</v>
      </c>
      <c r="U55" s="51">
        <f t="shared" si="5"/>
        <v>1819.1787389911442</v>
      </c>
      <c r="V55" s="52">
        <f t="shared" si="6"/>
        <v>1778.000396861031</v>
      </c>
      <c r="W55" s="52">
        <f t="shared" si="6"/>
        <v>1736.8220547309179</v>
      </c>
      <c r="X55" s="52">
        <f t="shared" si="6"/>
        <v>1695.6437126008045</v>
      </c>
      <c r="Y55" s="52">
        <f t="shared" si="6"/>
        <v>1654.4653704706914</v>
      </c>
      <c r="Z55" s="51">
        <f t="shared" si="7"/>
        <v>1613.2870283405782</v>
      </c>
      <c r="AA55" s="52">
        <f t="shared" si="8"/>
        <v>1595.5206098989186</v>
      </c>
      <c r="AB55" s="52">
        <f t="shared" si="8"/>
        <v>1577.7541914572589</v>
      </c>
      <c r="AC55" s="52">
        <f t="shared" si="8"/>
        <v>1559.987773015599</v>
      </c>
      <c r="AD55" s="52">
        <f t="shared" si="8"/>
        <v>1542.2213545739394</v>
      </c>
      <c r="AE55" s="51">
        <f t="shared" si="9"/>
        <v>1524.4549361322797</v>
      </c>
      <c r="AF55" s="52">
        <f t="shared" si="10"/>
        <v>1508.9277510758957</v>
      </c>
      <c r="AG55" s="52">
        <f t="shared" si="10"/>
        <v>1493.4005660195114</v>
      </c>
      <c r="AH55" s="52">
        <f t="shared" si="10"/>
        <v>1477.8733809631274</v>
      </c>
      <c r="AI55" s="52">
        <f t="shared" si="10"/>
        <v>1462.3461959067431</v>
      </c>
      <c r="AJ55" s="51">
        <f t="shared" si="11"/>
        <v>1446.8190108503591</v>
      </c>
      <c r="AK55" s="52">
        <f t="shared" si="12"/>
        <v>1418.6827514133649</v>
      </c>
      <c r="AL55" s="52">
        <f t="shared" si="12"/>
        <v>1390.5464919763708</v>
      </c>
      <c r="AM55" s="52">
        <f t="shared" si="12"/>
        <v>1362.4102325393769</v>
      </c>
      <c r="AN55" s="52">
        <f t="shared" si="12"/>
        <v>1334.2739731023828</v>
      </c>
      <c r="AO55" s="51">
        <f t="shared" si="13"/>
        <v>1306.1377136653887</v>
      </c>
      <c r="AP55" s="52">
        <f t="shared" si="14"/>
        <v>1281.5902506000116</v>
      </c>
      <c r="AQ55" s="52">
        <f t="shared" si="14"/>
        <v>1257.0427875346347</v>
      </c>
      <c r="AR55" s="52">
        <f t="shared" si="14"/>
        <v>1232.4953244692576</v>
      </c>
      <c r="AS55" s="52">
        <f t="shared" si="14"/>
        <v>1207.9478614038808</v>
      </c>
      <c r="AT55" s="51">
        <f t="shared" si="15"/>
        <v>1183.4003983385037</v>
      </c>
      <c r="AU55" s="52">
        <f t="shared" si="16"/>
        <v>1158.816118418079</v>
      </c>
      <c r="AV55" s="52">
        <f t="shared" si="16"/>
        <v>1134.2318384976545</v>
      </c>
      <c r="AW55" s="52">
        <f t="shared" si="16"/>
        <v>1109.6475585772298</v>
      </c>
      <c r="AX55" s="52">
        <f t="shared" si="16"/>
        <v>1085.0632786568053</v>
      </c>
      <c r="AY55" s="51">
        <f t="shared" si="17"/>
        <v>1060.4789987363806</v>
      </c>
      <c r="AZ55" s="52">
        <f t="shared" si="18"/>
        <v>1037.1022219946838</v>
      </c>
      <c r="BA55" s="52">
        <f t="shared" si="18"/>
        <v>1013.7254452529868</v>
      </c>
      <c r="BB55" s="52">
        <f t="shared" si="18"/>
        <v>990.34866851128993</v>
      </c>
      <c r="BC55" s="52">
        <f t="shared" si="18"/>
        <v>966.97189176959296</v>
      </c>
      <c r="BD55" s="51">
        <f t="shared" si="19"/>
        <v>943.5951150278961</v>
      </c>
      <c r="BF55" s="440">
        <f t="shared" si="20"/>
        <v>46689.836094885177</v>
      </c>
    </row>
    <row r="56" spans="1:58" x14ac:dyDescent="0.15">
      <c r="A56" s="7" t="s">
        <v>41</v>
      </c>
      <c r="B56" s="7" t="s">
        <v>23</v>
      </c>
      <c r="C56" s="7" t="s">
        <v>22</v>
      </c>
      <c r="D56" s="7" t="s">
        <v>18</v>
      </c>
      <c r="E56" s="7" t="s">
        <v>24</v>
      </c>
      <c r="F56" s="47" t="str">
        <f t="shared" si="2"/>
        <v>MtCO2</v>
      </c>
      <c r="G56" s="47" t="s">
        <v>36</v>
      </c>
      <c r="H56" s="7" t="s">
        <v>49</v>
      </c>
      <c r="J56" s="51">
        <f t="shared" si="3"/>
        <v>918.89557394509734</v>
      </c>
      <c r="K56" s="52">
        <f t="shared" si="4"/>
        <v>886.54990754770392</v>
      </c>
      <c r="L56" s="52">
        <f t="shared" si="4"/>
        <v>854.20424115031051</v>
      </c>
      <c r="M56" s="52">
        <f t="shared" si="4"/>
        <v>821.85857475291698</v>
      </c>
      <c r="N56" s="52">
        <f t="shared" si="4"/>
        <v>789.51290835552356</v>
      </c>
      <c r="O56" s="52">
        <f t="shared" si="4"/>
        <v>757.16724195813015</v>
      </c>
      <c r="P56" s="52">
        <f t="shared" si="4"/>
        <v>724.82157556073662</v>
      </c>
      <c r="Q56" s="52">
        <f t="shared" si="4"/>
        <v>692.4759091633432</v>
      </c>
      <c r="R56" s="52">
        <f t="shared" si="4"/>
        <v>660.13024276594979</v>
      </c>
      <c r="S56" s="52">
        <f t="shared" si="4"/>
        <v>627.78457636855637</v>
      </c>
      <c r="T56" s="52">
        <f t="shared" si="4"/>
        <v>595.43890997116296</v>
      </c>
      <c r="U56" s="51">
        <f t="shared" si="5"/>
        <v>563.09324357376943</v>
      </c>
      <c r="V56" s="52">
        <f t="shared" si="6"/>
        <v>527.04630383311223</v>
      </c>
      <c r="W56" s="52">
        <f t="shared" si="6"/>
        <v>490.99936409245493</v>
      </c>
      <c r="X56" s="52">
        <f t="shared" si="6"/>
        <v>454.95242435179767</v>
      </c>
      <c r="Y56" s="52">
        <f t="shared" si="6"/>
        <v>418.90548461114042</v>
      </c>
      <c r="Z56" s="51">
        <f t="shared" si="7"/>
        <v>382.85854487048317</v>
      </c>
      <c r="AA56" s="52">
        <f t="shared" si="8"/>
        <v>370.62997133715476</v>
      </c>
      <c r="AB56" s="52">
        <f t="shared" si="8"/>
        <v>358.4013978038264</v>
      </c>
      <c r="AC56" s="52">
        <f t="shared" si="8"/>
        <v>346.17282427049798</v>
      </c>
      <c r="AD56" s="52">
        <f t="shared" si="8"/>
        <v>333.94425073716963</v>
      </c>
      <c r="AE56" s="51">
        <f t="shared" si="9"/>
        <v>321.71567720384121</v>
      </c>
      <c r="AF56" s="52">
        <f t="shared" si="10"/>
        <v>307.8601678974037</v>
      </c>
      <c r="AG56" s="52">
        <f t="shared" si="10"/>
        <v>294.00465859096624</v>
      </c>
      <c r="AH56" s="52">
        <f t="shared" si="10"/>
        <v>280.14914928452879</v>
      </c>
      <c r="AI56" s="52">
        <f t="shared" si="10"/>
        <v>266.29363997809128</v>
      </c>
      <c r="AJ56" s="51">
        <f t="shared" si="11"/>
        <v>252.43813067165379</v>
      </c>
      <c r="AK56" s="52">
        <f t="shared" si="12"/>
        <v>240.61547942060574</v>
      </c>
      <c r="AL56" s="52">
        <f t="shared" si="12"/>
        <v>228.79282816955768</v>
      </c>
      <c r="AM56" s="52">
        <f t="shared" si="12"/>
        <v>216.97017691850962</v>
      </c>
      <c r="AN56" s="52">
        <f t="shared" si="12"/>
        <v>205.14752566746157</v>
      </c>
      <c r="AO56" s="51">
        <f t="shared" si="13"/>
        <v>193.32487441641351</v>
      </c>
      <c r="AP56" s="52">
        <f t="shared" si="14"/>
        <v>181.03313443273223</v>
      </c>
      <c r="AQ56" s="52">
        <f t="shared" si="14"/>
        <v>168.74139444905094</v>
      </c>
      <c r="AR56" s="52">
        <f t="shared" si="14"/>
        <v>156.44965446536969</v>
      </c>
      <c r="AS56" s="52">
        <f t="shared" si="14"/>
        <v>144.15791448168841</v>
      </c>
      <c r="AT56" s="51">
        <f t="shared" si="15"/>
        <v>131.86617449800713</v>
      </c>
      <c r="AU56" s="52">
        <f t="shared" si="16"/>
        <v>128.96759549715216</v>
      </c>
      <c r="AV56" s="52">
        <f t="shared" si="16"/>
        <v>126.06901649629718</v>
      </c>
      <c r="AW56" s="52">
        <f t="shared" si="16"/>
        <v>123.1704374954422</v>
      </c>
      <c r="AX56" s="52">
        <f t="shared" si="16"/>
        <v>120.27185849458724</v>
      </c>
      <c r="AY56" s="51">
        <f t="shared" si="17"/>
        <v>117.37327949373226</v>
      </c>
      <c r="AZ56" s="52">
        <f t="shared" si="18"/>
        <v>114.54167868924957</v>
      </c>
      <c r="BA56" s="52">
        <f t="shared" si="18"/>
        <v>111.71007788476687</v>
      </c>
      <c r="BB56" s="52">
        <f t="shared" si="18"/>
        <v>108.87847708028418</v>
      </c>
      <c r="BC56" s="52">
        <f t="shared" si="18"/>
        <v>106.04687627580149</v>
      </c>
      <c r="BD56" s="51">
        <f t="shared" si="19"/>
        <v>103.2152754713188</v>
      </c>
      <c r="BF56" s="440">
        <f t="shared" si="20"/>
        <v>10708.871728827664</v>
      </c>
    </row>
    <row r="57" spans="1:58" x14ac:dyDescent="0.15">
      <c r="A57" s="7" t="s">
        <v>41</v>
      </c>
      <c r="B57" s="7" t="s">
        <v>23</v>
      </c>
      <c r="C57" s="7" t="s">
        <v>19</v>
      </c>
      <c r="D57" s="7" t="s">
        <v>18</v>
      </c>
      <c r="E57" s="7" t="s">
        <v>24</v>
      </c>
      <c r="F57" s="47" t="str">
        <f t="shared" si="2"/>
        <v>MtCO2</v>
      </c>
      <c r="G57" s="47" t="s">
        <v>62</v>
      </c>
      <c r="H57" s="47" t="s">
        <v>29</v>
      </c>
      <c r="I57" s="47"/>
      <c r="J57" s="51">
        <f t="shared" si="3"/>
        <v>13625.004647</v>
      </c>
      <c r="K57" s="52">
        <f t="shared" si="4"/>
        <v>13238.134806684333</v>
      </c>
      <c r="L57" s="52">
        <f t="shared" si="4"/>
        <v>12851.264966368666</v>
      </c>
      <c r="M57" s="52">
        <f t="shared" si="4"/>
        <v>12464.395126052999</v>
      </c>
      <c r="N57" s="52">
        <f t="shared" si="4"/>
        <v>12077.525285737333</v>
      </c>
      <c r="O57" s="52">
        <f t="shared" si="4"/>
        <v>11690.655445421668</v>
      </c>
      <c r="P57" s="52">
        <f t="shared" si="4"/>
        <v>11303.785605106001</v>
      </c>
      <c r="Q57" s="52">
        <f t="shared" si="4"/>
        <v>10916.915764790334</v>
      </c>
      <c r="R57" s="52">
        <f t="shared" si="4"/>
        <v>10530.045924474667</v>
      </c>
      <c r="S57" s="52">
        <f t="shared" si="4"/>
        <v>10143.176084159</v>
      </c>
      <c r="T57" s="52">
        <f t="shared" si="4"/>
        <v>9756.3062438433335</v>
      </c>
      <c r="U57" s="51">
        <f t="shared" si="5"/>
        <v>9369.4364035276667</v>
      </c>
      <c r="V57" s="52">
        <f t="shared" si="6"/>
        <v>8912.189007806759</v>
      </c>
      <c r="W57" s="52">
        <f t="shared" si="6"/>
        <v>8454.9416120858532</v>
      </c>
      <c r="X57" s="52">
        <f t="shared" si="6"/>
        <v>7997.6942163649455</v>
      </c>
      <c r="Y57" s="52">
        <f t="shared" si="6"/>
        <v>7540.4468206440379</v>
      </c>
      <c r="Z57" s="51">
        <f t="shared" si="7"/>
        <v>7083.1994249231311</v>
      </c>
      <c r="AA57" s="52">
        <f t="shared" si="8"/>
        <v>6618.2893447776987</v>
      </c>
      <c r="AB57" s="52">
        <f t="shared" si="8"/>
        <v>6153.3792646322663</v>
      </c>
      <c r="AC57" s="52">
        <f t="shared" si="8"/>
        <v>5688.4691844868339</v>
      </c>
      <c r="AD57" s="52">
        <f t="shared" si="8"/>
        <v>5223.5591043414015</v>
      </c>
      <c r="AE57" s="51">
        <f t="shared" si="9"/>
        <v>4758.6490241959691</v>
      </c>
      <c r="AF57" s="52">
        <f t="shared" si="10"/>
        <v>4339.3000014150048</v>
      </c>
      <c r="AG57" s="52">
        <f t="shared" si="10"/>
        <v>3919.95097863404</v>
      </c>
      <c r="AH57" s="52">
        <f t="shared" si="10"/>
        <v>3500.6019558530757</v>
      </c>
      <c r="AI57" s="52">
        <f t="shared" si="10"/>
        <v>3081.2529330721109</v>
      </c>
      <c r="AJ57" s="51">
        <f t="shared" si="11"/>
        <v>2661.9039102911465</v>
      </c>
      <c r="AK57" s="52">
        <f t="shared" si="12"/>
        <v>2294.2550882392611</v>
      </c>
      <c r="AL57" s="52">
        <f t="shared" si="12"/>
        <v>1926.6062661873755</v>
      </c>
      <c r="AM57" s="52">
        <f t="shared" si="12"/>
        <v>1558.9574441354898</v>
      </c>
      <c r="AN57" s="52">
        <f t="shared" si="12"/>
        <v>1191.3086220836044</v>
      </c>
      <c r="AO57" s="51">
        <f t="shared" si="13"/>
        <v>823.65980003171899</v>
      </c>
      <c r="AP57" s="52">
        <f t="shared" si="14"/>
        <v>587.79398715934417</v>
      </c>
      <c r="AQ57" s="52">
        <f t="shared" si="14"/>
        <v>351.92817428696924</v>
      </c>
      <c r="AR57" s="52">
        <f t="shared" si="14"/>
        <v>116.06236141459431</v>
      </c>
      <c r="AS57" s="52">
        <f t="shared" si="14"/>
        <v>-119.80345145778051</v>
      </c>
      <c r="AT57" s="51">
        <f t="shared" si="15"/>
        <v>-355.66926433015539</v>
      </c>
      <c r="AU57" s="52">
        <f t="shared" si="16"/>
        <v>-522.33960693418169</v>
      </c>
      <c r="AV57" s="52">
        <f t="shared" si="16"/>
        <v>-689.00994953820805</v>
      </c>
      <c r="AW57" s="52">
        <f t="shared" si="16"/>
        <v>-855.68029214223429</v>
      </c>
      <c r="AX57" s="52">
        <f t="shared" si="16"/>
        <v>-1022.3506347462608</v>
      </c>
      <c r="AY57" s="51">
        <f t="shared" si="17"/>
        <v>-1189.020977350287</v>
      </c>
      <c r="AZ57" s="52">
        <f t="shared" si="18"/>
        <v>-1299.9840512081387</v>
      </c>
      <c r="BA57" s="52">
        <f t="shared" si="18"/>
        <v>-1410.9471250659906</v>
      </c>
      <c r="BB57" s="52">
        <f t="shared" si="18"/>
        <v>-1521.9101989238422</v>
      </c>
      <c r="BC57" s="52">
        <f t="shared" si="18"/>
        <v>-1632.8732727816941</v>
      </c>
      <c r="BD57" s="51">
        <f t="shared" si="19"/>
        <v>-1743.8363466395458</v>
      </c>
      <c r="BF57" s="440">
        <f t="shared" si="20"/>
        <v>150854.53366678781</v>
      </c>
    </row>
    <row r="58" spans="1:58" x14ac:dyDescent="0.15">
      <c r="A58" s="7" t="s">
        <v>41</v>
      </c>
      <c r="B58" s="7" t="s">
        <v>23</v>
      </c>
      <c r="C58" s="7" t="s">
        <v>22</v>
      </c>
      <c r="D58" s="7" t="s">
        <v>19</v>
      </c>
      <c r="E58" s="7" t="s">
        <v>24</v>
      </c>
      <c r="F58" s="47" t="str">
        <f t="shared" si="2"/>
        <v>MtCO2</v>
      </c>
      <c r="G58" s="47" t="s">
        <v>62</v>
      </c>
      <c r="H58" s="7" t="s">
        <v>29</v>
      </c>
      <c r="J58" s="51">
        <f t="shared" si="3"/>
        <v>4734.122652</v>
      </c>
      <c r="K58" s="52">
        <f t="shared" si="4"/>
        <v>4536.864787601804</v>
      </c>
      <c r="L58" s="52">
        <f t="shared" si="4"/>
        <v>4339.6069232036079</v>
      </c>
      <c r="M58" s="52">
        <f t="shared" si="4"/>
        <v>4142.3490588054119</v>
      </c>
      <c r="N58" s="52">
        <f t="shared" si="4"/>
        <v>3945.0911944072168</v>
      </c>
      <c r="O58" s="52">
        <f t="shared" si="4"/>
        <v>3747.8333300090208</v>
      </c>
      <c r="P58" s="52">
        <f t="shared" si="4"/>
        <v>3550.5754656108247</v>
      </c>
      <c r="Q58" s="52">
        <f t="shared" si="4"/>
        <v>3353.3176012126287</v>
      </c>
      <c r="R58" s="52">
        <f t="shared" si="4"/>
        <v>3156.0597368144331</v>
      </c>
      <c r="S58" s="52">
        <f t="shared" si="4"/>
        <v>2958.8018724162375</v>
      </c>
      <c r="T58" s="52">
        <f t="shared" si="4"/>
        <v>2761.5440080180415</v>
      </c>
      <c r="U58" s="51">
        <f t="shared" si="5"/>
        <v>2564.2861436198455</v>
      </c>
      <c r="V58" s="52">
        <f t="shared" si="6"/>
        <v>2415.7061466931418</v>
      </c>
      <c r="W58" s="52">
        <f t="shared" si="6"/>
        <v>2267.1261497664386</v>
      </c>
      <c r="X58" s="52">
        <f t="shared" si="6"/>
        <v>2118.546152839735</v>
      </c>
      <c r="Y58" s="52">
        <f t="shared" si="6"/>
        <v>1969.9661559130313</v>
      </c>
      <c r="Z58" s="51">
        <f t="shared" si="7"/>
        <v>1821.3861589863279</v>
      </c>
      <c r="AA58" s="52">
        <f t="shared" si="8"/>
        <v>1687.2710839778322</v>
      </c>
      <c r="AB58" s="52">
        <f t="shared" si="8"/>
        <v>1553.1560089693362</v>
      </c>
      <c r="AC58" s="52">
        <f t="shared" si="8"/>
        <v>1419.0409339608404</v>
      </c>
      <c r="AD58" s="52">
        <f t="shared" si="8"/>
        <v>1284.9258589523447</v>
      </c>
      <c r="AE58" s="51">
        <f t="shared" si="9"/>
        <v>1150.8107839438487</v>
      </c>
      <c r="AF58" s="52">
        <f t="shared" si="10"/>
        <v>1039.2846000532386</v>
      </c>
      <c r="AG58" s="52">
        <f t="shared" si="10"/>
        <v>927.75841616262858</v>
      </c>
      <c r="AH58" s="52">
        <f t="shared" si="10"/>
        <v>816.23223227201856</v>
      </c>
      <c r="AI58" s="52">
        <f t="shared" si="10"/>
        <v>704.70604838140844</v>
      </c>
      <c r="AJ58" s="51">
        <f t="shared" si="11"/>
        <v>593.17986449079842</v>
      </c>
      <c r="AK58" s="52">
        <f t="shared" si="12"/>
        <v>492.61335301552185</v>
      </c>
      <c r="AL58" s="52">
        <f t="shared" si="12"/>
        <v>392.04684154024534</v>
      </c>
      <c r="AM58" s="52">
        <f t="shared" si="12"/>
        <v>291.48033006496883</v>
      </c>
      <c r="AN58" s="52">
        <f t="shared" si="12"/>
        <v>190.91381858969226</v>
      </c>
      <c r="AO58" s="51">
        <f t="shared" si="13"/>
        <v>90.347307114415656</v>
      </c>
      <c r="AP58" s="52">
        <f t="shared" si="14"/>
        <v>19.982167934553715</v>
      </c>
      <c r="AQ58" s="52">
        <f t="shared" si="14"/>
        <v>-50.382971245308227</v>
      </c>
      <c r="AR58" s="52">
        <f t="shared" si="14"/>
        <v>-120.74811042517015</v>
      </c>
      <c r="AS58" s="52">
        <f t="shared" si="14"/>
        <v>-191.11324960503211</v>
      </c>
      <c r="AT58" s="51">
        <f t="shared" si="15"/>
        <v>-261.47838878489404</v>
      </c>
      <c r="AU58" s="52">
        <f t="shared" si="16"/>
        <v>-318.53437286616008</v>
      </c>
      <c r="AV58" s="52">
        <f t="shared" si="16"/>
        <v>-375.59035694742619</v>
      </c>
      <c r="AW58" s="52">
        <f t="shared" si="16"/>
        <v>-432.64634102869223</v>
      </c>
      <c r="AX58" s="52">
        <f t="shared" si="16"/>
        <v>-489.70232510995834</v>
      </c>
      <c r="AY58" s="51">
        <f t="shared" si="17"/>
        <v>-546.75830919122438</v>
      </c>
      <c r="AZ58" s="52">
        <f t="shared" si="18"/>
        <v>-591.82999050236936</v>
      </c>
      <c r="BA58" s="52">
        <f t="shared" si="18"/>
        <v>-636.90167181351433</v>
      </c>
      <c r="BB58" s="52">
        <f t="shared" si="18"/>
        <v>-681.9733531246593</v>
      </c>
      <c r="BC58" s="52">
        <f t="shared" si="18"/>
        <v>-727.04503443580438</v>
      </c>
      <c r="BD58" s="51">
        <f t="shared" si="19"/>
        <v>-772.11671574694935</v>
      </c>
      <c r="BF58" s="440">
        <f t="shared" si="20"/>
        <v>39322.793982841002</v>
      </c>
    </row>
    <row r="59" spans="1:58" x14ac:dyDescent="0.15">
      <c r="A59" s="7" t="s">
        <v>41</v>
      </c>
      <c r="B59" s="7" t="s">
        <v>23</v>
      </c>
      <c r="C59" s="7" t="s">
        <v>34</v>
      </c>
      <c r="D59" s="7" t="s">
        <v>34</v>
      </c>
      <c r="E59" s="7" t="s">
        <v>24</v>
      </c>
      <c r="F59" s="47" t="str">
        <f t="shared" si="2"/>
        <v>MtCO2</v>
      </c>
      <c r="G59" s="47" t="s">
        <v>62</v>
      </c>
      <c r="H59" s="47" t="s">
        <v>29</v>
      </c>
      <c r="I59" s="47"/>
      <c r="J59" s="51">
        <f t="shared" si="3"/>
        <v>8871.2562230000021</v>
      </c>
      <c r="K59" s="52">
        <f t="shared" si="4"/>
        <v>8683.4284081734404</v>
      </c>
      <c r="L59" s="52">
        <f t="shared" si="4"/>
        <v>8495.6005933468787</v>
      </c>
      <c r="M59" s="52">
        <f t="shared" si="4"/>
        <v>8307.7727785203169</v>
      </c>
      <c r="N59" s="52">
        <f t="shared" si="4"/>
        <v>8119.9449636937552</v>
      </c>
      <c r="O59" s="52">
        <f t="shared" si="4"/>
        <v>7932.1171488671935</v>
      </c>
      <c r="P59" s="52">
        <f t="shared" si="4"/>
        <v>7744.2893340406317</v>
      </c>
      <c r="Q59" s="52">
        <f t="shared" si="4"/>
        <v>7556.46151921407</v>
      </c>
      <c r="R59" s="52">
        <f t="shared" si="4"/>
        <v>7368.6337043875083</v>
      </c>
      <c r="S59" s="52">
        <f t="shared" si="4"/>
        <v>7180.8058895609465</v>
      </c>
      <c r="T59" s="52">
        <f t="shared" si="4"/>
        <v>6992.9780747343848</v>
      </c>
      <c r="U59" s="51">
        <f t="shared" si="5"/>
        <v>6805.1502599078231</v>
      </c>
      <c r="V59" s="52">
        <f t="shared" si="6"/>
        <v>6496.482861113619</v>
      </c>
      <c r="W59" s="52">
        <f t="shared" si="6"/>
        <v>6187.815462319415</v>
      </c>
      <c r="X59" s="52">
        <f t="shared" si="6"/>
        <v>5879.148063525211</v>
      </c>
      <c r="Y59" s="52">
        <f t="shared" si="6"/>
        <v>5570.480664731007</v>
      </c>
      <c r="Z59" s="51">
        <f t="shared" si="7"/>
        <v>5261.813265936803</v>
      </c>
      <c r="AA59" s="52">
        <f t="shared" si="8"/>
        <v>4931.0182607998668</v>
      </c>
      <c r="AB59" s="52">
        <f t="shared" si="8"/>
        <v>4600.2232556629297</v>
      </c>
      <c r="AC59" s="52">
        <f t="shared" si="8"/>
        <v>4269.4282505259926</v>
      </c>
      <c r="AD59" s="52">
        <f t="shared" si="8"/>
        <v>3938.6332453890564</v>
      </c>
      <c r="AE59" s="51">
        <f t="shared" si="9"/>
        <v>3607.8382402521197</v>
      </c>
      <c r="AF59" s="52">
        <f t="shared" si="10"/>
        <v>3300.0154013617653</v>
      </c>
      <c r="AG59" s="52">
        <f t="shared" si="10"/>
        <v>2992.1925624714108</v>
      </c>
      <c r="AH59" s="52">
        <f t="shared" si="10"/>
        <v>2684.3697235810564</v>
      </c>
      <c r="AI59" s="52">
        <f t="shared" si="10"/>
        <v>2376.546884690702</v>
      </c>
      <c r="AJ59" s="51">
        <f t="shared" si="11"/>
        <v>2068.7240458003475</v>
      </c>
      <c r="AK59" s="52">
        <f t="shared" si="12"/>
        <v>1801.6417352237386</v>
      </c>
      <c r="AL59" s="52">
        <f t="shared" si="12"/>
        <v>1534.5594246471298</v>
      </c>
      <c r="AM59" s="52">
        <f t="shared" si="12"/>
        <v>1267.4771140705211</v>
      </c>
      <c r="AN59" s="52">
        <f t="shared" si="12"/>
        <v>1000.3948034939121</v>
      </c>
      <c r="AO59" s="51">
        <f t="shared" si="13"/>
        <v>733.31249291730342</v>
      </c>
      <c r="AP59" s="52">
        <f t="shared" si="14"/>
        <v>567.8118192247905</v>
      </c>
      <c r="AQ59" s="52">
        <f t="shared" si="14"/>
        <v>402.31114553227752</v>
      </c>
      <c r="AR59" s="52">
        <f t="shared" si="14"/>
        <v>236.81047183976455</v>
      </c>
      <c r="AS59" s="52">
        <f t="shared" si="14"/>
        <v>71.309798147251627</v>
      </c>
      <c r="AT59" s="51">
        <f t="shared" si="15"/>
        <v>-94.190875545261335</v>
      </c>
      <c r="AU59" s="52">
        <f t="shared" si="16"/>
        <v>-203.80523406802166</v>
      </c>
      <c r="AV59" s="52">
        <f t="shared" si="16"/>
        <v>-313.41959259078203</v>
      </c>
      <c r="AW59" s="52">
        <f t="shared" si="16"/>
        <v>-423.0339511135424</v>
      </c>
      <c r="AX59" s="52">
        <f t="shared" si="16"/>
        <v>-532.64830963630266</v>
      </c>
      <c r="AY59" s="51">
        <f t="shared" si="17"/>
        <v>-642.26266815906297</v>
      </c>
      <c r="AZ59" s="52">
        <f t="shared" si="18"/>
        <v>-708.15406070576978</v>
      </c>
      <c r="BA59" s="52">
        <f t="shared" si="18"/>
        <v>-774.04545325247648</v>
      </c>
      <c r="BB59" s="52">
        <f t="shared" si="18"/>
        <v>-839.93684579918329</v>
      </c>
      <c r="BC59" s="52">
        <f t="shared" si="18"/>
        <v>-905.82823834588999</v>
      </c>
      <c r="BD59" s="51">
        <f t="shared" si="19"/>
        <v>-971.7196308925968</v>
      </c>
      <c r="BF59" s="440">
        <f t="shared" si="20"/>
        <v>111509.43767031041</v>
      </c>
    </row>
    <row r="60" spans="1:58" x14ac:dyDescent="0.15">
      <c r="A60" s="7" t="s">
        <v>47</v>
      </c>
      <c r="B60" s="7" t="s">
        <v>23</v>
      </c>
      <c r="C60" s="7" t="s">
        <v>22</v>
      </c>
      <c r="D60" s="7" t="s">
        <v>18</v>
      </c>
      <c r="E60" s="7" t="s">
        <v>37</v>
      </c>
      <c r="F60" s="47" t="str">
        <f t="shared" si="2"/>
        <v>PJ</v>
      </c>
      <c r="G60" s="47" t="s">
        <v>38</v>
      </c>
      <c r="H60" s="7" t="s">
        <v>6</v>
      </c>
      <c r="J60" s="51">
        <f t="shared" si="3"/>
        <v>4282.8951823919997</v>
      </c>
      <c r="K60" s="52">
        <f t="shared" ref="K60:T69" si="21">$J60-(($J60-$U60)/(11)*(K$49-$J$49))</f>
        <v>4294.2995010243294</v>
      </c>
      <c r="L60" s="52">
        <f t="shared" si="21"/>
        <v>4305.7038196566582</v>
      </c>
      <c r="M60" s="52">
        <f t="shared" si="21"/>
        <v>4317.1081382889879</v>
      </c>
      <c r="N60" s="52">
        <f t="shared" si="21"/>
        <v>4328.5124569213176</v>
      </c>
      <c r="O60" s="52">
        <f t="shared" si="21"/>
        <v>4339.9167755536464</v>
      </c>
      <c r="P60" s="52">
        <f t="shared" si="21"/>
        <v>4351.3210941859761</v>
      </c>
      <c r="Q60" s="52">
        <f t="shared" si="21"/>
        <v>4362.7254128183049</v>
      </c>
      <c r="R60" s="52">
        <f t="shared" si="21"/>
        <v>4374.1297314506346</v>
      </c>
      <c r="S60" s="52">
        <f t="shared" si="21"/>
        <v>4385.5340500829643</v>
      </c>
      <c r="T60" s="52">
        <f t="shared" si="21"/>
        <v>4396.9383687152931</v>
      </c>
      <c r="U60" s="51">
        <f t="shared" si="5"/>
        <v>4408.3426873476228</v>
      </c>
      <c r="V60" s="52">
        <f t="shared" si="6"/>
        <v>4445.8242855922053</v>
      </c>
      <c r="W60" s="52">
        <f t="shared" si="6"/>
        <v>4483.3058838367879</v>
      </c>
      <c r="X60" s="52">
        <f t="shared" si="6"/>
        <v>4520.7874820813695</v>
      </c>
      <c r="Y60" s="52">
        <f t="shared" si="6"/>
        <v>4558.269080325952</v>
      </c>
      <c r="Z60" s="51">
        <f t="shared" si="7"/>
        <v>4595.7506785705345</v>
      </c>
      <c r="AA60" s="52">
        <f t="shared" si="8"/>
        <v>4624.2171770610985</v>
      </c>
      <c r="AB60" s="52">
        <f t="shared" si="8"/>
        <v>4652.6836755516624</v>
      </c>
      <c r="AC60" s="52">
        <f t="shared" si="8"/>
        <v>4681.1501740422254</v>
      </c>
      <c r="AD60" s="52">
        <f t="shared" si="8"/>
        <v>4709.6166725327894</v>
      </c>
      <c r="AE60" s="51">
        <f t="shared" si="9"/>
        <v>4738.0831710233533</v>
      </c>
      <c r="AF60" s="52">
        <f t="shared" si="10"/>
        <v>4794.7664190950136</v>
      </c>
      <c r="AG60" s="52">
        <f t="shared" si="10"/>
        <v>4851.4496671666748</v>
      </c>
      <c r="AH60" s="52">
        <f t="shared" si="10"/>
        <v>4908.132915238335</v>
      </c>
      <c r="AI60" s="52">
        <f t="shared" si="10"/>
        <v>4964.8161633099962</v>
      </c>
      <c r="AJ60" s="51">
        <f t="shared" si="11"/>
        <v>5021.4994113816565</v>
      </c>
      <c r="AK60" s="52">
        <f t="shared" si="12"/>
        <v>5054.524091713437</v>
      </c>
      <c r="AL60" s="52">
        <f t="shared" si="12"/>
        <v>5087.5487720452184</v>
      </c>
      <c r="AM60" s="52">
        <f t="shared" si="12"/>
        <v>5120.5734523769988</v>
      </c>
      <c r="AN60" s="52">
        <f t="shared" si="12"/>
        <v>5153.5981327087802</v>
      </c>
      <c r="AO60" s="51">
        <f t="shared" si="13"/>
        <v>5186.6228130405607</v>
      </c>
      <c r="AP60" s="52">
        <f t="shared" si="14"/>
        <v>5224.5166254451015</v>
      </c>
      <c r="AQ60" s="52">
        <f t="shared" si="14"/>
        <v>5262.4104378496431</v>
      </c>
      <c r="AR60" s="52">
        <f t="shared" si="14"/>
        <v>5300.3042502541839</v>
      </c>
      <c r="AS60" s="52">
        <f t="shared" si="14"/>
        <v>5338.1980626587256</v>
      </c>
      <c r="AT60" s="51">
        <f t="shared" si="15"/>
        <v>5376.0918750632663</v>
      </c>
      <c r="AU60" s="52">
        <f t="shared" si="16"/>
        <v>5410.3908830864739</v>
      </c>
      <c r="AV60" s="52">
        <f t="shared" si="16"/>
        <v>5444.6898911096805</v>
      </c>
      <c r="AW60" s="52">
        <f t="shared" si="16"/>
        <v>5478.988899132888</v>
      </c>
      <c r="AX60" s="52">
        <f t="shared" si="16"/>
        <v>5513.2879071560947</v>
      </c>
      <c r="AY60" s="51">
        <f t="shared" si="17"/>
        <v>5547.5869151793022</v>
      </c>
      <c r="AZ60" s="52">
        <f t="shared" si="18"/>
        <v>5592.2893605597956</v>
      </c>
      <c r="BA60" s="52">
        <f t="shared" si="18"/>
        <v>5636.991805940288</v>
      </c>
      <c r="BB60" s="52">
        <f t="shared" si="18"/>
        <v>5681.6942513207814</v>
      </c>
      <c r="BC60" s="52">
        <f t="shared" si="18"/>
        <v>5726.3966967012739</v>
      </c>
      <c r="BD60" s="51">
        <f t="shared" si="19"/>
        <v>5771.0991420817672</v>
      </c>
      <c r="BF60" s="440"/>
    </row>
    <row r="61" spans="1:58" x14ac:dyDescent="0.15">
      <c r="A61" s="7" t="s">
        <v>47</v>
      </c>
      <c r="B61" s="7" t="s">
        <v>23</v>
      </c>
      <c r="C61" s="7" t="s">
        <v>22</v>
      </c>
      <c r="D61" s="7" t="s">
        <v>18</v>
      </c>
      <c r="E61" s="7" t="s">
        <v>37</v>
      </c>
      <c r="F61" s="47" t="str">
        <f t="shared" si="2"/>
        <v>PJ</v>
      </c>
      <c r="G61" s="47" t="s">
        <v>38</v>
      </c>
      <c r="H61" s="7" t="s">
        <v>7</v>
      </c>
      <c r="J61" s="51">
        <f t="shared" si="3"/>
        <v>1275.1759529988908</v>
      </c>
      <c r="K61" s="52">
        <f t="shared" si="21"/>
        <v>1296.5768334409663</v>
      </c>
      <c r="L61" s="52">
        <f t="shared" si="21"/>
        <v>1317.977713883042</v>
      </c>
      <c r="M61" s="52">
        <f t="shared" si="21"/>
        <v>1339.3785943251175</v>
      </c>
      <c r="N61" s="52">
        <f t="shared" si="21"/>
        <v>1360.7794747671933</v>
      </c>
      <c r="O61" s="52">
        <f t="shared" si="21"/>
        <v>1382.1803552092688</v>
      </c>
      <c r="P61" s="52">
        <f t="shared" si="21"/>
        <v>1403.5812356513445</v>
      </c>
      <c r="Q61" s="52">
        <f t="shared" si="21"/>
        <v>1424.98211609342</v>
      </c>
      <c r="R61" s="52">
        <f t="shared" si="21"/>
        <v>1446.3829965354957</v>
      </c>
      <c r="S61" s="52">
        <f t="shared" si="21"/>
        <v>1467.7838769775713</v>
      </c>
      <c r="T61" s="52">
        <f t="shared" si="21"/>
        <v>1489.1847574196468</v>
      </c>
      <c r="U61" s="51">
        <f t="shared" si="5"/>
        <v>1510.5856378617225</v>
      </c>
      <c r="V61" s="52">
        <f t="shared" si="6"/>
        <v>1526.4604526751266</v>
      </c>
      <c r="W61" s="52">
        <f t="shared" si="6"/>
        <v>1542.3352674885307</v>
      </c>
      <c r="X61" s="52">
        <f t="shared" si="6"/>
        <v>1558.210082301935</v>
      </c>
      <c r="Y61" s="52">
        <f t="shared" si="6"/>
        <v>1574.0848971153391</v>
      </c>
      <c r="Z61" s="51">
        <f t="shared" si="7"/>
        <v>1589.9597119287432</v>
      </c>
      <c r="AA61" s="52">
        <f t="shared" si="8"/>
        <v>1605.7967562122838</v>
      </c>
      <c r="AB61" s="52">
        <f t="shared" si="8"/>
        <v>1621.6338004958245</v>
      </c>
      <c r="AC61" s="52">
        <f t="shared" si="8"/>
        <v>1637.4708447793651</v>
      </c>
      <c r="AD61" s="52">
        <f t="shared" si="8"/>
        <v>1653.3078890629058</v>
      </c>
      <c r="AE61" s="51">
        <f t="shared" si="9"/>
        <v>1669.1449333464464</v>
      </c>
      <c r="AF61" s="52">
        <f t="shared" si="10"/>
        <v>1710.324201125685</v>
      </c>
      <c r="AG61" s="52">
        <f t="shared" si="10"/>
        <v>1751.5034689049237</v>
      </c>
      <c r="AH61" s="52">
        <f t="shared" si="10"/>
        <v>1792.6827366841621</v>
      </c>
      <c r="AI61" s="52">
        <f t="shared" si="10"/>
        <v>1833.8620044634008</v>
      </c>
      <c r="AJ61" s="51">
        <f t="shared" si="11"/>
        <v>1875.0412722426395</v>
      </c>
      <c r="AK61" s="52">
        <f t="shared" si="12"/>
        <v>1889.826192747664</v>
      </c>
      <c r="AL61" s="52">
        <f t="shared" si="12"/>
        <v>1904.6111132526885</v>
      </c>
      <c r="AM61" s="52">
        <f t="shared" si="12"/>
        <v>1919.3960337577128</v>
      </c>
      <c r="AN61" s="52">
        <f t="shared" si="12"/>
        <v>1934.1809542627373</v>
      </c>
      <c r="AO61" s="51">
        <f t="shared" si="13"/>
        <v>1948.9658747677618</v>
      </c>
      <c r="AP61" s="52">
        <f t="shared" si="14"/>
        <v>1992.3466637597032</v>
      </c>
      <c r="AQ61" s="52">
        <f t="shared" si="14"/>
        <v>2035.7274527516447</v>
      </c>
      <c r="AR61" s="52">
        <f t="shared" si="14"/>
        <v>2079.1082417435859</v>
      </c>
      <c r="AS61" s="52">
        <f t="shared" si="14"/>
        <v>2122.4890307355276</v>
      </c>
      <c r="AT61" s="51">
        <f t="shared" si="15"/>
        <v>2165.8698197274689</v>
      </c>
      <c r="AU61" s="52">
        <f t="shared" si="16"/>
        <v>2198.0883239277973</v>
      </c>
      <c r="AV61" s="52">
        <f t="shared" si="16"/>
        <v>2230.3068281281257</v>
      </c>
      <c r="AW61" s="52">
        <f t="shared" si="16"/>
        <v>2262.5253323284542</v>
      </c>
      <c r="AX61" s="52">
        <f t="shared" si="16"/>
        <v>2294.7438365287826</v>
      </c>
      <c r="AY61" s="51">
        <f t="shared" si="17"/>
        <v>2326.962340729111</v>
      </c>
      <c r="AZ61" s="52">
        <f t="shared" si="18"/>
        <v>2362.9974868332633</v>
      </c>
      <c r="BA61" s="52">
        <f t="shared" si="18"/>
        <v>2399.0326329374157</v>
      </c>
      <c r="BB61" s="52">
        <f t="shared" si="18"/>
        <v>2435.0677790415684</v>
      </c>
      <c r="BC61" s="52">
        <f t="shared" si="18"/>
        <v>2471.1029251457207</v>
      </c>
      <c r="BD61" s="51">
        <f t="shared" si="19"/>
        <v>2507.1380712498731</v>
      </c>
      <c r="BF61" s="440"/>
    </row>
    <row r="62" spans="1:58" x14ac:dyDescent="0.15">
      <c r="A62" s="7" t="s">
        <v>47</v>
      </c>
      <c r="B62" s="7" t="s">
        <v>23</v>
      </c>
      <c r="C62" s="7" t="s">
        <v>22</v>
      </c>
      <c r="D62" s="7" t="s">
        <v>18</v>
      </c>
      <c r="E62" s="7" t="s">
        <v>37</v>
      </c>
      <c r="F62" s="47" t="str">
        <f t="shared" si="2"/>
        <v>PJ</v>
      </c>
      <c r="G62" s="47" t="s">
        <v>38</v>
      </c>
      <c r="H62" s="7" t="s">
        <v>8</v>
      </c>
      <c r="J62" s="51">
        <f t="shared" si="3"/>
        <v>3336.9459492588026</v>
      </c>
      <c r="K62" s="52">
        <f t="shared" si="21"/>
        <v>3356.7284644831766</v>
      </c>
      <c r="L62" s="52">
        <f t="shared" si="21"/>
        <v>3376.5109797075511</v>
      </c>
      <c r="M62" s="52">
        <f t="shared" si="21"/>
        <v>3396.2934949319251</v>
      </c>
      <c r="N62" s="52">
        <f t="shared" si="21"/>
        <v>3416.0760101562996</v>
      </c>
      <c r="O62" s="52">
        <f t="shared" si="21"/>
        <v>3435.8585253806737</v>
      </c>
      <c r="P62" s="52">
        <f t="shared" si="21"/>
        <v>3455.6410406050481</v>
      </c>
      <c r="Q62" s="52">
        <f t="shared" si="21"/>
        <v>3475.4235558294222</v>
      </c>
      <c r="R62" s="52">
        <f t="shared" si="21"/>
        <v>3495.2060710537967</v>
      </c>
      <c r="S62" s="52">
        <f t="shared" si="21"/>
        <v>3514.9885862781707</v>
      </c>
      <c r="T62" s="52">
        <f t="shared" si="21"/>
        <v>3534.7711015025452</v>
      </c>
      <c r="U62" s="51">
        <f t="shared" si="5"/>
        <v>3554.5536167269192</v>
      </c>
      <c r="V62" s="52">
        <f t="shared" si="6"/>
        <v>3554.5373750792655</v>
      </c>
      <c r="W62" s="52">
        <f t="shared" si="6"/>
        <v>3554.5211334316118</v>
      </c>
      <c r="X62" s="52">
        <f t="shared" si="6"/>
        <v>3554.5048917839586</v>
      </c>
      <c r="Y62" s="52">
        <f t="shared" si="6"/>
        <v>3554.4886501363048</v>
      </c>
      <c r="Z62" s="51">
        <f t="shared" si="7"/>
        <v>3554.4724084886511</v>
      </c>
      <c r="AA62" s="52">
        <f t="shared" si="8"/>
        <v>3537.5591244585198</v>
      </c>
      <c r="AB62" s="52">
        <f t="shared" si="8"/>
        <v>3520.6458404283885</v>
      </c>
      <c r="AC62" s="52">
        <f t="shared" si="8"/>
        <v>3503.7325563982567</v>
      </c>
      <c r="AD62" s="52">
        <f t="shared" si="8"/>
        <v>3486.8192723681254</v>
      </c>
      <c r="AE62" s="51">
        <f t="shared" si="9"/>
        <v>3469.9059883379941</v>
      </c>
      <c r="AF62" s="52">
        <f t="shared" si="10"/>
        <v>3401.3090609193709</v>
      </c>
      <c r="AG62" s="52">
        <f t="shared" si="10"/>
        <v>3332.7121335007478</v>
      </c>
      <c r="AH62" s="52">
        <f t="shared" si="10"/>
        <v>3264.115206082125</v>
      </c>
      <c r="AI62" s="52">
        <f t="shared" si="10"/>
        <v>3195.5182786635019</v>
      </c>
      <c r="AJ62" s="51">
        <f t="shared" si="11"/>
        <v>3126.9213512448787</v>
      </c>
      <c r="AK62" s="52">
        <f t="shared" si="12"/>
        <v>3074.5875328002503</v>
      </c>
      <c r="AL62" s="52">
        <f t="shared" si="12"/>
        <v>3022.2537143556219</v>
      </c>
      <c r="AM62" s="52">
        <f t="shared" si="12"/>
        <v>2969.919895910994</v>
      </c>
      <c r="AN62" s="52">
        <f t="shared" si="12"/>
        <v>2917.5860774663656</v>
      </c>
      <c r="AO62" s="51">
        <f t="shared" si="13"/>
        <v>2865.2522590217372</v>
      </c>
      <c r="AP62" s="52">
        <f t="shared" si="14"/>
        <v>2815.5627660865152</v>
      </c>
      <c r="AQ62" s="52">
        <f t="shared" si="14"/>
        <v>2765.8732731512928</v>
      </c>
      <c r="AR62" s="52">
        <f t="shared" si="14"/>
        <v>2716.1837802160708</v>
      </c>
      <c r="AS62" s="52">
        <f t="shared" si="14"/>
        <v>2666.4942872808483</v>
      </c>
      <c r="AT62" s="51">
        <f t="shared" si="15"/>
        <v>2616.8047943456263</v>
      </c>
      <c r="AU62" s="52">
        <f t="shared" si="16"/>
        <v>2584.3093817788804</v>
      </c>
      <c r="AV62" s="52">
        <f t="shared" si="16"/>
        <v>2551.8139692121345</v>
      </c>
      <c r="AW62" s="52">
        <f t="shared" si="16"/>
        <v>2519.3185566453881</v>
      </c>
      <c r="AX62" s="52">
        <f t="shared" si="16"/>
        <v>2486.8231440786421</v>
      </c>
      <c r="AY62" s="51">
        <f t="shared" si="17"/>
        <v>2454.3277315118962</v>
      </c>
      <c r="AZ62" s="52">
        <f t="shared" si="18"/>
        <v>2427.499219842281</v>
      </c>
      <c r="BA62" s="52">
        <f t="shared" si="18"/>
        <v>2400.6707081726663</v>
      </c>
      <c r="BB62" s="52">
        <f t="shared" si="18"/>
        <v>2373.8421965030511</v>
      </c>
      <c r="BC62" s="52">
        <f t="shared" si="18"/>
        <v>2347.0136848334364</v>
      </c>
      <c r="BD62" s="51">
        <f t="shared" si="19"/>
        <v>2320.1851731638212</v>
      </c>
      <c r="BF62" s="440"/>
    </row>
    <row r="63" spans="1:58" x14ac:dyDescent="0.15">
      <c r="A63" s="7" t="s">
        <v>47</v>
      </c>
      <c r="B63" s="7" t="s">
        <v>23</v>
      </c>
      <c r="C63" s="7" t="s">
        <v>22</v>
      </c>
      <c r="D63" s="7" t="s">
        <v>18</v>
      </c>
      <c r="E63" s="7" t="s">
        <v>37</v>
      </c>
      <c r="F63" s="47" t="str">
        <f t="shared" si="2"/>
        <v>PJ</v>
      </c>
      <c r="G63" s="47" t="s">
        <v>38</v>
      </c>
      <c r="H63" s="7" t="s">
        <v>28</v>
      </c>
      <c r="J63" s="51">
        <f t="shared" si="3"/>
        <v>1025.6459611143143</v>
      </c>
      <c r="K63" s="52">
        <f t="shared" si="21"/>
        <v>1033.1384049963963</v>
      </c>
      <c r="L63" s="52">
        <f t="shared" si="21"/>
        <v>1040.6308488784784</v>
      </c>
      <c r="M63" s="52">
        <f t="shared" si="21"/>
        <v>1048.1232927605604</v>
      </c>
      <c r="N63" s="52">
        <f t="shared" si="21"/>
        <v>1055.6157366426423</v>
      </c>
      <c r="O63" s="52">
        <f t="shared" si="21"/>
        <v>1063.1081805247243</v>
      </c>
      <c r="P63" s="52">
        <f t="shared" si="21"/>
        <v>1070.6006244068064</v>
      </c>
      <c r="Q63" s="52">
        <f t="shared" si="21"/>
        <v>1078.0930682888884</v>
      </c>
      <c r="R63" s="52">
        <f t="shared" si="21"/>
        <v>1085.5855121709703</v>
      </c>
      <c r="S63" s="52">
        <f t="shared" si="21"/>
        <v>1093.0779560530523</v>
      </c>
      <c r="T63" s="52">
        <f t="shared" si="21"/>
        <v>1100.5703999351344</v>
      </c>
      <c r="U63" s="51">
        <f t="shared" si="5"/>
        <v>1108.0628438172164</v>
      </c>
      <c r="V63" s="52">
        <f t="shared" si="6"/>
        <v>1113.9050253243067</v>
      </c>
      <c r="W63" s="52">
        <f t="shared" si="6"/>
        <v>1119.7472068313973</v>
      </c>
      <c r="X63" s="52">
        <f t="shared" si="6"/>
        <v>1125.5893883384877</v>
      </c>
      <c r="Y63" s="52">
        <f t="shared" si="6"/>
        <v>1131.4315698455782</v>
      </c>
      <c r="Z63" s="51">
        <f t="shared" si="7"/>
        <v>1137.2737513526686</v>
      </c>
      <c r="AA63" s="52">
        <f t="shared" si="8"/>
        <v>1140.3525981714861</v>
      </c>
      <c r="AB63" s="52">
        <f t="shared" si="8"/>
        <v>1143.4314449903034</v>
      </c>
      <c r="AC63" s="52">
        <f t="shared" si="8"/>
        <v>1146.5102918091209</v>
      </c>
      <c r="AD63" s="52">
        <f t="shared" si="8"/>
        <v>1149.5891386279382</v>
      </c>
      <c r="AE63" s="51">
        <f t="shared" si="9"/>
        <v>1152.6679854467557</v>
      </c>
      <c r="AF63" s="52">
        <f t="shared" si="10"/>
        <v>1154.1724750336869</v>
      </c>
      <c r="AG63" s="52">
        <f t="shared" si="10"/>
        <v>1155.676964620618</v>
      </c>
      <c r="AH63" s="52">
        <f t="shared" si="10"/>
        <v>1157.1814542075495</v>
      </c>
      <c r="AI63" s="52">
        <f t="shared" si="10"/>
        <v>1158.6859437944806</v>
      </c>
      <c r="AJ63" s="51">
        <f t="shared" si="11"/>
        <v>1160.1904333814118</v>
      </c>
      <c r="AK63" s="52">
        <f t="shared" si="12"/>
        <v>1159.5946067488314</v>
      </c>
      <c r="AL63" s="52">
        <f t="shared" si="12"/>
        <v>1158.9987801162511</v>
      </c>
      <c r="AM63" s="52">
        <f t="shared" si="12"/>
        <v>1158.4029534836704</v>
      </c>
      <c r="AN63" s="52">
        <f t="shared" si="12"/>
        <v>1157.8071268510901</v>
      </c>
      <c r="AO63" s="51">
        <f t="shared" si="13"/>
        <v>1157.2113002185097</v>
      </c>
      <c r="AP63" s="52">
        <f t="shared" si="14"/>
        <v>1155.1963711365033</v>
      </c>
      <c r="AQ63" s="52">
        <f t="shared" si="14"/>
        <v>1153.181442054497</v>
      </c>
      <c r="AR63" s="52">
        <f t="shared" si="14"/>
        <v>1151.1665129724906</v>
      </c>
      <c r="AS63" s="52">
        <f t="shared" si="14"/>
        <v>1149.1515838904843</v>
      </c>
      <c r="AT63" s="51">
        <f t="shared" si="15"/>
        <v>1147.1366548084779</v>
      </c>
      <c r="AU63" s="52">
        <f t="shared" si="16"/>
        <v>1154.4219144240237</v>
      </c>
      <c r="AV63" s="52">
        <f t="shared" si="16"/>
        <v>1161.7071740395693</v>
      </c>
      <c r="AW63" s="52">
        <f t="shared" si="16"/>
        <v>1168.9924336551151</v>
      </c>
      <c r="AX63" s="52">
        <f t="shared" si="16"/>
        <v>1176.2776932706606</v>
      </c>
      <c r="AY63" s="51">
        <f t="shared" si="17"/>
        <v>1183.5629528862064</v>
      </c>
      <c r="AZ63" s="52">
        <f t="shared" si="18"/>
        <v>1190.4845858299916</v>
      </c>
      <c r="BA63" s="52">
        <f t="shared" si="18"/>
        <v>1197.4062187737768</v>
      </c>
      <c r="BB63" s="52">
        <f t="shared" si="18"/>
        <v>1204.3278517175618</v>
      </c>
      <c r="BC63" s="52">
        <f t="shared" si="18"/>
        <v>1211.249484661347</v>
      </c>
      <c r="BD63" s="51">
        <f t="shared" si="19"/>
        <v>1218.1711176051322</v>
      </c>
      <c r="BF63" s="440"/>
    </row>
    <row r="64" spans="1:58" x14ac:dyDescent="0.15">
      <c r="A64" s="7" t="s">
        <v>47</v>
      </c>
      <c r="B64" s="7" t="s">
        <v>23</v>
      </c>
      <c r="C64" s="7" t="s">
        <v>22</v>
      </c>
      <c r="D64" s="7" t="s">
        <v>18</v>
      </c>
      <c r="E64" s="7" t="s">
        <v>37</v>
      </c>
      <c r="F64" s="47" t="str">
        <f t="shared" si="2"/>
        <v>PJ</v>
      </c>
      <c r="G64" s="47" t="s">
        <v>38</v>
      </c>
      <c r="H64" s="7" t="s">
        <v>9</v>
      </c>
      <c r="J64" s="51">
        <f t="shared" si="3"/>
        <v>15992.994142770574</v>
      </c>
      <c r="K64" s="52">
        <f t="shared" si="21"/>
        <v>16029.229645895906</v>
      </c>
      <c r="L64" s="52">
        <f t="shared" si="21"/>
        <v>16065.465149021238</v>
      </c>
      <c r="M64" s="52">
        <f t="shared" si="21"/>
        <v>16101.700652146568</v>
      </c>
      <c r="N64" s="52">
        <f t="shared" si="21"/>
        <v>16137.9361552719</v>
      </c>
      <c r="O64" s="52">
        <f t="shared" si="21"/>
        <v>16174.171658397232</v>
      </c>
      <c r="P64" s="52">
        <f t="shared" si="21"/>
        <v>16210.407161522564</v>
      </c>
      <c r="Q64" s="52">
        <f t="shared" si="21"/>
        <v>16246.642664647896</v>
      </c>
      <c r="R64" s="52">
        <f t="shared" si="21"/>
        <v>16282.878167773228</v>
      </c>
      <c r="S64" s="52">
        <f t="shared" si="21"/>
        <v>16319.113670898558</v>
      </c>
      <c r="T64" s="52">
        <f t="shared" si="21"/>
        <v>16355.34917402389</v>
      </c>
      <c r="U64" s="51">
        <f t="shared" si="5"/>
        <v>16391.584677149222</v>
      </c>
      <c r="V64" s="52">
        <f t="shared" si="6"/>
        <v>16471.142438645595</v>
      </c>
      <c r="W64" s="52">
        <f t="shared" si="6"/>
        <v>16550.700200141964</v>
      </c>
      <c r="X64" s="52">
        <f t="shared" si="6"/>
        <v>16630.257961638337</v>
      </c>
      <c r="Y64" s="52">
        <f t="shared" si="6"/>
        <v>16709.815723134707</v>
      </c>
      <c r="Z64" s="51">
        <f t="shared" si="7"/>
        <v>16789.37348463108</v>
      </c>
      <c r="AA64" s="52">
        <f t="shared" si="8"/>
        <v>17032.475560112551</v>
      </c>
      <c r="AB64" s="52">
        <f t="shared" si="8"/>
        <v>17275.577635594022</v>
      </c>
      <c r="AC64" s="52">
        <f t="shared" si="8"/>
        <v>17518.679711075492</v>
      </c>
      <c r="AD64" s="52">
        <f t="shared" si="8"/>
        <v>17761.781786556963</v>
      </c>
      <c r="AE64" s="51">
        <f t="shared" si="9"/>
        <v>18004.883862038434</v>
      </c>
      <c r="AF64" s="52">
        <f t="shared" si="10"/>
        <v>18311.344666324519</v>
      </c>
      <c r="AG64" s="52">
        <f t="shared" si="10"/>
        <v>18617.805470610605</v>
      </c>
      <c r="AH64" s="52">
        <f t="shared" si="10"/>
        <v>18924.26627489669</v>
      </c>
      <c r="AI64" s="52">
        <f t="shared" si="10"/>
        <v>19230.727079182776</v>
      </c>
      <c r="AJ64" s="51">
        <f t="shared" si="11"/>
        <v>19537.187883468861</v>
      </c>
      <c r="AK64" s="52">
        <f t="shared" si="12"/>
        <v>19727.299693253004</v>
      </c>
      <c r="AL64" s="52">
        <f t="shared" si="12"/>
        <v>19917.411503037147</v>
      </c>
      <c r="AM64" s="52">
        <f t="shared" si="12"/>
        <v>20107.523312821293</v>
      </c>
      <c r="AN64" s="52">
        <f t="shared" si="12"/>
        <v>20297.635122605436</v>
      </c>
      <c r="AO64" s="51">
        <f t="shared" si="13"/>
        <v>20487.746932389578</v>
      </c>
      <c r="AP64" s="52">
        <f t="shared" si="14"/>
        <v>20774.815406762391</v>
      </c>
      <c r="AQ64" s="52">
        <f t="shared" si="14"/>
        <v>21061.883881135207</v>
      </c>
      <c r="AR64" s="52">
        <f t="shared" si="14"/>
        <v>21348.95235550802</v>
      </c>
      <c r="AS64" s="52">
        <f t="shared" si="14"/>
        <v>21636.020829880836</v>
      </c>
      <c r="AT64" s="51">
        <f t="shared" si="15"/>
        <v>21923.089304253648</v>
      </c>
      <c r="AU64" s="52">
        <f t="shared" si="16"/>
        <v>22252.437790054428</v>
      </c>
      <c r="AV64" s="52">
        <f t="shared" si="16"/>
        <v>22581.786275855207</v>
      </c>
      <c r="AW64" s="52">
        <f t="shared" si="16"/>
        <v>22911.134761655991</v>
      </c>
      <c r="AX64" s="52">
        <f t="shared" si="16"/>
        <v>23240.48324745677</v>
      </c>
      <c r="AY64" s="51">
        <f t="shared" si="17"/>
        <v>23569.83173325755</v>
      </c>
      <c r="AZ64" s="52">
        <f t="shared" si="18"/>
        <v>23953.048723590829</v>
      </c>
      <c r="BA64" s="52">
        <f t="shared" si="18"/>
        <v>24336.265713924106</v>
      </c>
      <c r="BB64" s="52">
        <f t="shared" si="18"/>
        <v>24719.482704257385</v>
      </c>
      <c r="BC64" s="52">
        <f t="shared" si="18"/>
        <v>25102.699694590661</v>
      </c>
      <c r="BD64" s="51">
        <f t="shared" si="19"/>
        <v>25485.916684923941</v>
      </c>
      <c r="BF64" s="440"/>
    </row>
    <row r="65" spans="1:58" x14ac:dyDescent="0.15">
      <c r="A65" s="7" t="s">
        <v>47</v>
      </c>
      <c r="B65" s="7" t="s">
        <v>23</v>
      </c>
      <c r="C65" s="7" t="s">
        <v>22</v>
      </c>
      <c r="D65" s="7" t="s">
        <v>18</v>
      </c>
      <c r="E65" s="7" t="s">
        <v>37</v>
      </c>
      <c r="F65" s="47" t="str">
        <f t="shared" si="2"/>
        <v>PJ</v>
      </c>
      <c r="G65" s="47" t="s">
        <v>38</v>
      </c>
      <c r="H65" s="7" t="s">
        <v>49</v>
      </c>
      <c r="J65" s="51">
        <f t="shared" si="3"/>
        <v>17800.654137950361</v>
      </c>
      <c r="K65" s="52">
        <f t="shared" si="21"/>
        <v>17999.20213962506</v>
      </c>
      <c r="L65" s="52">
        <f t="shared" si="21"/>
        <v>18197.750141299759</v>
      </c>
      <c r="M65" s="52">
        <f t="shared" si="21"/>
        <v>18396.298142974461</v>
      </c>
      <c r="N65" s="52">
        <f t="shared" si="21"/>
        <v>18594.84614464916</v>
      </c>
      <c r="O65" s="52">
        <f t="shared" si="21"/>
        <v>18793.394146323859</v>
      </c>
      <c r="P65" s="52">
        <f t="shared" si="21"/>
        <v>18991.942147998558</v>
      </c>
      <c r="Q65" s="52">
        <f t="shared" si="21"/>
        <v>19190.490149673256</v>
      </c>
      <c r="R65" s="52">
        <f t="shared" si="21"/>
        <v>19389.038151347955</v>
      </c>
      <c r="S65" s="52">
        <f t="shared" si="21"/>
        <v>19587.586153022658</v>
      </c>
      <c r="T65" s="52">
        <f t="shared" si="21"/>
        <v>19786.134154697356</v>
      </c>
      <c r="U65" s="51">
        <f t="shared" si="5"/>
        <v>19984.682156372055</v>
      </c>
      <c r="V65" s="52">
        <f t="shared" si="6"/>
        <v>20110.457243772013</v>
      </c>
      <c r="W65" s="52">
        <f t="shared" si="6"/>
        <v>20236.23233117197</v>
      </c>
      <c r="X65" s="52">
        <f t="shared" si="6"/>
        <v>20362.007418571928</v>
      </c>
      <c r="Y65" s="52">
        <f t="shared" si="6"/>
        <v>20487.782505971885</v>
      </c>
      <c r="Z65" s="51">
        <f t="shared" si="7"/>
        <v>20613.557593371843</v>
      </c>
      <c r="AA65" s="52">
        <f t="shared" si="8"/>
        <v>20778.172458389599</v>
      </c>
      <c r="AB65" s="52">
        <f t="shared" si="8"/>
        <v>20942.78732340736</v>
      </c>
      <c r="AC65" s="52">
        <f t="shared" si="8"/>
        <v>21107.402188425116</v>
      </c>
      <c r="AD65" s="52">
        <f t="shared" si="8"/>
        <v>21272.017053442876</v>
      </c>
      <c r="AE65" s="51">
        <f t="shared" si="9"/>
        <v>21436.631918460633</v>
      </c>
      <c r="AF65" s="52">
        <f t="shared" si="10"/>
        <v>21556.587433392677</v>
      </c>
      <c r="AG65" s="52">
        <f t="shared" si="10"/>
        <v>21676.542948324721</v>
      </c>
      <c r="AH65" s="52">
        <f t="shared" si="10"/>
        <v>21796.498463256768</v>
      </c>
      <c r="AI65" s="52">
        <f t="shared" si="10"/>
        <v>21916.453978188812</v>
      </c>
      <c r="AJ65" s="51">
        <f t="shared" si="11"/>
        <v>22036.409493120856</v>
      </c>
      <c r="AK65" s="52">
        <f t="shared" si="12"/>
        <v>22115.645939250739</v>
      </c>
      <c r="AL65" s="52">
        <f t="shared" si="12"/>
        <v>22194.882385380624</v>
      </c>
      <c r="AM65" s="52">
        <f t="shared" si="12"/>
        <v>22274.118831510506</v>
      </c>
      <c r="AN65" s="52">
        <f t="shared" si="12"/>
        <v>22353.355277640392</v>
      </c>
      <c r="AO65" s="51">
        <f t="shared" si="13"/>
        <v>22432.591723770274</v>
      </c>
      <c r="AP65" s="52">
        <f t="shared" si="14"/>
        <v>22474.162600804426</v>
      </c>
      <c r="AQ65" s="52">
        <f t="shared" si="14"/>
        <v>22515.733477838574</v>
      </c>
      <c r="AR65" s="52">
        <f t="shared" si="14"/>
        <v>22557.304354872726</v>
      </c>
      <c r="AS65" s="52">
        <f t="shared" si="14"/>
        <v>22598.875231906874</v>
      </c>
      <c r="AT65" s="51">
        <f t="shared" si="15"/>
        <v>22640.446108941025</v>
      </c>
      <c r="AU65" s="52">
        <f t="shared" si="16"/>
        <v>22736.792216505757</v>
      </c>
      <c r="AV65" s="52">
        <f t="shared" si="16"/>
        <v>22833.138324070493</v>
      </c>
      <c r="AW65" s="52">
        <f t="shared" si="16"/>
        <v>22929.484431635225</v>
      </c>
      <c r="AX65" s="52">
        <f t="shared" si="16"/>
        <v>23025.83053919996</v>
      </c>
      <c r="AY65" s="51">
        <f t="shared" si="17"/>
        <v>23122.176646764692</v>
      </c>
      <c r="AZ65" s="52">
        <f t="shared" si="18"/>
        <v>23171.70012986986</v>
      </c>
      <c r="BA65" s="52">
        <f t="shared" si="18"/>
        <v>23221.223612975031</v>
      </c>
      <c r="BB65" s="52">
        <f t="shared" si="18"/>
        <v>23270.747096080198</v>
      </c>
      <c r="BC65" s="52">
        <f t="shared" si="18"/>
        <v>23320.27057918537</v>
      </c>
      <c r="BD65" s="51">
        <f t="shared" si="19"/>
        <v>23369.794062290537</v>
      </c>
      <c r="BF65" s="440"/>
    </row>
    <row r="66" spans="1:58" x14ac:dyDescent="0.15">
      <c r="A66" s="7" t="s">
        <v>47</v>
      </c>
      <c r="B66" s="7" t="s">
        <v>23</v>
      </c>
      <c r="C66" s="7" t="s">
        <v>22</v>
      </c>
      <c r="D66" s="7" t="s">
        <v>18</v>
      </c>
      <c r="E66" s="7" t="s">
        <v>37</v>
      </c>
      <c r="F66" s="47" t="str">
        <f t="shared" si="2"/>
        <v>PJ</v>
      </c>
      <c r="G66" s="47" t="s">
        <v>38</v>
      </c>
      <c r="H66" s="47" t="s">
        <v>29</v>
      </c>
      <c r="I66" s="47"/>
      <c r="J66" s="51">
        <f t="shared" si="3"/>
        <v>0</v>
      </c>
      <c r="K66" s="52">
        <f t="shared" si="21"/>
        <v>0</v>
      </c>
      <c r="L66" s="52">
        <f t="shared" si="21"/>
        <v>0</v>
      </c>
      <c r="M66" s="52">
        <f t="shared" si="21"/>
        <v>0</v>
      </c>
      <c r="N66" s="52">
        <f t="shared" si="21"/>
        <v>0</v>
      </c>
      <c r="O66" s="52">
        <f t="shared" si="21"/>
        <v>0</v>
      </c>
      <c r="P66" s="52">
        <f t="shared" si="21"/>
        <v>0</v>
      </c>
      <c r="Q66" s="52">
        <f t="shared" si="21"/>
        <v>0</v>
      </c>
      <c r="R66" s="52">
        <f t="shared" si="21"/>
        <v>0</v>
      </c>
      <c r="S66" s="52">
        <f t="shared" si="21"/>
        <v>0</v>
      </c>
      <c r="T66" s="52">
        <f t="shared" si="21"/>
        <v>0</v>
      </c>
      <c r="U66" s="51">
        <f t="shared" si="5"/>
        <v>0</v>
      </c>
      <c r="V66" s="52">
        <f t="shared" si="6"/>
        <v>0</v>
      </c>
      <c r="W66" s="52">
        <f t="shared" si="6"/>
        <v>0</v>
      </c>
      <c r="X66" s="52">
        <f t="shared" si="6"/>
        <v>0</v>
      </c>
      <c r="Y66" s="52">
        <f t="shared" si="6"/>
        <v>0</v>
      </c>
      <c r="Z66" s="51">
        <f t="shared" si="7"/>
        <v>0</v>
      </c>
      <c r="AA66" s="52">
        <f t="shared" si="8"/>
        <v>0</v>
      </c>
      <c r="AB66" s="52">
        <f t="shared" si="8"/>
        <v>0</v>
      </c>
      <c r="AC66" s="52">
        <f t="shared" si="8"/>
        <v>0</v>
      </c>
      <c r="AD66" s="52">
        <f t="shared" si="8"/>
        <v>0</v>
      </c>
      <c r="AE66" s="51">
        <f t="shared" si="9"/>
        <v>0</v>
      </c>
      <c r="AF66" s="52">
        <f t="shared" si="10"/>
        <v>0</v>
      </c>
      <c r="AG66" s="52">
        <f t="shared" si="10"/>
        <v>0</v>
      </c>
      <c r="AH66" s="52">
        <f t="shared" si="10"/>
        <v>0</v>
      </c>
      <c r="AI66" s="52">
        <f t="shared" si="10"/>
        <v>0</v>
      </c>
      <c r="AJ66" s="51">
        <f t="shared" si="11"/>
        <v>0</v>
      </c>
      <c r="AK66" s="52">
        <f t="shared" si="12"/>
        <v>0</v>
      </c>
      <c r="AL66" s="52">
        <f t="shared" si="12"/>
        <v>0</v>
      </c>
      <c r="AM66" s="52">
        <f t="shared" si="12"/>
        <v>0</v>
      </c>
      <c r="AN66" s="52">
        <f t="shared" si="12"/>
        <v>0</v>
      </c>
      <c r="AO66" s="51">
        <f t="shared" si="13"/>
        <v>0</v>
      </c>
      <c r="AP66" s="52">
        <f t="shared" si="14"/>
        <v>0</v>
      </c>
      <c r="AQ66" s="52">
        <f t="shared" si="14"/>
        <v>0</v>
      </c>
      <c r="AR66" s="52">
        <f t="shared" si="14"/>
        <v>0</v>
      </c>
      <c r="AS66" s="52">
        <f t="shared" si="14"/>
        <v>0</v>
      </c>
      <c r="AT66" s="51">
        <f t="shared" si="15"/>
        <v>0</v>
      </c>
      <c r="AU66" s="52">
        <f t="shared" si="16"/>
        <v>0</v>
      </c>
      <c r="AV66" s="52">
        <f t="shared" si="16"/>
        <v>0</v>
      </c>
      <c r="AW66" s="52">
        <f t="shared" si="16"/>
        <v>0</v>
      </c>
      <c r="AX66" s="52">
        <f t="shared" si="16"/>
        <v>0</v>
      </c>
      <c r="AY66" s="51">
        <f t="shared" si="17"/>
        <v>0</v>
      </c>
      <c r="AZ66" s="52">
        <f t="shared" si="18"/>
        <v>0</v>
      </c>
      <c r="BA66" s="52">
        <f t="shared" si="18"/>
        <v>0</v>
      </c>
      <c r="BB66" s="52">
        <f t="shared" si="18"/>
        <v>0</v>
      </c>
      <c r="BC66" s="52">
        <f t="shared" si="18"/>
        <v>0</v>
      </c>
      <c r="BD66" s="51">
        <f t="shared" si="19"/>
        <v>0</v>
      </c>
      <c r="BF66" s="440"/>
    </row>
    <row r="67" spans="1:58" x14ac:dyDescent="0.15">
      <c r="A67" s="7" t="s">
        <v>42</v>
      </c>
      <c r="B67" s="7" t="s">
        <v>23</v>
      </c>
      <c r="C67" s="7" t="s">
        <v>22</v>
      </c>
      <c r="D67" s="7" t="s">
        <v>18</v>
      </c>
      <c r="E67" s="7" t="s">
        <v>31</v>
      </c>
      <c r="F67" s="47" t="str">
        <f t="shared" si="2"/>
        <v>Mt</v>
      </c>
      <c r="G67" s="47" t="s">
        <v>75</v>
      </c>
      <c r="H67" s="7" t="s">
        <v>6</v>
      </c>
      <c r="J67" s="51">
        <f t="shared" si="3"/>
        <v>1670.1409999999994</v>
      </c>
      <c r="K67" s="52">
        <f t="shared" si="21"/>
        <v>1670.5922422310605</v>
      </c>
      <c r="L67" s="52">
        <f t="shared" si="21"/>
        <v>1671.0434844621216</v>
      </c>
      <c r="M67" s="52">
        <f t="shared" si="21"/>
        <v>1671.4947266931824</v>
      </c>
      <c r="N67" s="52">
        <f t="shared" si="21"/>
        <v>1671.9459689242435</v>
      </c>
      <c r="O67" s="52">
        <f t="shared" si="21"/>
        <v>1672.3972111553046</v>
      </c>
      <c r="P67" s="52">
        <f t="shared" si="21"/>
        <v>1672.8484533863657</v>
      </c>
      <c r="Q67" s="52">
        <f t="shared" si="21"/>
        <v>1673.2996956174268</v>
      </c>
      <c r="R67" s="52">
        <f t="shared" si="21"/>
        <v>1673.7509378484879</v>
      </c>
      <c r="S67" s="52">
        <f t="shared" si="21"/>
        <v>1674.2021800795487</v>
      </c>
      <c r="T67" s="52">
        <f t="shared" si="21"/>
        <v>1674.6534223106098</v>
      </c>
      <c r="U67" s="51">
        <f t="shared" si="5"/>
        <v>1675.1046645416709</v>
      </c>
      <c r="V67" s="52">
        <f t="shared" si="6"/>
        <v>1672.6663282779498</v>
      </c>
      <c r="W67" s="52">
        <f t="shared" si="6"/>
        <v>1670.2279920142289</v>
      </c>
      <c r="X67" s="52">
        <f t="shared" si="6"/>
        <v>1667.7896557505078</v>
      </c>
      <c r="Y67" s="52">
        <f t="shared" si="6"/>
        <v>1665.3513194867869</v>
      </c>
      <c r="Z67" s="51">
        <f t="shared" si="7"/>
        <v>1662.9129832230658</v>
      </c>
      <c r="AA67" s="52">
        <f t="shared" si="8"/>
        <v>1671.9351296200375</v>
      </c>
      <c r="AB67" s="52">
        <f t="shared" si="8"/>
        <v>1680.9572760170095</v>
      </c>
      <c r="AC67" s="52">
        <f t="shared" si="8"/>
        <v>1689.9794224139812</v>
      </c>
      <c r="AD67" s="52">
        <f t="shared" si="8"/>
        <v>1699.0015688109531</v>
      </c>
      <c r="AE67" s="51">
        <f t="shared" si="9"/>
        <v>1708.0237152079249</v>
      </c>
      <c r="AF67" s="52">
        <f t="shared" si="10"/>
        <v>1720.3336246937865</v>
      </c>
      <c r="AG67" s="52">
        <f t="shared" si="10"/>
        <v>1732.643534179648</v>
      </c>
      <c r="AH67" s="52">
        <f t="shared" si="10"/>
        <v>1744.9534436655097</v>
      </c>
      <c r="AI67" s="52">
        <f t="shared" si="10"/>
        <v>1757.2633531513711</v>
      </c>
      <c r="AJ67" s="51">
        <f t="shared" si="11"/>
        <v>1769.5732626372328</v>
      </c>
      <c r="AK67" s="52">
        <f t="shared" si="12"/>
        <v>1771.4513206879242</v>
      </c>
      <c r="AL67" s="52">
        <f t="shared" si="12"/>
        <v>1773.3293787386156</v>
      </c>
      <c r="AM67" s="52">
        <f t="shared" si="12"/>
        <v>1775.2074367893072</v>
      </c>
      <c r="AN67" s="52">
        <f t="shared" si="12"/>
        <v>1777.0854948399985</v>
      </c>
      <c r="AO67" s="51">
        <f t="shared" si="13"/>
        <v>1778.9635528906899</v>
      </c>
      <c r="AP67" s="52">
        <f t="shared" si="14"/>
        <v>1788.2629513552429</v>
      </c>
      <c r="AQ67" s="52">
        <f t="shared" si="14"/>
        <v>1797.5623498197958</v>
      </c>
      <c r="AR67" s="52">
        <f t="shared" si="14"/>
        <v>1806.8617482843488</v>
      </c>
      <c r="AS67" s="52">
        <f t="shared" si="14"/>
        <v>1816.1611467489017</v>
      </c>
      <c r="AT67" s="51">
        <f t="shared" si="15"/>
        <v>1825.4605452134547</v>
      </c>
      <c r="AU67" s="52">
        <f t="shared" si="16"/>
        <v>1824.0124968281584</v>
      </c>
      <c r="AV67" s="52">
        <f t="shared" si="16"/>
        <v>1822.5644484428622</v>
      </c>
      <c r="AW67" s="52">
        <f t="shared" si="16"/>
        <v>1821.1164000575661</v>
      </c>
      <c r="AX67" s="52">
        <f t="shared" si="16"/>
        <v>1819.6683516722699</v>
      </c>
      <c r="AY67" s="51">
        <f t="shared" si="17"/>
        <v>1818.2203032869736</v>
      </c>
      <c r="AZ67" s="52">
        <f t="shared" si="18"/>
        <v>1810.4130927701849</v>
      </c>
      <c r="BA67" s="52">
        <f t="shared" si="18"/>
        <v>1802.605882253396</v>
      </c>
      <c r="BB67" s="52">
        <f t="shared" si="18"/>
        <v>1794.7986717366073</v>
      </c>
      <c r="BC67" s="52">
        <f t="shared" si="18"/>
        <v>1786.9914612198183</v>
      </c>
      <c r="BD67" s="51">
        <f t="shared" si="19"/>
        <v>1779.1842507030296</v>
      </c>
      <c r="BF67" s="440">
        <f>($U$49-$P$49)*(0.5*(P67-U67)+U67)+($Z$49-$U$49)*(0.5*(U67-Z67)+Z67)+($AE$49-$Z$49)*(0.5*(Z67-AE67)+AE67)+($AJ$49-$AE$49)*(0.5*(AE67-AJ67)+AJ67)+($AO$49-$AJ$49)*(0.5*(AJ67-AO67)+AO67)+($AT$49-$AO$49)*(0.5*(AO67-AT67)+AT67)</f>
        <v>51718.663389002475</v>
      </c>
    </row>
    <row r="68" spans="1:58" x14ac:dyDescent="0.15">
      <c r="A68" s="7" t="s">
        <v>42</v>
      </c>
      <c r="B68" s="7" t="s">
        <v>23</v>
      </c>
      <c r="C68" s="7" t="s">
        <v>22</v>
      </c>
      <c r="D68" s="7" t="s">
        <v>18</v>
      </c>
      <c r="E68" s="7" t="s">
        <v>31</v>
      </c>
      <c r="F68" s="47" t="str">
        <f t="shared" si="2"/>
        <v>Mt</v>
      </c>
      <c r="G68" s="47" t="s">
        <v>75</v>
      </c>
      <c r="H68" s="7" t="s">
        <v>7</v>
      </c>
      <c r="J68" s="51">
        <f t="shared" si="3"/>
        <v>4175.3100000000004</v>
      </c>
      <c r="K68" s="52">
        <f t="shared" si="21"/>
        <v>4206.2428347708665</v>
      </c>
      <c r="L68" s="52">
        <f t="shared" si="21"/>
        <v>4237.1756695417325</v>
      </c>
      <c r="M68" s="52">
        <f t="shared" si="21"/>
        <v>4268.1085043125977</v>
      </c>
      <c r="N68" s="52">
        <f t="shared" si="21"/>
        <v>4299.0413390834638</v>
      </c>
      <c r="O68" s="52">
        <f t="shared" si="21"/>
        <v>4329.9741738543298</v>
      </c>
      <c r="P68" s="52">
        <f t="shared" si="21"/>
        <v>4360.9070086251959</v>
      </c>
      <c r="Q68" s="52">
        <f t="shared" si="21"/>
        <v>4391.839843396062</v>
      </c>
      <c r="R68" s="52">
        <f t="shared" si="21"/>
        <v>4422.772678166928</v>
      </c>
      <c r="S68" s="52">
        <f t="shared" si="21"/>
        <v>4453.7055129377932</v>
      </c>
      <c r="T68" s="52">
        <f t="shared" si="21"/>
        <v>4484.6383477086592</v>
      </c>
      <c r="U68" s="51">
        <f t="shared" si="5"/>
        <v>4515.5711824795253</v>
      </c>
      <c r="V68" s="52">
        <f t="shared" si="6"/>
        <v>4531.3959718965361</v>
      </c>
      <c r="W68" s="52">
        <f t="shared" si="6"/>
        <v>4547.220761313547</v>
      </c>
      <c r="X68" s="52">
        <f t="shared" si="6"/>
        <v>4563.0455507305587</v>
      </c>
      <c r="Y68" s="52">
        <f t="shared" si="6"/>
        <v>4578.8703401475696</v>
      </c>
      <c r="Z68" s="51">
        <f t="shared" si="7"/>
        <v>4594.6951295645804</v>
      </c>
      <c r="AA68" s="52">
        <f t="shared" si="8"/>
        <v>4608.068035312901</v>
      </c>
      <c r="AB68" s="52">
        <f t="shared" si="8"/>
        <v>4621.4409410612225</v>
      </c>
      <c r="AC68" s="52">
        <f t="shared" si="8"/>
        <v>4634.8138468095431</v>
      </c>
      <c r="AD68" s="52">
        <f t="shared" si="8"/>
        <v>4648.1867525578646</v>
      </c>
      <c r="AE68" s="51">
        <f t="shared" si="9"/>
        <v>4661.5596583061852</v>
      </c>
      <c r="AF68" s="52">
        <f t="shared" si="10"/>
        <v>4705.7681332507764</v>
      </c>
      <c r="AG68" s="52">
        <f t="shared" si="10"/>
        <v>4749.9766081953667</v>
      </c>
      <c r="AH68" s="52">
        <f t="shared" si="10"/>
        <v>4794.1850831399579</v>
      </c>
      <c r="AI68" s="52">
        <f t="shared" si="10"/>
        <v>4838.3935580845482</v>
      </c>
      <c r="AJ68" s="51">
        <f t="shared" si="11"/>
        <v>4882.6020330291394</v>
      </c>
      <c r="AK68" s="52">
        <f t="shared" si="12"/>
        <v>4909.7191737515013</v>
      </c>
      <c r="AL68" s="52">
        <f t="shared" si="12"/>
        <v>4936.8363144738623</v>
      </c>
      <c r="AM68" s="52">
        <f t="shared" si="12"/>
        <v>4963.9534551962242</v>
      </c>
      <c r="AN68" s="52">
        <f t="shared" si="12"/>
        <v>4991.0705959185852</v>
      </c>
      <c r="AO68" s="51">
        <f t="shared" si="13"/>
        <v>5018.1877366409472</v>
      </c>
      <c r="AP68" s="52">
        <f t="shared" si="14"/>
        <v>5033.2687704256514</v>
      </c>
      <c r="AQ68" s="52">
        <f t="shared" si="14"/>
        <v>5048.3498042103556</v>
      </c>
      <c r="AR68" s="52">
        <f t="shared" si="14"/>
        <v>5063.4308379950598</v>
      </c>
      <c r="AS68" s="52">
        <f t="shared" si="14"/>
        <v>5078.5118717797641</v>
      </c>
      <c r="AT68" s="51">
        <f t="shared" si="15"/>
        <v>5093.5929055644683</v>
      </c>
      <c r="AU68" s="52">
        <f t="shared" si="16"/>
        <v>5079.6858474892733</v>
      </c>
      <c r="AV68" s="52">
        <f t="shared" si="16"/>
        <v>5065.7787894140783</v>
      </c>
      <c r="AW68" s="52">
        <f t="shared" si="16"/>
        <v>5051.8717313388825</v>
      </c>
      <c r="AX68" s="52">
        <f t="shared" si="16"/>
        <v>5037.9646732636875</v>
      </c>
      <c r="AY68" s="51">
        <f t="shared" si="17"/>
        <v>5024.0576151884925</v>
      </c>
      <c r="AZ68" s="52">
        <f t="shared" si="18"/>
        <v>5004.5935754238835</v>
      </c>
      <c r="BA68" s="52">
        <f t="shared" si="18"/>
        <v>4985.1295356592746</v>
      </c>
      <c r="BB68" s="52">
        <f t="shared" si="18"/>
        <v>4965.6654958946647</v>
      </c>
      <c r="BC68" s="52">
        <f t="shared" si="18"/>
        <v>4946.2014561300557</v>
      </c>
      <c r="BD68" s="51">
        <f t="shared" si="19"/>
        <v>4926.7374163654467</v>
      </c>
      <c r="BF68" s="440">
        <f>($U$49-$P$49)*(0.5*(P68-U68)+U68)+($Z$49-$U$49)*(0.5*(U68-Z68)+Z68)+($AE$49-$Z$49)*(0.5*(Z68-AE68)+AE68)+($AJ$49-$AE$49)*(0.5*(AE68-AJ68)+AJ68)+($AO$49-$AJ$49)*(0.5*(AJ68-AO68)+AO68)+($AT$49-$AO$49)*(0.5*(AO68-AT68)+AT68)</f>
        <v>141999.32848557606</v>
      </c>
    </row>
    <row r="69" spans="1:58" x14ac:dyDescent="0.15">
      <c r="A69" s="7" t="s">
        <v>42</v>
      </c>
      <c r="B69" s="7" t="s">
        <v>23</v>
      </c>
      <c r="C69" s="7" t="s">
        <v>22</v>
      </c>
      <c r="D69" s="7" t="s">
        <v>18</v>
      </c>
      <c r="E69" s="7" t="s">
        <v>31</v>
      </c>
      <c r="F69" s="47" t="str">
        <f t="shared" si="2"/>
        <v>Mt</v>
      </c>
      <c r="G69" s="47" t="s">
        <v>75</v>
      </c>
      <c r="H69" s="7" t="s">
        <v>8</v>
      </c>
      <c r="J69" s="51">
        <f t="shared" si="3"/>
        <v>126.29013428541874</v>
      </c>
      <c r="K69" s="52">
        <f t="shared" si="21"/>
        <v>129.14557417708136</v>
      </c>
      <c r="L69" s="52">
        <f t="shared" si="21"/>
        <v>132.00101406874396</v>
      </c>
      <c r="M69" s="52">
        <f t="shared" si="21"/>
        <v>134.85645396040655</v>
      </c>
      <c r="N69" s="52">
        <f t="shared" si="21"/>
        <v>137.71189385206915</v>
      </c>
      <c r="O69" s="52">
        <f t="shared" si="21"/>
        <v>140.56733374373178</v>
      </c>
      <c r="P69" s="52">
        <f t="shared" si="21"/>
        <v>143.42277363539438</v>
      </c>
      <c r="Q69" s="52">
        <f t="shared" si="21"/>
        <v>146.27821352705698</v>
      </c>
      <c r="R69" s="52">
        <f t="shared" si="21"/>
        <v>149.13365341871958</v>
      </c>
      <c r="S69" s="52">
        <f t="shared" si="21"/>
        <v>151.9890933103822</v>
      </c>
      <c r="T69" s="52">
        <f t="shared" si="21"/>
        <v>154.8445332020448</v>
      </c>
      <c r="U69" s="51">
        <f t="shared" si="5"/>
        <v>157.6999730937074</v>
      </c>
      <c r="V69" s="52">
        <f t="shared" si="6"/>
        <v>160.21534501028142</v>
      </c>
      <c r="W69" s="52">
        <f t="shared" si="6"/>
        <v>162.73071692685545</v>
      </c>
      <c r="X69" s="52">
        <f t="shared" si="6"/>
        <v>165.24608884342945</v>
      </c>
      <c r="Y69" s="52">
        <f t="shared" si="6"/>
        <v>167.76146076000347</v>
      </c>
      <c r="Z69" s="51">
        <f t="shared" si="7"/>
        <v>170.2768326765775</v>
      </c>
      <c r="AA69" s="52">
        <f t="shared" si="8"/>
        <v>171.97609472340949</v>
      </c>
      <c r="AB69" s="52">
        <f t="shared" si="8"/>
        <v>173.67535677024145</v>
      </c>
      <c r="AC69" s="52">
        <f t="shared" si="8"/>
        <v>175.37461881707344</v>
      </c>
      <c r="AD69" s="52">
        <f t="shared" si="8"/>
        <v>177.0738808639054</v>
      </c>
      <c r="AE69" s="51">
        <f t="shared" si="9"/>
        <v>178.77314291073739</v>
      </c>
      <c r="AF69" s="52">
        <f t="shared" si="10"/>
        <v>178.56746204206303</v>
      </c>
      <c r="AG69" s="52">
        <f t="shared" si="10"/>
        <v>178.36178117338864</v>
      </c>
      <c r="AH69" s="52">
        <f t="shared" si="10"/>
        <v>178.15610030471427</v>
      </c>
      <c r="AI69" s="52">
        <f t="shared" si="10"/>
        <v>177.95041943603988</v>
      </c>
      <c r="AJ69" s="51">
        <f t="shared" si="11"/>
        <v>177.74473856736552</v>
      </c>
      <c r="AK69" s="52">
        <f t="shared" si="12"/>
        <v>177.79206947984429</v>
      </c>
      <c r="AL69" s="52">
        <f t="shared" si="12"/>
        <v>177.83940039232306</v>
      </c>
      <c r="AM69" s="52">
        <f t="shared" si="12"/>
        <v>177.88673130480183</v>
      </c>
      <c r="AN69" s="52">
        <f t="shared" si="12"/>
        <v>177.9340622172806</v>
      </c>
      <c r="AO69" s="51">
        <f t="shared" si="13"/>
        <v>177.98139312975937</v>
      </c>
      <c r="AP69" s="52">
        <f t="shared" si="14"/>
        <v>177.30260770684401</v>
      </c>
      <c r="AQ69" s="52">
        <f t="shared" si="14"/>
        <v>176.62382228392866</v>
      </c>
      <c r="AR69" s="52">
        <f t="shared" si="14"/>
        <v>175.94503686101331</v>
      </c>
      <c r="AS69" s="52">
        <f t="shared" si="14"/>
        <v>175.26625143809795</v>
      </c>
      <c r="AT69" s="51">
        <f t="shared" si="15"/>
        <v>174.5874660151826</v>
      </c>
      <c r="AU69" s="52">
        <f t="shared" si="16"/>
        <v>173.95348344113791</v>
      </c>
      <c r="AV69" s="52">
        <f t="shared" si="16"/>
        <v>173.31950086709324</v>
      </c>
      <c r="AW69" s="52">
        <f t="shared" si="16"/>
        <v>172.68551829304855</v>
      </c>
      <c r="AX69" s="52">
        <f t="shared" si="16"/>
        <v>172.05153571900388</v>
      </c>
      <c r="AY69" s="51">
        <f t="shared" si="17"/>
        <v>171.41755314495919</v>
      </c>
      <c r="AZ69" s="52">
        <f t="shared" si="18"/>
        <v>170.71474860485085</v>
      </c>
      <c r="BA69" s="52">
        <f t="shared" si="18"/>
        <v>170.01194406474249</v>
      </c>
      <c r="BB69" s="52">
        <f t="shared" si="18"/>
        <v>169.30913952463416</v>
      </c>
      <c r="BC69" s="52">
        <f t="shared" si="18"/>
        <v>168.6063349845258</v>
      </c>
      <c r="BD69" s="51">
        <f t="shared" si="19"/>
        <v>167.90353044441747</v>
      </c>
      <c r="BF69" s="440"/>
    </row>
    <row r="70" spans="1:58" x14ac:dyDescent="0.15">
      <c r="A70" s="7" t="s">
        <v>42</v>
      </c>
      <c r="B70" s="7" t="s">
        <v>23</v>
      </c>
      <c r="C70" s="7" t="s">
        <v>22</v>
      </c>
      <c r="D70" s="7" t="s">
        <v>18</v>
      </c>
      <c r="E70" s="7" t="s">
        <v>31</v>
      </c>
      <c r="F70" s="47" t="str">
        <f t="shared" si="2"/>
        <v>Mt</v>
      </c>
      <c r="G70" s="47" t="s">
        <v>75</v>
      </c>
      <c r="H70" s="7" t="s">
        <v>28</v>
      </c>
      <c r="J70" s="51">
        <f t="shared" si="3"/>
        <v>400.2218530822455</v>
      </c>
      <c r="K70" s="52">
        <f t="shared" ref="K70:T75" si="22">$J70-(($J70-$U70)/(11)*(K$49-$J$49))</f>
        <v>403.97193673417809</v>
      </c>
      <c r="L70" s="52">
        <f t="shared" si="22"/>
        <v>407.72202038611073</v>
      </c>
      <c r="M70" s="52">
        <f t="shared" si="22"/>
        <v>411.47210403804331</v>
      </c>
      <c r="N70" s="52">
        <f t="shared" si="22"/>
        <v>415.22218768997595</v>
      </c>
      <c r="O70" s="52">
        <f t="shared" si="22"/>
        <v>418.97227134190854</v>
      </c>
      <c r="P70" s="52">
        <f t="shared" si="22"/>
        <v>422.72235499384118</v>
      </c>
      <c r="Q70" s="52">
        <f t="shared" si="22"/>
        <v>426.47243864577376</v>
      </c>
      <c r="R70" s="52">
        <f t="shared" si="22"/>
        <v>430.2225222977064</v>
      </c>
      <c r="S70" s="52">
        <f t="shared" si="22"/>
        <v>433.97260594963899</v>
      </c>
      <c r="T70" s="52">
        <f t="shared" si="22"/>
        <v>437.72268960157157</v>
      </c>
      <c r="U70" s="51">
        <f t="shared" si="5"/>
        <v>441.47277325350422</v>
      </c>
      <c r="V70" s="52">
        <f t="shared" si="6"/>
        <v>445.26817921431854</v>
      </c>
      <c r="W70" s="52">
        <f t="shared" si="6"/>
        <v>449.0635851751328</v>
      </c>
      <c r="X70" s="52">
        <f t="shared" si="6"/>
        <v>452.85899113594712</v>
      </c>
      <c r="Y70" s="52">
        <f t="shared" si="6"/>
        <v>456.65439709676139</v>
      </c>
      <c r="Z70" s="51">
        <f t="shared" si="7"/>
        <v>460.44980305757571</v>
      </c>
      <c r="AA70" s="52">
        <f t="shared" si="8"/>
        <v>462.8555846482688</v>
      </c>
      <c r="AB70" s="52">
        <f t="shared" si="8"/>
        <v>465.26136623896184</v>
      </c>
      <c r="AC70" s="52">
        <f t="shared" si="8"/>
        <v>467.66714782965494</v>
      </c>
      <c r="AD70" s="52">
        <f t="shared" si="8"/>
        <v>470.07292942034798</v>
      </c>
      <c r="AE70" s="51">
        <f t="shared" si="9"/>
        <v>472.47871101104107</v>
      </c>
      <c r="AF70" s="52">
        <f t="shared" si="10"/>
        <v>474.67534386080189</v>
      </c>
      <c r="AG70" s="52">
        <f t="shared" si="10"/>
        <v>476.87197671056276</v>
      </c>
      <c r="AH70" s="52">
        <f t="shared" si="10"/>
        <v>479.06860956032358</v>
      </c>
      <c r="AI70" s="52">
        <f t="shared" si="10"/>
        <v>481.26524241008445</v>
      </c>
      <c r="AJ70" s="51">
        <f t="shared" si="11"/>
        <v>483.46187525984527</v>
      </c>
      <c r="AK70" s="52">
        <f t="shared" si="12"/>
        <v>484.99925769342559</v>
      </c>
      <c r="AL70" s="52">
        <f t="shared" si="12"/>
        <v>486.53664012700591</v>
      </c>
      <c r="AM70" s="52">
        <f t="shared" si="12"/>
        <v>488.07402256058623</v>
      </c>
      <c r="AN70" s="52">
        <f t="shared" si="12"/>
        <v>489.61140499416655</v>
      </c>
      <c r="AO70" s="51">
        <f t="shared" si="13"/>
        <v>491.14878742774687</v>
      </c>
      <c r="AP70" s="52">
        <f t="shared" si="14"/>
        <v>492.50677376399909</v>
      </c>
      <c r="AQ70" s="52">
        <f t="shared" si="14"/>
        <v>493.86476010025137</v>
      </c>
      <c r="AR70" s="52">
        <f t="shared" si="14"/>
        <v>495.2227464365036</v>
      </c>
      <c r="AS70" s="52">
        <f t="shared" si="14"/>
        <v>496.58073277275588</v>
      </c>
      <c r="AT70" s="51">
        <f t="shared" si="15"/>
        <v>497.9387191090081</v>
      </c>
      <c r="AU70" s="52">
        <f t="shared" si="16"/>
        <v>499.21854727864087</v>
      </c>
      <c r="AV70" s="52">
        <f t="shared" si="16"/>
        <v>500.49837544827363</v>
      </c>
      <c r="AW70" s="52">
        <f t="shared" si="16"/>
        <v>501.7782036179064</v>
      </c>
      <c r="AX70" s="52">
        <f t="shared" si="16"/>
        <v>503.05803178753916</v>
      </c>
      <c r="AY70" s="51">
        <f t="shared" si="17"/>
        <v>504.33785995717193</v>
      </c>
      <c r="AZ70" s="52">
        <f t="shared" si="18"/>
        <v>505.49001053178648</v>
      </c>
      <c r="BA70" s="52">
        <f t="shared" si="18"/>
        <v>506.64216110640103</v>
      </c>
      <c r="BB70" s="52">
        <f t="shared" si="18"/>
        <v>507.79431168101553</v>
      </c>
      <c r="BC70" s="52">
        <f t="shared" si="18"/>
        <v>508.94646225563008</v>
      </c>
      <c r="BD70" s="51">
        <f t="shared" si="19"/>
        <v>510.09861283024463</v>
      </c>
      <c r="BF70" s="440"/>
    </row>
    <row r="71" spans="1:58" x14ac:dyDescent="0.15">
      <c r="A71" s="7" t="s">
        <v>42</v>
      </c>
      <c r="B71" s="7" t="s">
        <v>23</v>
      </c>
      <c r="C71" s="7" t="s">
        <v>22</v>
      </c>
      <c r="D71" s="7" t="s">
        <v>18</v>
      </c>
      <c r="E71" s="7" t="s">
        <v>31</v>
      </c>
      <c r="F71" s="47" t="str">
        <f t="shared" si="2"/>
        <v>PJ</v>
      </c>
      <c r="G71" s="47" t="s">
        <v>75</v>
      </c>
      <c r="H71" s="7" t="s">
        <v>9</v>
      </c>
      <c r="J71" s="51">
        <f t="shared" si="3"/>
        <v>28215.330195858784</v>
      </c>
      <c r="K71" s="52">
        <f t="shared" si="22"/>
        <v>27532.031192104791</v>
      </c>
      <c r="L71" s="52">
        <f t="shared" si="22"/>
        <v>26848.732188350798</v>
      </c>
      <c r="M71" s="52">
        <f t="shared" si="22"/>
        <v>26165.433184596804</v>
      </c>
      <c r="N71" s="52">
        <f t="shared" si="22"/>
        <v>25482.134180842811</v>
      </c>
      <c r="O71" s="52">
        <f t="shared" si="22"/>
        <v>24798.835177088818</v>
      </c>
      <c r="P71" s="52">
        <f t="shared" si="22"/>
        <v>24115.536173334825</v>
      </c>
      <c r="Q71" s="52">
        <f t="shared" si="22"/>
        <v>23432.237169580829</v>
      </c>
      <c r="R71" s="52">
        <f t="shared" si="22"/>
        <v>22748.938165826836</v>
      </c>
      <c r="S71" s="52">
        <f t="shared" si="22"/>
        <v>22065.639162072843</v>
      </c>
      <c r="T71" s="52">
        <f t="shared" si="22"/>
        <v>21382.34015831885</v>
      </c>
      <c r="U71" s="51">
        <f t="shared" si="5"/>
        <v>20699.041154564857</v>
      </c>
      <c r="V71" s="52">
        <f t="shared" si="6"/>
        <v>20389.408567504881</v>
      </c>
      <c r="W71" s="52">
        <f t="shared" si="6"/>
        <v>20079.775980444905</v>
      </c>
      <c r="X71" s="52">
        <f t="shared" si="6"/>
        <v>19770.143393384933</v>
      </c>
      <c r="Y71" s="52">
        <f t="shared" si="6"/>
        <v>19460.510806324957</v>
      </c>
      <c r="Z71" s="51">
        <f t="shared" si="7"/>
        <v>19150.878219264981</v>
      </c>
      <c r="AA71" s="52">
        <f t="shared" si="8"/>
        <v>19364.120732994539</v>
      </c>
      <c r="AB71" s="52">
        <f t="shared" si="8"/>
        <v>19577.363246724093</v>
      </c>
      <c r="AC71" s="52">
        <f t="shared" si="8"/>
        <v>19790.605760453651</v>
      </c>
      <c r="AD71" s="52">
        <f t="shared" si="8"/>
        <v>20003.848274183205</v>
      </c>
      <c r="AE71" s="51">
        <f t="shared" si="9"/>
        <v>20217.090787912763</v>
      </c>
      <c r="AF71" s="52">
        <f t="shared" si="10"/>
        <v>20509.01913530365</v>
      </c>
      <c r="AG71" s="52">
        <f t="shared" si="10"/>
        <v>20800.947482694537</v>
      </c>
      <c r="AH71" s="52">
        <f t="shared" si="10"/>
        <v>21092.875830085424</v>
      </c>
      <c r="AI71" s="52">
        <f t="shared" si="10"/>
        <v>21384.804177476311</v>
      </c>
      <c r="AJ71" s="51">
        <f t="shared" si="11"/>
        <v>21676.732524867199</v>
      </c>
      <c r="AK71" s="52">
        <f t="shared" si="12"/>
        <v>21918.178997002789</v>
      </c>
      <c r="AL71" s="52">
        <f t="shared" si="12"/>
        <v>22159.625469138384</v>
      </c>
      <c r="AM71" s="52">
        <f t="shared" si="12"/>
        <v>22401.071941273975</v>
      </c>
      <c r="AN71" s="52">
        <f t="shared" si="12"/>
        <v>22642.518413409569</v>
      </c>
      <c r="AO71" s="51">
        <f t="shared" si="13"/>
        <v>22883.96488554516</v>
      </c>
      <c r="AP71" s="52">
        <f t="shared" si="14"/>
        <v>23399.446437667852</v>
      </c>
      <c r="AQ71" s="52">
        <f t="shared" si="14"/>
        <v>23914.927989790544</v>
      </c>
      <c r="AR71" s="52">
        <f t="shared" si="14"/>
        <v>24430.409541913235</v>
      </c>
      <c r="AS71" s="52">
        <f t="shared" si="14"/>
        <v>24945.891094035927</v>
      </c>
      <c r="AT71" s="51">
        <f t="shared" si="15"/>
        <v>25461.372646158619</v>
      </c>
      <c r="AU71" s="52">
        <f t="shared" si="16"/>
        <v>25790.519103974453</v>
      </c>
      <c r="AV71" s="52">
        <f t="shared" si="16"/>
        <v>26119.665561790287</v>
      </c>
      <c r="AW71" s="52">
        <f t="shared" si="16"/>
        <v>26448.812019606117</v>
      </c>
      <c r="AX71" s="52">
        <f t="shared" si="16"/>
        <v>26777.958477421951</v>
      </c>
      <c r="AY71" s="51">
        <f t="shared" si="17"/>
        <v>27107.104935237785</v>
      </c>
      <c r="AZ71" s="52">
        <f t="shared" si="18"/>
        <v>27920.563829896106</v>
      </c>
      <c r="BA71" s="52">
        <f t="shared" si="18"/>
        <v>28734.02272455443</v>
      </c>
      <c r="BB71" s="52">
        <f t="shared" si="18"/>
        <v>29547.481619212751</v>
      </c>
      <c r="BC71" s="52">
        <f t="shared" si="18"/>
        <v>30360.940513871075</v>
      </c>
      <c r="BD71" s="51">
        <f t="shared" si="19"/>
        <v>31174.399408529396</v>
      </c>
      <c r="BF71" s="440"/>
    </row>
    <row r="72" spans="1:58" x14ac:dyDescent="0.15">
      <c r="A72" s="7" t="s">
        <v>42</v>
      </c>
      <c r="B72" s="7" t="s">
        <v>23</v>
      </c>
      <c r="C72" s="7" t="s">
        <v>22</v>
      </c>
      <c r="D72" s="7" t="s">
        <v>18</v>
      </c>
      <c r="E72" s="7" t="s">
        <v>31</v>
      </c>
      <c r="F72" s="47" t="str">
        <f t="shared" si="2"/>
        <v>million m2</v>
      </c>
      <c r="G72" s="47" t="s">
        <v>429</v>
      </c>
      <c r="H72" s="7" t="s">
        <v>49</v>
      </c>
      <c r="J72" s="51">
        <f t="shared" si="3"/>
        <v>40143</v>
      </c>
      <c r="K72" s="52">
        <f t="shared" si="22"/>
        <v>40858.727272727272</v>
      </c>
      <c r="L72" s="52">
        <f t="shared" si="22"/>
        <v>41574.454545454544</v>
      </c>
      <c r="M72" s="52">
        <f t="shared" si="22"/>
        <v>42290.181818181816</v>
      </c>
      <c r="N72" s="52">
        <f t="shared" si="22"/>
        <v>43005.909090909088</v>
      </c>
      <c r="O72" s="52">
        <f t="shared" si="22"/>
        <v>43721.636363636368</v>
      </c>
      <c r="P72" s="52">
        <f t="shared" si="22"/>
        <v>44437.363636363632</v>
      </c>
      <c r="Q72" s="52">
        <f t="shared" si="22"/>
        <v>45153.090909090912</v>
      </c>
      <c r="R72" s="52">
        <f t="shared" si="22"/>
        <v>45868.818181818184</v>
      </c>
      <c r="S72" s="52">
        <f t="shared" si="22"/>
        <v>46584.545454545456</v>
      </c>
      <c r="T72" s="52">
        <f t="shared" si="22"/>
        <v>47300.272727272728</v>
      </c>
      <c r="U72" s="51">
        <f t="shared" si="5"/>
        <v>48016</v>
      </c>
      <c r="V72" s="52">
        <f t="shared" si="6"/>
        <v>48837.599999999999</v>
      </c>
      <c r="W72" s="52">
        <f t="shared" si="6"/>
        <v>49659.199999999997</v>
      </c>
      <c r="X72" s="52">
        <f t="shared" si="6"/>
        <v>50480.800000000003</v>
      </c>
      <c r="Y72" s="52">
        <f t="shared" si="6"/>
        <v>51302.400000000001</v>
      </c>
      <c r="Z72" s="51">
        <f t="shared" si="7"/>
        <v>52124</v>
      </c>
      <c r="AA72" s="52">
        <f t="shared" si="8"/>
        <v>52656.5</v>
      </c>
      <c r="AB72" s="52">
        <f t="shared" si="8"/>
        <v>53189</v>
      </c>
      <c r="AC72" s="52">
        <f t="shared" si="8"/>
        <v>53721.5</v>
      </c>
      <c r="AD72" s="52">
        <f t="shared" si="8"/>
        <v>54254</v>
      </c>
      <c r="AE72" s="51">
        <f t="shared" si="9"/>
        <v>54786.5</v>
      </c>
      <c r="AF72" s="52">
        <f t="shared" si="10"/>
        <v>55319</v>
      </c>
      <c r="AG72" s="52">
        <f t="shared" si="10"/>
        <v>55851.5</v>
      </c>
      <c r="AH72" s="52">
        <f t="shared" si="10"/>
        <v>56384</v>
      </c>
      <c r="AI72" s="52">
        <f t="shared" si="10"/>
        <v>56916.5</v>
      </c>
      <c r="AJ72" s="51">
        <f t="shared" si="11"/>
        <v>57449</v>
      </c>
      <c r="AK72" s="52">
        <f t="shared" si="12"/>
        <v>57955.5</v>
      </c>
      <c r="AL72" s="52">
        <f t="shared" si="12"/>
        <v>58462</v>
      </c>
      <c r="AM72" s="52">
        <f t="shared" si="12"/>
        <v>58968.5</v>
      </c>
      <c r="AN72" s="52">
        <f t="shared" si="12"/>
        <v>59475</v>
      </c>
      <c r="AO72" s="51">
        <f t="shared" si="13"/>
        <v>59981.5</v>
      </c>
      <c r="AP72" s="52">
        <f t="shared" si="14"/>
        <v>60488</v>
      </c>
      <c r="AQ72" s="52">
        <f t="shared" si="14"/>
        <v>60994.5</v>
      </c>
      <c r="AR72" s="52">
        <f t="shared" si="14"/>
        <v>61501</v>
      </c>
      <c r="AS72" s="52">
        <f t="shared" si="14"/>
        <v>62007.5</v>
      </c>
      <c r="AT72" s="51">
        <f t="shared" si="15"/>
        <v>62514</v>
      </c>
      <c r="AU72" s="55">
        <f t="shared" ref="AU72:BD72" si="23">+FORECAST(AU49,$J72:$AT72,$J49:$AT49)</f>
        <v>64138.184684684733</v>
      </c>
      <c r="AV72" s="55">
        <f t="shared" si="23"/>
        <v>64762.480322427815</v>
      </c>
      <c r="AW72" s="55">
        <f t="shared" si="23"/>
        <v>65386.775960170664</v>
      </c>
      <c r="AX72" s="55">
        <f t="shared" si="23"/>
        <v>66011.071597913746</v>
      </c>
      <c r="AY72" s="55">
        <f t="shared" si="23"/>
        <v>66635.367235656828</v>
      </c>
      <c r="AZ72" s="55">
        <f t="shared" si="23"/>
        <v>67259.662873399677</v>
      </c>
      <c r="BA72" s="55">
        <f t="shared" si="23"/>
        <v>67883.958511142759</v>
      </c>
      <c r="BB72" s="55">
        <f t="shared" si="23"/>
        <v>68508.254148885841</v>
      </c>
      <c r="BC72" s="55">
        <f t="shared" si="23"/>
        <v>69132.54978662869</v>
      </c>
      <c r="BD72" s="55">
        <f t="shared" si="23"/>
        <v>69756.845424371772</v>
      </c>
      <c r="BF72" s="440"/>
    </row>
    <row r="73" spans="1:58" x14ac:dyDescent="0.15">
      <c r="A73" s="7" t="s">
        <v>42</v>
      </c>
      <c r="B73" s="7" t="s">
        <v>23</v>
      </c>
      <c r="C73" s="7" t="s">
        <v>22</v>
      </c>
      <c r="D73" s="7" t="s">
        <v>18</v>
      </c>
      <c r="E73" s="7" t="s">
        <v>31</v>
      </c>
      <c r="F73" s="47" t="str">
        <f t="shared" si="2"/>
        <v>TWh</v>
      </c>
      <c r="G73" s="47" t="s">
        <v>75</v>
      </c>
      <c r="H73" s="47" t="s">
        <v>29</v>
      </c>
      <c r="I73" s="47"/>
      <c r="J73" s="51">
        <f t="shared" si="3"/>
        <v>23818.899236000001</v>
      </c>
      <c r="K73" s="52">
        <f t="shared" si="22"/>
        <v>24233.259259908773</v>
      </c>
      <c r="L73" s="52">
        <f t="shared" si="22"/>
        <v>24647.619283817541</v>
      </c>
      <c r="M73" s="52">
        <f t="shared" si="22"/>
        <v>25061.979307726313</v>
      </c>
      <c r="N73" s="52">
        <f t="shared" si="22"/>
        <v>25476.339331635085</v>
      </c>
      <c r="O73" s="52">
        <f t="shared" si="22"/>
        <v>25890.699355543853</v>
      </c>
      <c r="P73" s="52">
        <f t="shared" si="22"/>
        <v>26305.059379452625</v>
      </c>
      <c r="Q73" s="52">
        <f t="shared" si="22"/>
        <v>26719.419403361397</v>
      </c>
      <c r="R73" s="52">
        <f t="shared" si="22"/>
        <v>27133.779427270165</v>
      </c>
      <c r="S73" s="52">
        <f t="shared" si="22"/>
        <v>27548.139451178937</v>
      </c>
      <c r="T73" s="52">
        <f t="shared" si="22"/>
        <v>27962.499475087709</v>
      </c>
      <c r="U73" s="51">
        <f t="shared" si="5"/>
        <v>28376.859498996477</v>
      </c>
      <c r="V73" s="52">
        <f t="shared" si="6"/>
        <v>28893.346505709778</v>
      </c>
      <c r="W73" s="52">
        <f t="shared" si="6"/>
        <v>29409.833512423083</v>
      </c>
      <c r="X73" s="52">
        <f t="shared" si="6"/>
        <v>29926.320519136385</v>
      </c>
      <c r="Y73" s="52">
        <f t="shared" si="6"/>
        <v>30442.80752584969</v>
      </c>
      <c r="Z73" s="51">
        <f t="shared" si="7"/>
        <v>30959.294532562992</v>
      </c>
      <c r="AA73" s="52">
        <f t="shared" si="8"/>
        <v>31532.398945567642</v>
      </c>
      <c r="AB73" s="52">
        <f t="shared" si="8"/>
        <v>32105.503358572296</v>
      </c>
      <c r="AC73" s="52">
        <f t="shared" si="8"/>
        <v>32678.607771576946</v>
      </c>
      <c r="AD73" s="52">
        <f t="shared" si="8"/>
        <v>33251.7121845816</v>
      </c>
      <c r="AE73" s="51">
        <f t="shared" si="9"/>
        <v>33824.81659758625</v>
      </c>
      <c r="AF73" s="52">
        <f t="shared" si="10"/>
        <v>34462.920300872654</v>
      </c>
      <c r="AG73" s="52">
        <f t="shared" si="10"/>
        <v>35101.024004159051</v>
      </c>
      <c r="AH73" s="52">
        <f t="shared" si="10"/>
        <v>35739.127707445456</v>
      </c>
      <c r="AI73" s="52">
        <f t="shared" si="10"/>
        <v>36377.231410731853</v>
      </c>
      <c r="AJ73" s="51">
        <f t="shared" si="11"/>
        <v>37015.335114018257</v>
      </c>
      <c r="AK73" s="52">
        <f t="shared" si="12"/>
        <v>37708.528588042922</v>
      </c>
      <c r="AL73" s="52">
        <f t="shared" si="12"/>
        <v>38401.722062067587</v>
      </c>
      <c r="AM73" s="52">
        <f t="shared" si="12"/>
        <v>39094.91553609226</v>
      </c>
      <c r="AN73" s="52">
        <f t="shared" si="12"/>
        <v>39788.109010116925</v>
      </c>
      <c r="AO73" s="51">
        <f t="shared" si="13"/>
        <v>40481.30248414159</v>
      </c>
      <c r="AP73" s="52">
        <f t="shared" si="14"/>
        <v>41249.186561090064</v>
      </c>
      <c r="AQ73" s="52">
        <f t="shared" si="14"/>
        <v>42017.070638038545</v>
      </c>
      <c r="AR73" s="52">
        <f t="shared" si="14"/>
        <v>42784.95471498702</v>
      </c>
      <c r="AS73" s="52">
        <f t="shared" si="14"/>
        <v>43552.838791935501</v>
      </c>
      <c r="AT73" s="51">
        <f t="shared" si="15"/>
        <v>44320.722868883975</v>
      </c>
      <c r="AU73" s="52">
        <f t="shared" ref="AU73:AX75" si="24">$AT73-(($AT73-$AY73)/(5)*(AU$49-$AT$49))</f>
        <v>45176.664994713465</v>
      </c>
      <c r="AV73" s="52">
        <f t="shared" si="24"/>
        <v>46032.607120542954</v>
      </c>
      <c r="AW73" s="52">
        <f t="shared" si="24"/>
        <v>46888.549246372451</v>
      </c>
      <c r="AX73" s="52">
        <f t="shared" si="24"/>
        <v>47744.491372201941</v>
      </c>
      <c r="AY73" s="51">
        <f>+S25</f>
        <v>48600.433498031431</v>
      </c>
      <c r="AZ73" s="52">
        <f t="shared" ref="AZ73:BC75" si="25">$AY73-(($AY73-$BD73)/(5)*(AZ$49-$AY$49))</f>
        <v>49504.860135650073</v>
      </c>
      <c r="BA73" s="52">
        <f t="shared" si="25"/>
        <v>50409.286773268715</v>
      </c>
      <c r="BB73" s="52">
        <f t="shared" si="25"/>
        <v>51313.713410887365</v>
      </c>
      <c r="BC73" s="52">
        <f t="shared" si="25"/>
        <v>52218.140048506008</v>
      </c>
      <c r="BD73" s="51">
        <f>+T25</f>
        <v>53122.56668612465</v>
      </c>
      <c r="BF73" s="440"/>
    </row>
    <row r="74" spans="1:58" x14ac:dyDescent="0.15">
      <c r="A74" s="7" t="s">
        <v>42</v>
      </c>
      <c r="B74" s="7" t="s">
        <v>23</v>
      </c>
      <c r="C74" s="7" t="s">
        <v>22</v>
      </c>
      <c r="D74" s="7" t="s">
        <v>19</v>
      </c>
      <c r="E74" s="7" t="s">
        <v>31</v>
      </c>
      <c r="F74" s="47" t="str">
        <f t="shared" si="2"/>
        <v>TWh</v>
      </c>
      <c r="G74" s="47" t="s">
        <v>75</v>
      </c>
      <c r="H74" s="47" t="s">
        <v>29</v>
      </c>
      <c r="I74" s="47"/>
      <c r="J74" s="51">
        <f t="shared" si="3"/>
        <v>10792.753189999999</v>
      </c>
      <c r="K74" s="52">
        <f t="shared" si="22"/>
        <v>10782.435380644547</v>
      </c>
      <c r="L74" s="52">
        <f t="shared" si="22"/>
        <v>10772.117571289094</v>
      </c>
      <c r="M74" s="52">
        <f t="shared" si="22"/>
        <v>10761.79976193364</v>
      </c>
      <c r="N74" s="52">
        <f t="shared" si="22"/>
        <v>10751.481952578188</v>
      </c>
      <c r="O74" s="52">
        <f t="shared" si="22"/>
        <v>10741.164143222735</v>
      </c>
      <c r="P74" s="52">
        <f t="shared" si="22"/>
        <v>10730.846333867283</v>
      </c>
      <c r="Q74" s="52">
        <f t="shared" si="22"/>
        <v>10720.52852451183</v>
      </c>
      <c r="R74" s="52">
        <f t="shared" si="22"/>
        <v>10710.210715156378</v>
      </c>
      <c r="S74" s="52">
        <f t="shared" si="22"/>
        <v>10699.892905800923</v>
      </c>
      <c r="T74" s="52">
        <f t="shared" si="22"/>
        <v>10689.575096445471</v>
      </c>
      <c r="U74" s="51">
        <f t="shared" si="5"/>
        <v>10679.257287090019</v>
      </c>
      <c r="V74" s="52">
        <f t="shared" si="6"/>
        <v>10721.505922205135</v>
      </c>
      <c r="W74" s="52">
        <f t="shared" si="6"/>
        <v>10763.75455732025</v>
      </c>
      <c r="X74" s="52">
        <f t="shared" si="6"/>
        <v>10806.003192435366</v>
      </c>
      <c r="Y74" s="52">
        <f t="shared" si="6"/>
        <v>10848.251827550481</v>
      </c>
      <c r="Z74" s="51">
        <f t="shared" si="7"/>
        <v>10890.500462665597</v>
      </c>
      <c r="AA74" s="52">
        <f t="shared" si="8"/>
        <v>10941.834238218695</v>
      </c>
      <c r="AB74" s="52">
        <f t="shared" si="8"/>
        <v>10993.168013771792</v>
      </c>
      <c r="AC74" s="52">
        <f t="shared" si="8"/>
        <v>11044.501789324891</v>
      </c>
      <c r="AD74" s="52">
        <f t="shared" si="8"/>
        <v>11095.835564877989</v>
      </c>
      <c r="AE74" s="51">
        <f t="shared" si="9"/>
        <v>11147.169340431086</v>
      </c>
      <c r="AF74" s="52">
        <f t="shared" si="10"/>
        <v>11237.020972177006</v>
      </c>
      <c r="AG74" s="52">
        <f t="shared" si="10"/>
        <v>11326.872603922926</v>
      </c>
      <c r="AH74" s="52">
        <f t="shared" si="10"/>
        <v>11416.724235668844</v>
      </c>
      <c r="AI74" s="52">
        <f t="shared" si="10"/>
        <v>11506.575867414764</v>
      </c>
      <c r="AJ74" s="51">
        <f t="shared" si="11"/>
        <v>11596.427499160684</v>
      </c>
      <c r="AK74" s="52">
        <f>$AJ74-(($AJ74-$AO74)/(5)*(AK$49-$AJ$49))</f>
        <v>11720.931835602536</v>
      </c>
      <c r="AL74" s="52">
        <f t="shared" si="12"/>
        <v>11845.436172044389</v>
      </c>
      <c r="AM74" s="52">
        <f t="shared" si="12"/>
        <v>11969.940508486239</v>
      </c>
      <c r="AN74" s="52">
        <f t="shared" si="12"/>
        <v>12094.444844928092</v>
      </c>
      <c r="AO74" s="51">
        <f t="shared" si="13"/>
        <v>12218.949181369944</v>
      </c>
      <c r="AP74" s="52">
        <f t="shared" si="14"/>
        <v>12352.486415017484</v>
      </c>
      <c r="AQ74" s="52">
        <f t="shared" si="14"/>
        <v>12486.023648665025</v>
      </c>
      <c r="AR74" s="52">
        <f t="shared" si="14"/>
        <v>12619.560882312564</v>
      </c>
      <c r="AS74" s="52">
        <f t="shared" si="14"/>
        <v>12753.098115960105</v>
      </c>
      <c r="AT74" s="51">
        <f t="shared" si="15"/>
        <v>12886.635349607644</v>
      </c>
      <c r="AU74" s="52">
        <f t="shared" si="24"/>
        <v>13021.871445519542</v>
      </c>
      <c r="AV74" s="52">
        <f t="shared" si="24"/>
        <v>13157.10754143144</v>
      </c>
      <c r="AW74" s="52">
        <f t="shared" si="24"/>
        <v>13292.34363734334</v>
      </c>
      <c r="AX74" s="52">
        <f t="shared" si="24"/>
        <v>13427.579733255237</v>
      </c>
      <c r="AY74" s="51">
        <f>+S26</f>
        <v>13562.815829167135</v>
      </c>
      <c r="AZ74" s="52">
        <f t="shared" si="25"/>
        <v>13686.60708645637</v>
      </c>
      <c r="BA74" s="52">
        <f t="shared" si="25"/>
        <v>13810.398343745606</v>
      </c>
      <c r="BB74" s="52">
        <f t="shared" si="25"/>
        <v>13934.189601034841</v>
      </c>
      <c r="BC74" s="52">
        <f t="shared" si="25"/>
        <v>14057.980858324077</v>
      </c>
      <c r="BD74" s="51">
        <f>+T26</f>
        <v>14181.772115613312</v>
      </c>
      <c r="BF74" s="440"/>
    </row>
    <row r="75" spans="1:58" x14ac:dyDescent="0.15">
      <c r="A75" s="7" t="s">
        <v>42</v>
      </c>
      <c r="B75" s="7" t="s">
        <v>23</v>
      </c>
      <c r="C75" s="7" t="s">
        <v>22</v>
      </c>
      <c r="D75" s="7" t="s">
        <v>34</v>
      </c>
      <c r="E75" s="7" t="s">
        <v>31</v>
      </c>
      <c r="F75" s="47" t="str">
        <f t="shared" si="2"/>
        <v>TWh</v>
      </c>
      <c r="G75" s="47" t="s">
        <v>75</v>
      </c>
      <c r="H75" s="47" t="s">
        <v>29</v>
      </c>
      <c r="I75" s="47"/>
      <c r="J75" s="51">
        <f t="shared" si="3"/>
        <v>13048.41631452</v>
      </c>
      <c r="K75" s="52">
        <f t="shared" si="22"/>
        <v>13458.775079719841</v>
      </c>
      <c r="L75" s="52">
        <f t="shared" si="22"/>
        <v>13869.133844919681</v>
      </c>
      <c r="M75" s="52">
        <f t="shared" si="22"/>
        <v>14279.492610119521</v>
      </c>
      <c r="N75" s="52">
        <f t="shared" si="22"/>
        <v>14689.851375319362</v>
      </c>
      <c r="O75" s="52">
        <f t="shared" si="22"/>
        <v>15100.210140519204</v>
      </c>
      <c r="P75" s="52">
        <f t="shared" si="22"/>
        <v>15510.568905719043</v>
      </c>
      <c r="Q75" s="52">
        <f t="shared" si="22"/>
        <v>15920.927670918885</v>
      </c>
      <c r="R75" s="52">
        <f t="shared" si="22"/>
        <v>16331.286436118726</v>
      </c>
      <c r="S75" s="52">
        <f t="shared" si="22"/>
        <v>16741.645201318566</v>
      </c>
      <c r="T75" s="52">
        <f t="shared" si="22"/>
        <v>17152.003966518409</v>
      </c>
      <c r="U75" s="51">
        <f t="shared" si="5"/>
        <v>17562.362731718247</v>
      </c>
      <c r="V75" s="52">
        <f t="shared" si="6"/>
        <v>18012.336609436963</v>
      </c>
      <c r="W75" s="52">
        <f t="shared" si="6"/>
        <v>18462.310487155682</v>
      </c>
      <c r="X75" s="52">
        <f t="shared" si="6"/>
        <v>18912.284364874398</v>
      </c>
      <c r="Y75" s="52">
        <f t="shared" si="6"/>
        <v>19362.258242593118</v>
      </c>
      <c r="Z75" s="51">
        <f t="shared" si="7"/>
        <v>19812.232120311834</v>
      </c>
      <c r="AA75" s="52">
        <f t="shared" si="8"/>
        <v>20300.159477065361</v>
      </c>
      <c r="AB75" s="52">
        <f t="shared" si="8"/>
        <v>20788.086833818888</v>
      </c>
      <c r="AC75" s="52">
        <f t="shared" si="8"/>
        <v>21276.014190572416</v>
      </c>
      <c r="AD75" s="52">
        <f t="shared" si="8"/>
        <v>21763.941547325943</v>
      </c>
      <c r="AE75" s="51">
        <f t="shared" si="9"/>
        <v>22251.868904079471</v>
      </c>
      <c r="AF75" s="52">
        <f t="shared" si="10"/>
        <v>22764.39875526067</v>
      </c>
      <c r="AG75" s="52">
        <f t="shared" si="10"/>
        <v>23276.92860644187</v>
      </c>
      <c r="AH75" s="52">
        <f t="shared" si="10"/>
        <v>23789.45845762307</v>
      </c>
      <c r="AI75" s="52">
        <f t="shared" si="10"/>
        <v>24301.98830880427</v>
      </c>
      <c r="AJ75" s="51">
        <f t="shared" si="11"/>
        <v>24814.51815998547</v>
      </c>
      <c r="AK75" s="52">
        <f t="shared" si="12"/>
        <v>25346.065991490887</v>
      </c>
      <c r="AL75" s="52">
        <f t="shared" si="12"/>
        <v>25877.6138229963</v>
      </c>
      <c r="AM75" s="52">
        <f t="shared" si="12"/>
        <v>26409.161654501717</v>
      </c>
      <c r="AN75" s="52">
        <f t="shared" si="12"/>
        <v>26940.70948600713</v>
      </c>
      <c r="AO75" s="51">
        <f t="shared" si="13"/>
        <v>27472.257317512547</v>
      </c>
      <c r="AP75" s="52">
        <f t="shared" si="14"/>
        <v>28068.497115168924</v>
      </c>
      <c r="AQ75" s="52">
        <f t="shared" si="14"/>
        <v>28664.736912825301</v>
      </c>
      <c r="AR75" s="52">
        <f t="shared" si="14"/>
        <v>29260.976710481682</v>
      </c>
      <c r="AS75" s="52">
        <f t="shared" si="14"/>
        <v>29857.216508138059</v>
      </c>
      <c r="AT75" s="51">
        <f t="shared" si="15"/>
        <v>30453.456305794436</v>
      </c>
      <c r="AU75" s="52">
        <f t="shared" si="24"/>
        <v>31129.806833280363</v>
      </c>
      <c r="AV75" s="52">
        <f t="shared" si="24"/>
        <v>31806.15736076629</v>
      </c>
      <c r="AW75" s="52">
        <f t="shared" si="24"/>
        <v>32482.507888252221</v>
      </c>
      <c r="AX75" s="52">
        <f t="shared" si="24"/>
        <v>33158.858415738148</v>
      </c>
      <c r="AY75" s="51">
        <f>+S27</f>
        <v>33835.208943224075</v>
      </c>
      <c r="AZ75" s="52">
        <f t="shared" si="25"/>
        <v>34565.319215808107</v>
      </c>
      <c r="BA75" s="52">
        <f t="shared" si="25"/>
        <v>35295.429488392139</v>
      </c>
      <c r="BB75" s="52">
        <f t="shared" si="25"/>
        <v>36025.539760976171</v>
      </c>
      <c r="BC75" s="52">
        <f t="shared" si="25"/>
        <v>36755.650033560203</v>
      </c>
      <c r="BD75" s="51">
        <f>+T27</f>
        <v>37485.760306144235</v>
      </c>
      <c r="BF75" s="440"/>
    </row>
    <row r="76" spans="1:58" x14ac:dyDescent="0.15">
      <c r="A76" s="7" t="s">
        <v>48</v>
      </c>
      <c r="B76" s="7" t="s">
        <v>23</v>
      </c>
      <c r="C76" s="7" t="s">
        <v>22</v>
      </c>
      <c r="D76" s="7" t="s">
        <v>18</v>
      </c>
      <c r="E76" s="7" t="s">
        <v>33</v>
      </c>
      <c r="F76" s="47" t="str">
        <f t="shared" si="2"/>
        <v>tCO2/MWh</v>
      </c>
      <c r="G76" s="47" t="s">
        <v>39</v>
      </c>
      <c r="H76" s="47" t="s">
        <v>29</v>
      </c>
      <c r="I76" s="47"/>
      <c r="J76" s="52">
        <f>+J57/J73</f>
        <v>0.57202495010378573</v>
      </c>
      <c r="K76" s="52">
        <f t="shared" ref="K76:BD78" si="26">+K57/K73</f>
        <v>0.5462795847930102</v>
      </c>
      <c r="L76" s="52">
        <f t="shared" si="26"/>
        <v>0.52139984873939516</v>
      </c>
      <c r="M76" s="52">
        <f t="shared" si="26"/>
        <v>0.49734280652806911</v>
      </c>
      <c r="N76" s="52">
        <f t="shared" si="26"/>
        <v>0.4740683160370745</v>
      </c>
      <c r="O76" s="52">
        <f t="shared" si="26"/>
        <v>0.45153880491522541</v>
      </c>
      <c r="P76" s="52">
        <f t="shared" si="26"/>
        <v>0.42971906818562816</v>
      </c>
      <c r="Q76" s="52">
        <f t="shared" si="26"/>
        <v>0.40857608468157613</v>
      </c>
      <c r="R76" s="52">
        <f t="shared" si="26"/>
        <v>0.38807885030169048</v>
      </c>
      <c r="S76" s="52">
        <f t="shared" si="26"/>
        <v>0.36819822631342597</v>
      </c>
      <c r="T76" s="52">
        <f t="shared" si="26"/>
        <v>0.34890680114398936</v>
      </c>
      <c r="U76" s="52">
        <f t="shared" si="26"/>
        <v>0.33017876428006449</v>
      </c>
      <c r="V76" s="52">
        <f t="shared" si="26"/>
        <v>0.30845125558735714</v>
      </c>
      <c r="W76" s="52">
        <f t="shared" si="26"/>
        <v>0.28748689136626293</v>
      </c>
      <c r="X76" s="52">
        <f t="shared" si="26"/>
        <v>0.26724615915447475</v>
      </c>
      <c r="Y76" s="52">
        <f t="shared" si="26"/>
        <v>0.24769222793401269</v>
      </c>
      <c r="Z76" s="52">
        <f t="shared" si="26"/>
        <v>0.22879072446153514</v>
      </c>
      <c r="AA76" s="52">
        <f t="shared" si="26"/>
        <v>0.20988854530866577</v>
      </c>
      <c r="AB76" s="52">
        <f t="shared" si="26"/>
        <v>0.19166119888879704</v>
      </c>
      <c r="AC76" s="52">
        <f t="shared" si="26"/>
        <v>0.17407318035851346</v>
      </c>
      <c r="AD76" s="52">
        <f t="shared" si="26"/>
        <v>0.15709143262594158</v>
      </c>
      <c r="AE76" s="52">
        <f t="shared" si="26"/>
        <v>0.14068513898566262</v>
      </c>
      <c r="AF76" s="52">
        <f t="shared" si="26"/>
        <v>0.12591213871405804</v>
      </c>
      <c r="AG76" s="52">
        <f t="shared" si="26"/>
        <v>0.11167625702798792</v>
      </c>
      <c r="AH76" s="52">
        <f t="shared" si="26"/>
        <v>9.7948724001000242E-2</v>
      </c>
      <c r="AI76" s="52">
        <f t="shared" si="26"/>
        <v>8.4702788353571437E-2</v>
      </c>
      <c r="AJ76" s="52">
        <f t="shared" si="26"/>
        <v>7.1913543456831874E-2</v>
      </c>
      <c r="AK76" s="52">
        <f t="shared" si="26"/>
        <v>6.0841808846573538E-2</v>
      </c>
      <c r="AL76" s="52">
        <f t="shared" si="26"/>
        <v>5.0169788299427247E-2</v>
      </c>
      <c r="AM76" s="52">
        <f t="shared" si="26"/>
        <v>3.9876219778407426E-2</v>
      </c>
      <c r="AN76" s="52">
        <f t="shared" si="26"/>
        <v>2.9941322966132677E-2</v>
      </c>
      <c r="AO76" s="52">
        <f t="shared" si="26"/>
        <v>2.0346672401521292E-2</v>
      </c>
      <c r="AP76" s="52">
        <f t="shared" si="26"/>
        <v>1.4249832206722938E-2</v>
      </c>
      <c r="AQ76" s="52">
        <f t="shared" si="26"/>
        <v>8.3758379378395913E-3</v>
      </c>
      <c r="AR76" s="52">
        <f t="shared" si="26"/>
        <v>2.7126909958826986E-3</v>
      </c>
      <c r="AS76" s="52">
        <f t="shared" si="26"/>
        <v>-2.7507610245595293E-3</v>
      </c>
      <c r="AT76" s="52">
        <f t="shared" si="26"/>
        <v>-8.024897639471E-3</v>
      </c>
      <c r="AU76" s="52">
        <f t="shared" si="26"/>
        <v>-1.1562155085934419E-2</v>
      </c>
      <c r="AV76" s="52">
        <f t="shared" si="26"/>
        <v>-1.4967867184535891E-2</v>
      </c>
      <c r="AW76" s="52">
        <f t="shared" si="26"/>
        <v>-1.8249237946052134E-2</v>
      </c>
      <c r="AX76" s="52">
        <f t="shared" si="26"/>
        <v>-2.1412954779983253E-2</v>
      </c>
      <c r="AY76" s="52">
        <f t="shared" si="26"/>
        <v>-2.4465233985998262E-2</v>
      </c>
      <c r="AZ76" s="52">
        <f t="shared" si="26"/>
        <v>-2.6259725765228E-2</v>
      </c>
      <c r="BA76" s="52">
        <f t="shared" si="26"/>
        <v>-2.7989825196538875E-2</v>
      </c>
      <c r="BB76" s="52">
        <f t="shared" si="26"/>
        <v>-2.9658937109800644E-2</v>
      </c>
      <c r="BC76" s="52">
        <f t="shared" si="26"/>
        <v>-3.1270230446065299E-2</v>
      </c>
      <c r="BD76" s="52">
        <f t="shared" si="26"/>
        <v>-3.2826658337934321E-2</v>
      </c>
      <c r="BF76" s="440"/>
    </row>
    <row r="77" spans="1:58" x14ac:dyDescent="0.15">
      <c r="A77" s="7" t="s">
        <v>48</v>
      </c>
      <c r="B77" s="7" t="s">
        <v>23</v>
      </c>
      <c r="C77" s="7" t="s">
        <v>19</v>
      </c>
      <c r="D77" s="7" t="s">
        <v>19</v>
      </c>
      <c r="E77" s="7" t="s">
        <v>33</v>
      </c>
      <c r="F77" s="47" t="str">
        <f t="shared" si="2"/>
        <v>tCO2/MWh</v>
      </c>
      <c r="G77" s="47" t="s">
        <v>39</v>
      </c>
      <c r="H77" s="47" t="s">
        <v>29</v>
      </c>
      <c r="I77" s="47"/>
      <c r="J77" s="52">
        <f t="shared" ref="J77:Y78" si="27">+J58/J74</f>
        <v>0.43863901718667953</v>
      </c>
      <c r="K77" s="52">
        <f t="shared" si="27"/>
        <v>0.42076438461628896</v>
      </c>
      <c r="L77" s="52">
        <f t="shared" si="27"/>
        <v>0.40285551048662471</v>
      </c>
      <c r="M77" s="52">
        <f t="shared" si="27"/>
        <v>0.38491229631103357</v>
      </c>
      <c r="N77" s="52">
        <f t="shared" si="27"/>
        <v>0.3669346432248059</v>
      </c>
      <c r="O77" s="52">
        <f t="shared" si="27"/>
        <v>0.3489224519833598</v>
      </c>
      <c r="P77" s="52">
        <f t="shared" si="27"/>
        <v>0.33087562296041517</v>
      </c>
      <c r="Q77" s="52">
        <f t="shared" si="27"/>
        <v>0.3127940561461568</v>
      </c>
      <c r="R77" s="52">
        <f t="shared" si="27"/>
        <v>0.29467765114538663</v>
      </c>
      <c r="S77" s="52">
        <f t="shared" si="27"/>
        <v>0.27652630717566618</v>
      </c>
      <c r="T77" s="52">
        <f t="shared" si="27"/>
        <v>0.25833992306544701</v>
      </c>
      <c r="U77" s="52">
        <f t="shared" si="27"/>
        <v>0.24011839725219183</v>
      </c>
      <c r="V77" s="52">
        <f t="shared" si="27"/>
        <v>0.22531407101030579</v>
      </c>
      <c r="W77" s="52">
        <f t="shared" si="27"/>
        <v>0.21062596120092725</v>
      </c>
      <c r="X77" s="52">
        <f t="shared" si="27"/>
        <v>0.19605270469684868</v>
      </c>
      <c r="Y77" s="52">
        <f t="shared" si="27"/>
        <v>0.18159295960571803</v>
      </c>
      <c r="Z77" s="52">
        <f t="shared" si="26"/>
        <v>0.16724540485814543</v>
      </c>
      <c r="AA77" s="52">
        <f t="shared" si="26"/>
        <v>0.15420367803456289</v>
      </c>
      <c r="AB77" s="52">
        <f t="shared" si="26"/>
        <v>0.14128375069166649</v>
      </c>
      <c r="AC77" s="52">
        <f t="shared" si="26"/>
        <v>0.12848392449285673</v>
      </c>
      <c r="AD77" s="52">
        <f t="shared" si="26"/>
        <v>0.11580253253027312</v>
      </c>
      <c r="AE77" s="52">
        <f t="shared" si="26"/>
        <v>0.10323793860113228</v>
      </c>
      <c r="AF77" s="52">
        <f t="shared" si="26"/>
        <v>9.2487555431863946E-2</v>
      </c>
      <c r="AG77" s="52">
        <f t="shared" si="26"/>
        <v>8.1907729397548854E-2</v>
      </c>
      <c r="AH77" s="52">
        <f t="shared" si="26"/>
        <v>7.1494433554057019E-2</v>
      </c>
      <c r="AI77" s="52">
        <f t="shared" si="26"/>
        <v>6.1243766738378794E-2</v>
      </c>
      <c r="AJ77" s="52">
        <f t="shared" si="26"/>
        <v>5.1151948695728151E-2</v>
      </c>
      <c r="AK77" s="52">
        <f t="shared" si="26"/>
        <v>4.2028514449610581E-2</v>
      </c>
      <c r="AL77" s="52">
        <f t="shared" si="26"/>
        <v>3.309686835048662E-2</v>
      </c>
      <c r="AM77" s="52">
        <f t="shared" si="26"/>
        <v>2.4351025793179187E-2</v>
      </c>
      <c r="AN77" s="52">
        <f t="shared" si="26"/>
        <v>1.5785248602771015E-2</v>
      </c>
      <c r="AO77" s="52">
        <f t="shared" si="26"/>
        <v>7.3940324796641999E-3</v>
      </c>
      <c r="AP77" s="52">
        <f t="shared" si="26"/>
        <v>1.6176636235973089E-3</v>
      </c>
      <c r="AQ77" s="52">
        <f t="shared" si="26"/>
        <v>-4.0351494329177451E-3</v>
      </c>
      <c r="AR77" s="52">
        <f t="shared" si="26"/>
        <v>-9.5683290053625684E-3</v>
      </c>
      <c r="AS77" s="52">
        <f t="shared" si="26"/>
        <v>-1.4985633127519016E-2</v>
      </c>
      <c r="AT77" s="52">
        <f t="shared" si="26"/>
        <v>-2.0290664063281279E-2</v>
      </c>
      <c r="AU77" s="52">
        <f t="shared" si="26"/>
        <v>-2.4461489594551231E-2</v>
      </c>
      <c r="AV77" s="52">
        <f t="shared" si="26"/>
        <v>-2.8546574979698272E-2</v>
      </c>
      <c r="AW77" s="52">
        <f t="shared" si="26"/>
        <v>-3.2548537175432414E-2</v>
      </c>
      <c r="AX77" s="52">
        <f t="shared" si="26"/>
        <v>-3.6469887711569018E-2</v>
      </c>
      <c r="AY77" s="52">
        <f t="shared" si="26"/>
        <v>-4.031303794713547E-2</v>
      </c>
      <c r="AZ77" s="52">
        <f t="shared" si="26"/>
        <v>-4.3241541659219312E-2</v>
      </c>
      <c r="BA77" s="52">
        <f t="shared" si="26"/>
        <v>-4.6117545342343552E-2</v>
      </c>
      <c r="BB77" s="52">
        <f t="shared" si="26"/>
        <v>-4.894244822634046E-2</v>
      </c>
      <c r="BC77" s="52">
        <f t="shared" si="26"/>
        <v>-5.1717600255893295E-2</v>
      </c>
      <c r="BD77" s="52">
        <f t="shared" si="26"/>
        <v>-5.4444304241561846E-2</v>
      </c>
      <c r="BE77" s="51"/>
      <c r="BF77" s="440"/>
    </row>
    <row r="78" spans="1:58" x14ac:dyDescent="0.15">
      <c r="A78" s="7" t="s">
        <v>48</v>
      </c>
      <c r="B78" s="7" t="s">
        <v>23</v>
      </c>
      <c r="C78" s="7" t="s">
        <v>34</v>
      </c>
      <c r="D78" s="7" t="s">
        <v>34</v>
      </c>
      <c r="E78" s="7" t="s">
        <v>33</v>
      </c>
      <c r="F78" s="47" t="str">
        <f t="shared" si="2"/>
        <v>tCO2/MWh</v>
      </c>
      <c r="G78" s="47" t="s">
        <v>39</v>
      </c>
      <c r="H78" s="47" t="s">
        <v>29</v>
      </c>
      <c r="I78" s="47"/>
      <c r="J78" s="52">
        <f t="shared" si="27"/>
        <v>0.67987225492861203</v>
      </c>
      <c r="K78" s="52">
        <f t="shared" si="26"/>
        <v>0.64518712562913239</v>
      </c>
      <c r="L78" s="52">
        <f t="shared" si="26"/>
        <v>0.61255451770399139</v>
      </c>
      <c r="M78" s="52">
        <f t="shared" si="26"/>
        <v>0.58179747735804033</v>
      </c>
      <c r="N78" s="52">
        <f t="shared" si="26"/>
        <v>0.55275882350560712</v>
      </c>
      <c r="O78" s="52">
        <f t="shared" si="26"/>
        <v>0.52529846108449296</v>
      </c>
      <c r="P78" s="52">
        <f t="shared" si="26"/>
        <v>0.49929112085535199</v>
      </c>
      <c r="Q78" s="52">
        <f t="shared" si="26"/>
        <v>0.47462444873841603</v>
      </c>
      <c r="R78" s="52">
        <f t="shared" si="26"/>
        <v>0.45119738320741432</v>
      </c>
      <c r="S78" s="52">
        <f t="shared" si="26"/>
        <v>0.42891877131617795</v>
      </c>
      <c r="T78" s="52">
        <f t="shared" si="26"/>
        <v>0.40770618339320797</v>
      </c>
      <c r="U78" s="52">
        <f t="shared" si="26"/>
        <v>0.38748489390994534</v>
      </c>
      <c r="V78" s="52">
        <f t="shared" si="26"/>
        <v>0.36066852413306577</v>
      </c>
      <c r="W78" s="52">
        <f t="shared" si="26"/>
        <v>0.33515932183159347</v>
      </c>
      <c r="X78" s="52">
        <f t="shared" si="26"/>
        <v>0.31086398396401521</v>
      </c>
      <c r="Y78" s="52">
        <f t="shared" si="26"/>
        <v>0.28769788084310627</v>
      </c>
      <c r="Z78" s="52">
        <f t="shared" si="26"/>
        <v>0.26558407119318489</v>
      </c>
      <c r="AA78" s="52">
        <f t="shared" si="26"/>
        <v>0.24290539521971807</v>
      </c>
      <c r="AB78" s="52">
        <f t="shared" si="26"/>
        <v>0.22129132384511224</v>
      </c>
      <c r="AC78" s="52">
        <f t="shared" si="26"/>
        <v>0.20066861265855956</v>
      </c>
      <c r="AD78" s="52">
        <f t="shared" si="26"/>
        <v>0.18097058553591741</v>
      </c>
      <c r="AE78" s="52">
        <f t="shared" si="26"/>
        <v>0.16213641450991512</v>
      </c>
      <c r="AF78" s="52">
        <f t="shared" si="26"/>
        <v>0.1449638726170687</v>
      </c>
      <c r="AG78" s="52">
        <f t="shared" si="26"/>
        <v>0.12854756798297368</v>
      </c>
      <c r="AH78" s="52">
        <f t="shared" si="26"/>
        <v>0.11283862255052216</v>
      </c>
      <c r="AI78" s="52">
        <f t="shared" si="26"/>
        <v>9.7792281622887306E-2</v>
      </c>
      <c r="AJ78" s="52">
        <f t="shared" si="26"/>
        <v>8.3367488035139783E-2</v>
      </c>
      <c r="AK78" s="52">
        <f t="shared" si="26"/>
        <v>7.1081710898589973E-2</v>
      </c>
      <c r="AL78" s="52">
        <f t="shared" si="26"/>
        <v>5.9300654038025494E-2</v>
      </c>
      <c r="AM78" s="52">
        <f t="shared" si="26"/>
        <v>4.7993841328714287E-2</v>
      </c>
      <c r="AN78" s="52">
        <f t="shared" si="26"/>
        <v>3.7133201856228482E-2</v>
      </c>
      <c r="AO78" s="52">
        <f t="shared" si="26"/>
        <v>2.669283723000963E-2</v>
      </c>
      <c r="AP78" s="52">
        <f t="shared" si="26"/>
        <v>2.0229505587526831E-2</v>
      </c>
      <c r="AQ78" s="52">
        <f t="shared" si="26"/>
        <v>1.4035054525557976E-2</v>
      </c>
      <c r="AR78" s="52">
        <f t="shared" si="26"/>
        <v>8.0930474120139602E-3</v>
      </c>
      <c r="AS78" s="52">
        <f t="shared" si="26"/>
        <v>2.3883605535638263E-3</v>
      </c>
      <c r="AT78" s="52">
        <f t="shared" si="26"/>
        <v>-3.0929453326891984E-3</v>
      </c>
      <c r="AU78" s="52">
        <f t="shared" si="26"/>
        <v>-6.5469482402999313E-3</v>
      </c>
      <c r="AV78" s="52">
        <f t="shared" si="26"/>
        <v>-9.8540540133714213E-3</v>
      </c>
      <c r="AW78" s="52">
        <f t="shared" si="26"/>
        <v>-1.302343872489411E-2</v>
      </c>
      <c r="AX78" s="52">
        <f t="shared" si="26"/>
        <v>-1.6063529780129357E-2</v>
      </c>
      <c r="AY78" s="52">
        <f t="shared" si="26"/>
        <v>-1.8982080744256322E-2</v>
      </c>
      <c r="AZ78" s="52">
        <f t="shared" si="26"/>
        <v>-2.0487415616919937E-2</v>
      </c>
      <c r="BA78" s="52">
        <f t="shared" si="26"/>
        <v>-2.1930472711970891E-2</v>
      </c>
      <c r="BB78" s="52">
        <f t="shared" si="26"/>
        <v>-2.3315038480256869E-2</v>
      </c>
      <c r="BC78" s="52">
        <f t="shared" si="26"/>
        <v>-2.4644598518018652E-2</v>
      </c>
      <c r="BD78" s="52">
        <f t="shared" si="26"/>
        <v>-2.5922366865620803E-2</v>
      </c>
      <c r="BE78" s="51"/>
      <c r="BF78" s="440"/>
    </row>
    <row r="79" spans="1:58" x14ac:dyDescent="0.15">
      <c r="A79" s="441" t="s">
        <v>48</v>
      </c>
      <c r="B79" s="441" t="s">
        <v>414</v>
      </c>
      <c r="C79" s="441" t="s">
        <v>22</v>
      </c>
      <c r="D79" s="441" t="s">
        <v>18</v>
      </c>
      <c r="E79" s="441" t="s">
        <v>33</v>
      </c>
      <c r="F79" s="441" t="s">
        <v>193</v>
      </c>
      <c r="G79" s="441"/>
      <c r="H79" s="441" t="s">
        <v>29</v>
      </c>
      <c r="J79" s="448">
        <f>J76</f>
        <v>0.57202495010378573</v>
      </c>
      <c r="K79" s="448">
        <f t="shared" ref="K79:N79" si="28">K76</f>
        <v>0.5462795847930102</v>
      </c>
      <c r="L79" s="448">
        <f t="shared" si="28"/>
        <v>0.52139984873939516</v>
      </c>
      <c r="M79" s="448">
        <f t="shared" si="28"/>
        <v>0.49734280652806911</v>
      </c>
      <c r="N79" s="448">
        <f t="shared" si="28"/>
        <v>0.4740683160370745</v>
      </c>
      <c r="O79" s="441">
        <f>K46</f>
        <v>0.46800000000000003</v>
      </c>
      <c r="P79" s="441">
        <f>L46</f>
        <v>0.438</v>
      </c>
      <c r="Q79" s="441">
        <f t="shared" ref="Q79:Y79" si="29">$O79-((Q$49-$O$49)*($O79-$Z79)/11)</f>
        <v>0.40800000000000003</v>
      </c>
      <c r="R79" s="441">
        <f t="shared" si="29"/>
        <v>0.378</v>
      </c>
      <c r="S79" s="441">
        <f t="shared" si="29"/>
        <v>0.34800000000000003</v>
      </c>
      <c r="T79" s="441">
        <f t="shared" si="29"/>
        <v>0.318</v>
      </c>
      <c r="U79" s="441">
        <f t="shared" si="29"/>
        <v>0.28800000000000003</v>
      </c>
      <c r="V79" s="441">
        <f t="shared" si="29"/>
        <v>0.25800000000000001</v>
      </c>
      <c r="W79" s="441">
        <f t="shared" si="29"/>
        <v>0.22800000000000001</v>
      </c>
      <c r="X79" s="441">
        <f t="shared" si="29"/>
        <v>0.19800000000000001</v>
      </c>
      <c r="Y79" s="441">
        <f t="shared" si="29"/>
        <v>0.16799999999999998</v>
      </c>
      <c r="Z79" s="448">
        <f>N46</f>
        <v>0.13800000000000001</v>
      </c>
      <c r="AA79" s="55">
        <f t="shared" ref="AA79:AI79" si="30">$Z79-(($Z79-$AJ79)/(10)*(AA$49-$Z$49))</f>
        <v>0.12410000000000002</v>
      </c>
      <c r="AB79" s="55">
        <f t="shared" si="30"/>
        <v>0.11020000000000001</v>
      </c>
      <c r="AC79" s="55">
        <f t="shared" si="30"/>
        <v>9.6300000000000011E-2</v>
      </c>
      <c r="AD79" s="55">
        <f t="shared" si="30"/>
        <v>8.2400000000000001E-2</v>
      </c>
      <c r="AE79" s="55">
        <f t="shared" si="30"/>
        <v>6.8500000000000005E-2</v>
      </c>
      <c r="AF79" s="55">
        <f t="shared" si="30"/>
        <v>5.460000000000001E-2</v>
      </c>
      <c r="AG79" s="55">
        <f t="shared" si="30"/>
        <v>4.07E-2</v>
      </c>
      <c r="AH79" s="55">
        <f t="shared" si="30"/>
        <v>2.6800000000000004E-2</v>
      </c>
      <c r="AI79" s="55">
        <f t="shared" si="30"/>
        <v>1.2899999999999995E-2</v>
      </c>
      <c r="AJ79" s="448">
        <f>P46</f>
        <v>-1E-3</v>
      </c>
      <c r="AK79" s="451">
        <f t="shared" ref="AK79:AS79" si="31">$AJ79-(($AJ79-$AT79)/(10)*(AK$49-$AJ$49))</f>
        <v>-1.4E-3</v>
      </c>
      <c r="AL79" s="451">
        <f t="shared" si="31"/>
        <v>-1.8E-3</v>
      </c>
      <c r="AM79" s="451">
        <f t="shared" si="31"/>
        <v>-2.2000000000000001E-3</v>
      </c>
      <c r="AN79" s="451">
        <f t="shared" si="31"/>
        <v>-2.5999999999999999E-3</v>
      </c>
      <c r="AO79" s="451">
        <f t="shared" si="31"/>
        <v>-3.0000000000000001E-3</v>
      </c>
      <c r="AP79" s="451">
        <f t="shared" si="31"/>
        <v>-3.4000000000000002E-3</v>
      </c>
      <c r="AQ79" s="451">
        <f t="shared" si="31"/>
        <v>-3.8E-3</v>
      </c>
      <c r="AR79" s="451">
        <f t="shared" si="31"/>
        <v>-4.2000000000000006E-3</v>
      </c>
      <c r="AS79" s="451">
        <f t="shared" si="31"/>
        <v>-4.5999999999999999E-3</v>
      </c>
      <c r="AT79" s="448">
        <f>R46</f>
        <v>-5.0000000000000001E-3</v>
      </c>
      <c r="BF79" s="440">
        <f>($U$49-$P$49)*(0.5*(P79-U79)+U79)+($Z$49-$U$49)*(0.5*(U79-Z79)+Z79)+($AE$49-$Z$49)*(0.5*(Z79-AE79)+AE79)+($AJ$49-$AE$49)*(0.5*(AE79-AJ79)+AJ79)+($AO$49-$AJ$49)*(0.5*(AJ79-AO79)+AO79)+($AT$49-$AO$49)*(0.5*(AO79-AT79)+AT79)</f>
        <v>3.5350000000000006</v>
      </c>
    </row>
    <row r="80" spans="1:58" x14ac:dyDescent="0.15">
      <c r="A80" s="7" t="s">
        <v>41</v>
      </c>
      <c r="B80" s="441" t="s">
        <v>23</v>
      </c>
      <c r="C80" s="441" t="s">
        <v>22</v>
      </c>
      <c r="D80" s="441" t="s">
        <v>18</v>
      </c>
      <c r="E80" s="441" t="s">
        <v>24</v>
      </c>
      <c r="F80" s="442" t="s">
        <v>25</v>
      </c>
      <c r="G80" s="442"/>
      <c r="H80" s="441" t="s">
        <v>410</v>
      </c>
      <c r="I80" s="441"/>
      <c r="J80" s="55">
        <f>J31</f>
        <v>1971.7196040309964</v>
      </c>
      <c r="K80" s="55">
        <f>$J80-(($J80-$U80)/(11)*(K$49-$J$49))</f>
        <v>1928.0569654359749</v>
      </c>
      <c r="L80" s="55">
        <f t="shared" ref="L80:T81" si="32">$J80-(($J80-$U80)/(11)*(L$49-$J$49))</f>
        <v>1884.3943268409537</v>
      </c>
      <c r="M80" s="55">
        <f t="shared" si="32"/>
        <v>1840.7316882459322</v>
      </c>
      <c r="N80" s="55">
        <f t="shared" si="32"/>
        <v>1797.069049650911</v>
      </c>
      <c r="O80" s="55">
        <f t="shared" si="32"/>
        <v>1753.4064110558895</v>
      </c>
      <c r="P80" s="55">
        <f t="shared" si="32"/>
        <v>1709.7437724608683</v>
      </c>
      <c r="Q80" s="55">
        <f t="shared" si="32"/>
        <v>1666.0811338658468</v>
      </c>
      <c r="R80" s="55">
        <f t="shared" si="32"/>
        <v>1622.4184952708256</v>
      </c>
      <c r="S80" s="55">
        <f t="shared" si="32"/>
        <v>1578.7558566758041</v>
      </c>
      <c r="T80" s="55">
        <f t="shared" si="32"/>
        <v>1535.0932180807829</v>
      </c>
      <c r="U80" s="55">
        <f>M31</f>
        <v>1491.4305794857614</v>
      </c>
      <c r="V80" s="55">
        <f t="shared" ref="V80:Y81" si="33">$U80-(($U80-$Z80)/(5)*(V$49-$U$49))</f>
        <v>1416.9546443771408</v>
      </c>
      <c r="W80" s="55">
        <f t="shared" si="33"/>
        <v>1342.4787092685203</v>
      </c>
      <c r="X80" s="55">
        <f t="shared" si="33"/>
        <v>1268.0027741598997</v>
      </c>
      <c r="Y80" s="55">
        <f t="shared" si="33"/>
        <v>1193.5268390512792</v>
      </c>
      <c r="Z80" s="55">
        <f>N31</f>
        <v>1119.0509039426586</v>
      </c>
      <c r="AA80" s="55">
        <f>$Z80-(($Z80-$AE80)/(5)*(AA$49-$Z$49))</f>
        <v>1059.1843953202729</v>
      </c>
      <c r="AB80" s="55">
        <f t="shared" ref="AB80:AD81" si="34">$Z80-(($Z80-$AE80)/(5)*(AB$49-$Z$49))</f>
        <v>999.31788669788716</v>
      </c>
      <c r="AC80" s="55">
        <f t="shared" si="34"/>
        <v>939.45137807550145</v>
      </c>
      <c r="AD80" s="55">
        <f t="shared" si="34"/>
        <v>879.58486945311586</v>
      </c>
      <c r="AE80" s="55">
        <f>O31</f>
        <v>819.71836083073015</v>
      </c>
      <c r="AF80" s="55">
        <f>$AE80-(($AE80-$AJ80)/(5)*(AF$49-$AE$49))</f>
        <v>781.40507604954939</v>
      </c>
      <c r="AG80" s="55">
        <f t="shared" ref="AG80:AI81" si="35">$AE80-(($AE80-$AJ80)/(5)*(AG$49-$AE$49))</f>
        <v>743.09179126836864</v>
      </c>
      <c r="AH80" s="55">
        <f t="shared" si="35"/>
        <v>704.77850648718777</v>
      </c>
      <c r="AI80" s="55">
        <f t="shared" si="35"/>
        <v>666.46522170600701</v>
      </c>
      <c r="AJ80" s="55">
        <f>P31</f>
        <v>628.15193692482626</v>
      </c>
      <c r="AK80" s="55">
        <f t="shared" ref="AK80:AN81" si="36">$AJ80-(($AJ80-$AO80)/(5)*(AK$49-$AJ$49))</f>
        <v>600.8326813665492</v>
      </c>
      <c r="AL80" s="55">
        <f t="shared" si="36"/>
        <v>573.51342580827213</v>
      </c>
      <c r="AM80" s="55">
        <f t="shared" si="36"/>
        <v>546.19417024999507</v>
      </c>
      <c r="AN80" s="55">
        <f t="shared" si="36"/>
        <v>518.87491469171789</v>
      </c>
      <c r="AO80" s="55">
        <f>Q31</f>
        <v>491.55565913344083</v>
      </c>
      <c r="AP80" s="55">
        <f>$AO80-(($AO80-$AT80)/(5)*(AP$49-$AO$49))</f>
        <v>466.91729456822884</v>
      </c>
      <c r="AQ80" s="55">
        <f t="shared" ref="AQ80:AS81" si="37">$AO80-(($AO80-$AT80)/(5)*(AQ$49-$AO$49))</f>
        <v>442.27893000301691</v>
      </c>
      <c r="AR80" s="55">
        <f t="shared" si="37"/>
        <v>417.64056543780492</v>
      </c>
      <c r="AS80" s="55">
        <f t="shared" si="37"/>
        <v>393.00220087259299</v>
      </c>
      <c r="AT80" s="55">
        <f>R31</f>
        <v>368.36383630738101</v>
      </c>
      <c r="AU80" s="55">
        <f>$AT80-(($AT80-$AY80)/(5)*(AU$49-$AT$49))</f>
        <v>348.88426837831378</v>
      </c>
      <c r="AV80" s="55">
        <f t="shared" ref="AV80:AX81" si="38">$AT80-(($AT80-$AY80)/(5)*(AV$49-$AT$49))</f>
        <v>329.40470044924649</v>
      </c>
      <c r="AW80" s="55">
        <f t="shared" si="38"/>
        <v>309.92513252017926</v>
      </c>
      <c r="AX80" s="55">
        <f t="shared" si="38"/>
        <v>290.44556459111197</v>
      </c>
      <c r="AY80" s="55">
        <f>S31</f>
        <v>270.96599666204474</v>
      </c>
      <c r="AZ80" s="55">
        <f>$AY80-(($AY80-$BD80)/(5)*(AZ$49-$AY$49))</f>
        <v>258.94250462587252</v>
      </c>
      <c r="BA80" s="55">
        <f t="shared" ref="BA80:BC81" si="39">$AY80-(($AY80-$BD80)/(5)*(BA$49-$AY$49))</f>
        <v>246.91901258970029</v>
      </c>
      <c r="BB80" s="55">
        <f t="shared" si="39"/>
        <v>234.89552055352806</v>
      </c>
      <c r="BC80" s="55">
        <f t="shared" si="39"/>
        <v>222.87202851735586</v>
      </c>
      <c r="BD80" s="55">
        <f>T31</f>
        <v>210.84853648118363</v>
      </c>
      <c r="BE80" s="51"/>
      <c r="BF80" s="440">
        <f>($U$49-$P$49)*(0.5*(P80-U80)+U80)+($Z$49-$U$49)*(0.5*(U80-Z80)+Z80)+($AE$49-$Z$49)*(0.5*(Z80-AE80)+AE80)+($AJ$49-$AE$49)*(0.5*(AE80-AJ80)+AJ80)+($AO$49-$AJ$49)*(0.5*(AJ80-AO80)+AO80)+($AT$49-$AO$49)*(0.5*(AO80-AT80)+AT80)</f>
        <v>27944.806223507709</v>
      </c>
    </row>
    <row r="81" spans="1:58" x14ac:dyDescent="0.15">
      <c r="A81" s="7" t="s">
        <v>47</v>
      </c>
      <c r="B81" s="441" t="s">
        <v>23</v>
      </c>
      <c r="C81" s="441" t="s">
        <v>22</v>
      </c>
      <c r="D81" s="441" t="s">
        <v>18</v>
      </c>
      <c r="E81" s="441" t="s">
        <v>37</v>
      </c>
      <c r="F81" s="442" t="s">
        <v>30</v>
      </c>
      <c r="G81" s="442"/>
      <c r="H81" s="441" t="s">
        <v>410</v>
      </c>
      <c r="I81" s="441"/>
      <c r="J81" s="55">
        <f>J32</f>
        <v>20426.919965419918</v>
      </c>
      <c r="K81" s="55">
        <f>$J81-(($J81-$U81)/(11)*(K$49-$J$49))</f>
        <v>20956.770853033431</v>
      </c>
      <c r="L81" s="55">
        <f t="shared" si="32"/>
        <v>21486.62174064694</v>
      </c>
      <c r="M81" s="55">
        <f t="shared" si="32"/>
        <v>22016.472628260453</v>
      </c>
      <c r="N81" s="55">
        <f t="shared" si="32"/>
        <v>22546.323515873966</v>
      </c>
      <c r="O81" s="55">
        <f t="shared" si="32"/>
        <v>23076.174403487479</v>
      </c>
      <c r="P81" s="55">
        <f t="shared" si="32"/>
        <v>23606.025291100988</v>
      </c>
      <c r="Q81" s="55">
        <f t="shared" si="32"/>
        <v>24135.876178714501</v>
      </c>
      <c r="R81" s="55">
        <f t="shared" si="32"/>
        <v>24665.727066328014</v>
      </c>
      <c r="S81" s="55">
        <f t="shared" si="32"/>
        <v>25195.577953941523</v>
      </c>
      <c r="T81" s="55">
        <f t="shared" si="32"/>
        <v>25725.428841555036</v>
      </c>
      <c r="U81" s="55">
        <f>M32</f>
        <v>26255.279729168549</v>
      </c>
      <c r="V81" s="55">
        <f t="shared" si="33"/>
        <v>26954.845050235312</v>
      </c>
      <c r="W81" s="55">
        <f t="shared" si="33"/>
        <v>27654.410371302078</v>
      </c>
      <c r="X81" s="55">
        <f t="shared" si="33"/>
        <v>28353.97569236884</v>
      </c>
      <c r="Y81" s="55">
        <f t="shared" si="33"/>
        <v>29053.541013435606</v>
      </c>
      <c r="Z81" s="55">
        <f>N32</f>
        <v>29753.106334502369</v>
      </c>
      <c r="AA81" s="55">
        <f>$Z81-(($Z81-$AE81)/(5)*(AA$49-$Z$49))</f>
        <v>30454.308945177665</v>
      </c>
      <c r="AB81" s="55">
        <f t="shared" si="34"/>
        <v>31155.511555852961</v>
      </c>
      <c r="AC81" s="55">
        <f t="shared" si="34"/>
        <v>31856.714166528262</v>
      </c>
      <c r="AD81" s="55">
        <f t="shared" si="34"/>
        <v>32557.916777203558</v>
      </c>
      <c r="AE81" s="55">
        <f>O32</f>
        <v>33259.119387878854</v>
      </c>
      <c r="AF81" s="55">
        <f>$AE81-(($AE81-$AJ81)/(5)*(AF$49-$AE$49))</f>
        <v>33907.152739790945</v>
      </c>
      <c r="AG81" s="55">
        <f t="shared" si="35"/>
        <v>34555.186091703028</v>
      </c>
      <c r="AH81" s="55">
        <f t="shared" si="35"/>
        <v>35203.219443615119</v>
      </c>
      <c r="AI81" s="55">
        <f t="shared" si="35"/>
        <v>35851.252795527202</v>
      </c>
      <c r="AJ81" s="55">
        <f>P32</f>
        <v>36499.286147439292</v>
      </c>
      <c r="AK81" s="55">
        <f t="shared" si="36"/>
        <v>37074.533109959899</v>
      </c>
      <c r="AL81" s="55">
        <f t="shared" si="36"/>
        <v>37649.780072480506</v>
      </c>
      <c r="AM81" s="55">
        <f t="shared" si="36"/>
        <v>38225.02703500112</v>
      </c>
      <c r="AN81" s="55">
        <f t="shared" si="36"/>
        <v>38800.273997521726</v>
      </c>
      <c r="AO81" s="55">
        <f>Q32</f>
        <v>39375.520960042333</v>
      </c>
      <c r="AP81" s="55">
        <f>$AO81-(($AO81-$AT81)/(5)*(AP$49-$AO$49))</f>
        <v>39878.4795624006</v>
      </c>
      <c r="AQ81" s="55">
        <f t="shared" si="37"/>
        <v>40381.438164758867</v>
      </c>
      <c r="AR81" s="55">
        <f t="shared" si="37"/>
        <v>40884.396767117141</v>
      </c>
      <c r="AS81" s="55">
        <f t="shared" si="37"/>
        <v>41387.355369475408</v>
      </c>
      <c r="AT81" s="55">
        <f>R32</f>
        <v>41890.313971833675</v>
      </c>
      <c r="AU81" s="55">
        <f>$AT81-(($AT81-$AY81)/(5)*(AU$49-$AT$49))</f>
        <v>42372.73867181332</v>
      </c>
      <c r="AV81" s="55">
        <f t="shared" si="38"/>
        <v>42855.163371792965</v>
      </c>
      <c r="AW81" s="55">
        <f t="shared" si="38"/>
        <v>43337.58807177261</v>
      </c>
      <c r="AX81" s="55">
        <f t="shared" si="38"/>
        <v>43820.012771752256</v>
      </c>
      <c r="AY81" s="55">
        <f>S32</f>
        <v>44302.437471731901</v>
      </c>
      <c r="AZ81" s="55">
        <f>$AY81-(($AY81-$BD81)/(5)*(AZ$49-$AY$49))</f>
        <v>44793.578777845061</v>
      </c>
      <c r="BA81" s="55">
        <f t="shared" si="39"/>
        <v>45284.720083958215</v>
      </c>
      <c r="BB81" s="55">
        <f t="shared" si="39"/>
        <v>45775.861390071375</v>
      </c>
      <c r="BC81" s="55">
        <f t="shared" si="39"/>
        <v>46267.002696184529</v>
      </c>
      <c r="BD81" s="55">
        <f>T32</f>
        <v>46758.144002297689</v>
      </c>
      <c r="BE81" s="51"/>
      <c r="BF81" s="440"/>
    </row>
    <row r="82" spans="1:58" x14ac:dyDescent="0.15">
      <c r="A82" s="7" t="s">
        <v>42</v>
      </c>
      <c r="B82" s="441" t="s">
        <v>23</v>
      </c>
      <c r="C82" s="441" t="s">
        <v>22</v>
      </c>
      <c r="D82" s="441" t="s">
        <v>18</v>
      </c>
      <c r="E82" s="441" t="s">
        <v>31</v>
      </c>
      <c r="F82" s="442" t="s">
        <v>195</v>
      </c>
      <c r="G82" s="442"/>
      <c r="H82" s="441" t="s">
        <v>410</v>
      </c>
      <c r="I82" s="441">
        <f>I33</f>
        <v>167854</v>
      </c>
      <c r="J82" s="55">
        <f t="shared" ref="J82:AS82" si="40">$I82-(($I82-$AT82)/(40)*(J$49-$I$49))</f>
        <v>180447.3</v>
      </c>
      <c r="K82" s="55">
        <f>$I82-(($I82-$AT82)/(40)*(K$49-$I$49))</f>
        <v>183595.625</v>
      </c>
      <c r="L82" s="55">
        <f t="shared" si="40"/>
        <v>186743.95</v>
      </c>
      <c r="M82" s="55">
        <f t="shared" si="40"/>
        <v>189892.27499999999</v>
      </c>
      <c r="N82" s="55">
        <f t="shared" si="40"/>
        <v>193040.6</v>
      </c>
      <c r="O82" s="55">
        <f t="shared" si="40"/>
        <v>196188.92499999999</v>
      </c>
      <c r="P82" s="55">
        <f t="shared" si="40"/>
        <v>199337.25</v>
      </c>
      <c r="Q82" s="55">
        <f t="shared" si="40"/>
        <v>202485.57500000001</v>
      </c>
      <c r="R82" s="55">
        <f t="shared" si="40"/>
        <v>205633.9</v>
      </c>
      <c r="S82" s="55">
        <f t="shared" si="40"/>
        <v>208782.22500000001</v>
      </c>
      <c r="T82" s="55">
        <f t="shared" si="40"/>
        <v>211930.55</v>
      </c>
      <c r="U82" s="55">
        <f t="shared" si="40"/>
        <v>215078.875</v>
      </c>
      <c r="V82" s="55">
        <f t="shared" si="40"/>
        <v>218227.20000000001</v>
      </c>
      <c r="W82" s="55">
        <f t="shared" si="40"/>
        <v>221375.52499999999</v>
      </c>
      <c r="X82" s="55">
        <f t="shared" si="40"/>
        <v>224523.85</v>
      </c>
      <c r="Y82" s="55">
        <f t="shared" si="40"/>
        <v>227672.17499999999</v>
      </c>
      <c r="Z82" s="55">
        <f t="shared" si="40"/>
        <v>230820.5</v>
      </c>
      <c r="AA82" s="55">
        <f t="shared" si="40"/>
        <v>233968.82500000001</v>
      </c>
      <c r="AB82" s="55">
        <f t="shared" si="40"/>
        <v>237117.15</v>
      </c>
      <c r="AC82" s="55">
        <f t="shared" si="40"/>
        <v>240265.47499999998</v>
      </c>
      <c r="AD82" s="55">
        <f t="shared" si="40"/>
        <v>243413.8</v>
      </c>
      <c r="AE82" s="55">
        <f t="shared" si="40"/>
        <v>246562.125</v>
      </c>
      <c r="AF82" s="55">
        <f t="shared" si="40"/>
        <v>249710.45</v>
      </c>
      <c r="AG82" s="55">
        <f t="shared" si="40"/>
        <v>252858.77499999999</v>
      </c>
      <c r="AH82" s="55">
        <f t="shared" si="40"/>
        <v>256007.09999999998</v>
      </c>
      <c r="AI82" s="55">
        <f t="shared" si="40"/>
        <v>259155.42499999999</v>
      </c>
      <c r="AJ82" s="55">
        <f t="shared" si="40"/>
        <v>262303.75</v>
      </c>
      <c r="AK82" s="55">
        <f t="shared" si="40"/>
        <v>265452.07500000001</v>
      </c>
      <c r="AL82" s="55">
        <f t="shared" si="40"/>
        <v>268600.40000000002</v>
      </c>
      <c r="AM82" s="55">
        <f t="shared" si="40"/>
        <v>271748.72499999998</v>
      </c>
      <c r="AN82" s="55">
        <f t="shared" si="40"/>
        <v>274897.05</v>
      </c>
      <c r="AO82" s="55">
        <f t="shared" si="40"/>
        <v>278045.375</v>
      </c>
      <c r="AP82" s="55">
        <f t="shared" si="40"/>
        <v>281193.7</v>
      </c>
      <c r="AQ82" s="55">
        <f t="shared" si="40"/>
        <v>284342.02500000002</v>
      </c>
      <c r="AR82" s="55">
        <f t="shared" si="40"/>
        <v>287490.34999999998</v>
      </c>
      <c r="AS82" s="55">
        <f t="shared" si="40"/>
        <v>290638.67499999999</v>
      </c>
      <c r="AT82" s="55">
        <f>R33</f>
        <v>293787</v>
      </c>
      <c r="AU82" s="55">
        <f t="shared" ref="AU82:BD82" si="41">+FORECAST(AU49,$J82:$AT82,$J49:$AT49)</f>
        <v>296935.32500000019</v>
      </c>
      <c r="AV82" s="55">
        <f t="shared" si="41"/>
        <v>300083.65000000037</v>
      </c>
      <c r="AW82" s="55">
        <f t="shared" si="41"/>
        <v>303231.97500000056</v>
      </c>
      <c r="AX82" s="55">
        <f t="shared" si="41"/>
        <v>306380.30000000075</v>
      </c>
      <c r="AY82" s="55">
        <f t="shared" si="41"/>
        <v>309528.62500000093</v>
      </c>
      <c r="AZ82" s="55">
        <f t="shared" si="41"/>
        <v>312676.95000000019</v>
      </c>
      <c r="BA82" s="55">
        <f t="shared" si="41"/>
        <v>315825.27500000037</v>
      </c>
      <c r="BB82" s="55">
        <f t="shared" si="41"/>
        <v>318973.60000000056</v>
      </c>
      <c r="BC82" s="55">
        <f t="shared" si="41"/>
        <v>322121.92500000075</v>
      </c>
      <c r="BD82" s="55">
        <f t="shared" si="41"/>
        <v>325270.25000000093</v>
      </c>
      <c r="BE82" s="51"/>
      <c r="BF82" s="440"/>
    </row>
    <row r="83" spans="1:58" x14ac:dyDescent="0.15">
      <c r="A83" s="7" t="s">
        <v>41</v>
      </c>
      <c r="B83" s="441" t="s">
        <v>261</v>
      </c>
      <c r="C83" s="441" t="s">
        <v>22</v>
      </c>
      <c r="D83" s="441" t="s">
        <v>18</v>
      </c>
      <c r="E83" s="441" t="s">
        <v>24</v>
      </c>
      <c r="F83" s="442" t="s">
        <v>25</v>
      </c>
      <c r="G83" s="442"/>
      <c r="H83" s="442" t="s">
        <v>7</v>
      </c>
      <c r="I83" s="442"/>
      <c r="J83" s="55">
        <f t="shared" ref="J83:M83" si="42">$O$83</f>
        <v>2461</v>
      </c>
      <c r="K83" s="55">
        <f t="shared" si="42"/>
        <v>2461</v>
      </c>
      <c r="L83" s="55">
        <f t="shared" si="42"/>
        <v>2461</v>
      </c>
      <c r="M83" s="55">
        <f t="shared" si="42"/>
        <v>2461</v>
      </c>
      <c r="N83" s="55">
        <f>$O$83</f>
        <v>2461</v>
      </c>
      <c r="O83" s="443">
        <f>K34</f>
        <v>2461</v>
      </c>
      <c r="P83" s="443">
        <f>L34</f>
        <v>2334</v>
      </c>
      <c r="Q83" s="443">
        <f>$O83-((Q$49-$O$49)*($O83-$Z83)/11)</f>
        <v>2358.818181818182</v>
      </c>
      <c r="R83" s="443">
        <f t="shared" ref="R83:Y84" si="43">$O83-((R$49-$O$49)*($O83-$Z83)/11)</f>
        <v>2307.7272727272725</v>
      </c>
      <c r="S83" s="443">
        <f t="shared" si="43"/>
        <v>2256.6363636363635</v>
      </c>
      <c r="T83" s="443">
        <f t="shared" si="43"/>
        <v>2205.5454545454545</v>
      </c>
      <c r="U83" s="443">
        <f t="shared" si="43"/>
        <v>2154.4545454545455</v>
      </c>
      <c r="V83" s="443">
        <f t="shared" si="43"/>
        <v>2103.3636363636365</v>
      </c>
      <c r="W83" s="443">
        <f t="shared" si="43"/>
        <v>2052.272727272727</v>
      </c>
      <c r="X83" s="443">
        <f t="shared" si="43"/>
        <v>2001.1818181818182</v>
      </c>
      <c r="Y83" s="443">
        <f t="shared" si="43"/>
        <v>1950.090909090909</v>
      </c>
      <c r="Z83" s="443">
        <f>N34</f>
        <v>1899</v>
      </c>
      <c r="AA83" s="55">
        <f>$Z83-(($Z83-$AJ83)/(10)*(AA$49-$Z$49))</f>
        <v>1799.7</v>
      </c>
      <c r="AB83" s="55">
        <f t="shared" ref="AB83:AI84" si="44">$Z83-(($Z83-$AJ83)/(10)*(AB$49-$Z$49))</f>
        <v>1700.4</v>
      </c>
      <c r="AC83" s="55">
        <f t="shared" si="44"/>
        <v>1601.1</v>
      </c>
      <c r="AD83" s="55">
        <f t="shared" si="44"/>
        <v>1501.8</v>
      </c>
      <c r="AE83" s="55">
        <f t="shared" si="44"/>
        <v>1402.5</v>
      </c>
      <c r="AF83" s="55">
        <f t="shared" si="44"/>
        <v>1303.2</v>
      </c>
      <c r="AG83" s="55">
        <f t="shared" si="44"/>
        <v>1203.9000000000001</v>
      </c>
      <c r="AH83" s="55">
        <f t="shared" si="44"/>
        <v>1104.5999999999999</v>
      </c>
      <c r="AI83" s="55">
        <f t="shared" si="44"/>
        <v>1005.3000000000001</v>
      </c>
      <c r="AJ83" s="443">
        <f>P34</f>
        <v>906</v>
      </c>
      <c r="AK83" s="52">
        <f>$AJ83-(($AJ83-$AT83)/(10)*(AK$49-$AJ$49))</f>
        <v>828.7</v>
      </c>
      <c r="AL83" s="52">
        <f t="shared" ref="AL83:AS84" si="45">$AJ83-(($AJ83-$AT83)/(10)*(AL$49-$AJ$49))</f>
        <v>751.4</v>
      </c>
      <c r="AM83" s="52">
        <f t="shared" si="45"/>
        <v>674.1</v>
      </c>
      <c r="AN83" s="52">
        <f t="shared" si="45"/>
        <v>596.79999999999995</v>
      </c>
      <c r="AO83" s="52">
        <f t="shared" si="45"/>
        <v>519.5</v>
      </c>
      <c r="AP83" s="52">
        <f t="shared" si="45"/>
        <v>442.20000000000005</v>
      </c>
      <c r="AQ83" s="52">
        <f t="shared" si="45"/>
        <v>364.9</v>
      </c>
      <c r="AR83" s="52">
        <f t="shared" si="45"/>
        <v>287.60000000000002</v>
      </c>
      <c r="AS83" s="52">
        <f t="shared" si="45"/>
        <v>210.30000000000007</v>
      </c>
      <c r="AT83" s="443">
        <f>R34</f>
        <v>133</v>
      </c>
      <c r="BF83" s="440">
        <f>($U$49-$P$49)*(0.5*(P83-U83)+U83)+($Z$49-$U$49)*(0.5*(U83-Z83)+Z83)+($AE$49-$Z$49)*(0.5*(Z83-AE83)+AE83)+($AJ$49-$AE$49)*(0.5*(AE83-AJ83)+AJ83)+($AO$49-$AJ$49)*(0.5*(AJ83-AO83)+AO83)+($AT$49-$AO$49)*(0.5*(AO83-AT83)+AT83)</f>
        <v>40574.772727272728</v>
      </c>
    </row>
    <row r="84" spans="1:58" x14ac:dyDescent="0.15">
      <c r="A84" s="7" t="s">
        <v>47</v>
      </c>
      <c r="B84" s="441" t="s">
        <v>261</v>
      </c>
      <c r="C84" s="441" t="s">
        <v>22</v>
      </c>
      <c r="D84" s="441" t="s">
        <v>18</v>
      </c>
      <c r="E84" s="441" t="s">
        <v>37</v>
      </c>
      <c r="F84" s="442" t="s">
        <v>30</v>
      </c>
      <c r="G84" s="442"/>
      <c r="H84" s="441" t="s">
        <v>7</v>
      </c>
      <c r="I84" s="441"/>
      <c r="J84" s="55">
        <f t="shared" ref="J84:M84" si="46">$O$84</f>
        <v>1345.4792022514878</v>
      </c>
      <c r="K84" s="55">
        <f t="shared" si="46"/>
        <v>1345.4792022514878</v>
      </c>
      <c r="L84" s="55">
        <f t="shared" si="46"/>
        <v>1345.4792022514878</v>
      </c>
      <c r="M84" s="55">
        <f t="shared" si="46"/>
        <v>1345.4792022514878</v>
      </c>
      <c r="N84" s="55">
        <f>$O$84</f>
        <v>1345.4792022514878</v>
      </c>
      <c r="O84" s="452">
        <f>O85*O61/O68</f>
        <v>1345.4792022514878</v>
      </c>
      <c r="P84" s="443">
        <f>O84*('NZE2021'!B210/'NZE2021'!B210)*('NZE2021'!C203/'NZE2021'!B203)</f>
        <v>1346.5489943138082</v>
      </c>
      <c r="Q84" s="443">
        <f>$O84-((Q$49-$O$49)*($O84-$Z84)/11)</f>
        <v>1439.5032386846815</v>
      </c>
      <c r="R84" s="443">
        <f t="shared" si="43"/>
        <v>1486.5152569012785</v>
      </c>
      <c r="S84" s="443">
        <f t="shared" si="43"/>
        <v>1533.5272751178754</v>
      </c>
      <c r="T84" s="443">
        <f t="shared" si="43"/>
        <v>1580.5392933344722</v>
      </c>
      <c r="U84" s="443">
        <f t="shared" si="43"/>
        <v>1627.5513115510691</v>
      </c>
      <c r="V84" s="443">
        <f t="shared" si="43"/>
        <v>1674.5633297676659</v>
      </c>
      <c r="W84" s="443">
        <f t="shared" si="43"/>
        <v>1721.5753479842629</v>
      </c>
      <c r="X84" s="443">
        <f t="shared" si="43"/>
        <v>1768.5873662008598</v>
      </c>
      <c r="Y84" s="443">
        <f t="shared" si="43"/>
        <v>1815.5993844174566</v>
      </c>
      <c r="Z84" s="443">
        <f>O84*('NZE2021'!C210/'NZE2021'!B210)*('NZE2021'!D203/'NZE2021'!B203)</f>
        <v>1862.6114026340535</v>
      </c>
      <c r="AA84" s="55">
        <f>$Z84-(($Z84-$AJ84)/(10)*(AA$49-$Z$49))</f>
        <v>1916.1142890856725</v>
      </c>
      <c r="AB84" s="55">
        <f t="shared" si="44"/>
        <v>1969.6171755372914</v>
      </c>
      <c r="AC84" s="55">
        <f t="shared" si="44"/>
        <v>2023.1200619889103</v>
      </c>
      <c r="AD84" s="55">
        <f t="shared" si="44"/>
        <v>2076.6229484405289</v>
      </c>
      <c r="AE84" s="55">
        <f t="shared" si="44"/>
        <v>2130.1258348921479</v>
      </c>
      <c r="AF84" s="55">
        <f t="shared" si="44"/>
        <v>2183.6287213437668</v>
      </c>
      <c r="AG84" s="55">
        <f t="shared" si="44"/>
        <v>2237.1316077953857</v>
      </c>
      <c r="AH84" s="55">
        <f t="shared" si="44"/>
        <v>2290.6344942470046</v>
      </c>
      <c r="AI84" s="55">
        <f t="shared" si="44"/>
        <v>2344.1373806986235</v>
      </c>
      <c r="AJ84" s="443">
        <f>O84*('NZE2021'!B220/'NZE2021'!B210)*('NZE2021'!E203/'NZE2021'!B203)</f>
        <v>2397.6402671502424</v>
      </c>
      <c r="AK84" s="55">
        <f>$AJ84-(($AJ84-$AT84)/(10)*(AK$49-$AJ$49))</f>
        <v>2450.9795939763767</v>
      </c>
      <c r="AL84" s="55">
        <f t="shared" si="45"/>
        <v>2504.3189208025105</v>
      </c>
      <c r="AM84" s="55">
        <f t="shared" si="45"/>
        <v>2557.6582476286449</v>
      </c>
      <c r="AN84" s="55">
        <f t="shared" si="45"/>
        <v>2610.9975744547792</v>
      </c>
      <c r="AO84" s="55">
        <f t="shared" si="45"/>
        <v>2664.3369012809135</v>
      </c>
      <c r="AP84" s="55">
        <f t="shared" si="45"/>
        <v>2717.6762281070473</v>
      </c>
      <c r="AQ84" s="55">
        <f t="shared" si="45"/>
        <v>2771.0155549331816</v>
      </c>
      <c r="AR84" s="55">
        <f t="shared" si="45"/>
        <v>2824.354881759316</v>
      </c>
      <c r="AS84" s="55">
        <f t="shared" si="45"/>
        <v>2877.6942085854498</v>
      </c>
      <c r="AT84" s="443">
        <f>O84*('NZE2021'!D210/'NZE2021'!B210)*('NZE2021'!F203/'NZE2021'!B203)</f>
        <v>2931.0335354115841</v>
      </c>
      <c r="BF84" s="440"/>
    </row>
    <row r="85" spans="1:58" x14ac:dyDescent="0.15">
      <c r="A85" s="7" t="s">
        <v>42</v>
      </c>
      <c r="B85" s="441" t="s">
        <v>261</v>
      </c>
      <c r="C85" s="441" t="s">
        <v>22</v>
      </c>
      <c r="D85" s="441" t="s">
        <v>18</v>
      </c>
      <c r="E85" s="441" t="s">
        <v>31</v>
      </c>
      <c r="F85" s="442" t="s">
        <v>196</v>
      </c>
      <c r="G85" s="442"/>
      <c r="H85" s="441" t="s">
        <v>7</v>
      </c>
      <c r="I85" s="441"/>
      <c r="J85" s="55">
        <f t="shared" ref="J85:M85" si="47">$O$85</f>
        <v>4215</v>
      </c>
      <c r="K85" s="55">
        <f t="shared" si="47"/>
        <v>4215</v>
      </c>
      <c r="L85" s="55">
        <f t="shared" si="47"/>
        <v>4215</v>
      </c>
      <c r="M85" s="55">
        <f t="shared" si="47"/>
        <v>4215</v>
      </c>
      <c r="N85" s="55">
        <f>$O$85</f>
        <v>4215</v>
      </c>
      <c r="O85" s="443">
        <f>K36</f>
        <v>4215</v>
      </c>
      <c r="P85" s="443">
        <f>L36</f>
        <v>4054</v>
      </c>
      <c r="Q85" s="443">
        <f>$O85-((Q$49-$O$49)*($O85-$Z85)/11)</f>
        <v>4222.818181818182</v>
      </c>
      <c r="R85" s="443">
        <f t="shared" ref="R85:Y86" si="48">$O85-((R$49-$O$49)*($O85-$Z85)/11)</f>
        <v>4226.727272727273</v>
      </c>
      <c r="S85" s="443">
        <f t="shared" si="48"/>
        <v>4230.636363636364</v>
      </c>
      <c r="T85" s="443">
        <f t="shared" si="48"/>
        <v>4234.545454545455</v>
      </c>
      <c r="U85" s="443">
        <f t="shared" si="48"/>
        <v>4238.454545454545</v>
      </c>
      <c r="V85" s="443">
        <f t="shared" si="48"/>
        <v>4242.363636363636</v>
      </c>
      <c r="W85" s="443">
        <f t="shared" si="48"/>
        <v>4246.272727272727</v>
      </c>
      <c r="X85" s="443">
        <f t="shared" si="48"/>
        <v>4250.181818181818</v>
      </c>
      <c r="Y85" s="443">
        <f t="shared" si="48"/>
        <v>4254.090909090909</v>
      </c>
      <c r="Z85" s="443">
        <f>N36</f>
        <v>4258</v>
      </c>
      <c r="AA85" s="55">
        <f>$Z85-(($Z85-$AJ85)/(10)*(AA$49-$Z$49))</f>
        <v>4245.1000000000004</v>
      </c>
      <c r="AB85" s="55">
        <f t="shared" ref="AB85:AI86" si="49">$Z85-(($Z85-$AJ85)/(10)*(AB$49-$Z$49))</f>
        <v>4232.2</v>
      </c>
      <c r="AC85" s="55">
        <f t="shared" si="49"/>
        <v>4219.3</v>
      </c>
      <c r="AD85" s="55">
        <f t="shared" si="49"/>
        <v>4206.3999999999996</v>
      </c>
      <c r="AE85" s="55">
        <f t="shared" si="49"/>
        <v>4193.5</v>
      </c>
      <c r="AF85" s="55">
        <f t="shared" si="49"/>
        <v>4180.6000000000004</v>
      </c>
      <c r="AG85" s="55">
        <f t="shared" si="49"/>
        <v>4167.7</v>
      </c>
      <c r="AH85" s="55">
        <f t="shared" si="49"/>
        <v>4154.8</v>
      </c>
      <c r="AI85" s="55">
        <f t="shared" si="49"/>
        <v>4141.8999999999996</v>
      </c>
      <c r="AJ85" s="443">
        <f>P36</f>
        <v>4129</v>
      </c>
      <c r="AK85" s="55">
        <f>$AJ85-(($AJ85-$AT85)/(10)*(AK$49-$AJ$49))</f>
        <v>4119.3</v>
      </c>
      <c r="AL85" s="55">
        <f t="shared" ref="AL85:AS86" si="50">$AJ85-(($AJ85-$AT85)/(10)*(AL$49-$AJ$49))</f>
        <v>4109.6000000000004</v>
      </c>
      <c r="AM85" s="55">
        <f t="shared" si="50"/>
        <v>4099.8999999999996</v>
      </c>
      <c r="AN85" s="55">
        <f t="shared" si="50"/>
        <v>4090.2</v>
      </c>
      <c r="AO85" s="55">
        <f t="shared" si="50"/>
        <v>4080.5</v>
      </c>
      <c r="AP85" s="55">
        <f t="shared" si="50"/>
        <v>4070.8</v>
      </c>
      <c r="AQ85" s="55">
        <f t="shared" si="50"/>
        <v>4061.1</v>
      </c>
      <c r="AR85" s="55">
        <f t="shared" si="50"/>
        <v>4051.4</v>
      </c>
      <c r="AS85" s="55">
        <f t="shared" si="50"/>
        <v>4041.7</v>
      </c>
      <c r="AT85" s="443">
        <f>R36</f>
        <v>4032</v>
      </c>
      <c r="BF85" s="440">
        <f>($U$49-$P$49)*(0.5*(P85-U85)+U85)+($Z$49-$U$49)*(0.5*(U85-Z85)+Z85)+($AE$49-$Z$49)*(0.5*(Z85-AE85)+AE85)+($AJ$49-$AE$49)*(0.5*(AE85-AJ85)+AJ85)+($AO$49-$AJ$49)*(0.5*(AJ85-AO85)+AO85)+($AT$49-$AO$49)*(0.5*(AO85-AT85)+AT85)</f>
        <v>124712.27272727272</v>
      </c>
    </row>
    <row r="86" spans="1:58" x14ac:dyDescent="0.15">
      <c r="A86" s="7" t="s">
        <v>41</v>
      </c>
      <c r="B86" s="441" t="s">
        <v>261</v>
      </c>
      <c r="C86" s="441" t="s">
        <v>22</v>
      </c>
      <c r="D86" s="441" t="s">
        <v>18</v>
      </c>
      <c r="E86" s="441" t="s">
        <v>24</v>
      </c>
      <c r="F86" s="442" t="s">
        <v>25</v>
      </c>
      <c r="G86" s="442"/>
      <c r="H86" s="442" t="s">
        <v>6</v>
      </c>
      <c r="I86" s="442"/>
      <c r="J86" s="53">
        <f>$O$86</f>
        <v>2507</v>
      </c>
      <c r="K86" s="53">
        <f t="shared" ref="K86:N86" si="51">$O$86</f>
        <v>2507</v>
      </c>
      <c r="L86" s="53">
        <f t="shared" si="51"/>
        <v>2507</v>
      </c>
      <c r="M86" s="53">
        <f t="shared" si="51"/>
        <v>2507</v>
      </c>
      <c r="N86" s="53">
        <f t="shared" si="51"/>
        <v>2507</v>
      </c>
      <c r="O86" s="440">
        <f>K37</f>
        <v>2507</v>
      </c>
      <c r="P86" s="440">
        <f>L37</f>
        <v>2349</v>
      </c>
      <c r="Q86" s="443">
        <f>$O86-((Q$49-$O$49)*($O86-$Z86)/11)</f>
        <v>2374.6363636363635</v>
      </c>
      <c r="R86" s="443">
        <f t="shared" si="48"/>
        <v>2308.4545454545455</v>
      </c>
      <c r="S86" s="443">
        <f t="shared" si="48"/>
        <v>2242.272727272727</v>
      </c>
      <c r="T86" s="443">
        <f t="shared" si="48"/>
        <v>2176.090909090909</v>
      </c>
      <c r="U86" s="443">
        <f t="shared" si="48"/>
        <v>2109.909090909091</v>
      </c>
      <c r="V86" s="443">
        <f t="shared" si="48"/>
        <v>2043.7272727272727</v>
      </c>
      <c r="W86" s="443">
        <f t="shared" si="48"/>
        <v>1977.5454545454545</v>
      </c>
      <c r="X86" s="443">
        <f t="shared" si="48"/>
        <v>1911.3636363636365</v>
      </c>
      <c r="Y86" s="443">
        <f t="shared" si="48"/>
        <v>1845.181818181818</v>
      </c>
      <c r="Z86" s="443">
        <f>N37</f>
        <v>1779</v>
      </c>
      <c r="AA86" s="55">
        <f>$Z86-(($Z86-$AJ86)/(10)*(AA$49-$Z$49))</f>
        <v>1687</v>
      </c>
      <c r="AB86" s="55">
        <f t="shared" si="49"/>
        <v>1595</v>
      </c>
      <c r="AC86" s="55">
        <f t="shared" si="49"/>
        <v>1503</v>
      </c>
      <c r="AD86" s="55">
        <f t="shared" si="49"/>
        <v>1411</v>
      </c>
      <c r="AE86" s="55">
        <f t="shared" si="49"/>
        <v>1319</v>
      </c>
      <c r="AF86" s="55">
        <f t="shared" si="49"/>
        <v>1227</v>
      </c>
      <c r="AG86" s="55">
        <f t="shared" si="49"/>
        <v>1135</v>
      </c>
      <c r="AH86" s="55">
        <f t="shared" si="49"/>
        <v>1043</v>
      </c>
      <c r="AI86" s="55">
        <f t="shared" si="49"/>
        <v>951</v>
      </c>
      <c r="AJ86" s="443">
        <f>P37</f>
        <v>859</v>
      </c>
      <c r="AK86" s="55">
        <f>$AJ86-(($AJ86-$AT86)/(10)*(AK$49-$AJ$49))</f>
        <v>795.1</v>
      </c>
      <c r="AL86" s="55">
        <f t="shared" si="50"/>
        <v>731.2</v>
      </c>
      <c r="AM86" s="55">
        <f t="shared" si="50"/>
        <v>667.3</v>
      </c>
      <c r="AN86" s="55">
        <f t="shared" si="50"/>
        <v>603.4</v>
      </c>
      <c r="AO86" s="55">
        <f t="shared" si="50"/>
        <v>539.5</v>
      </c>
      <c r="AP86" s="55">
        <f t="shared" si="50"/>
        <v>475.6</v>
      </c>
      <c r="AQ86" s="55">
        <f t="shared" si="50"/>
        <v>411.7</v>
      </c>
      <c r="AR86" s="55">
        <f t="shared" si="50"/>
        <v>347.8</v>
      </c>
      <c r="AS86" s="55">
        <f t="shared" si="50"/>
        <v>283.89999999999998</v>
      </c>
      <c r="AT86" s="443">
        <f>R37</f>
        <v>220</v>
      </c>
      <c r="AU86" s="440">
        <f>SUM(P86:AT86)</f>
        <v>40922.681818181816</v>
      </c>
      <c r="BF86" s="440">
        <f>($U$49-$P$49)*(0.5*(P86-U86)+U86)+($Z$49-$U$49)*(0.5*(U86-Z86)+Z86)+($AE$49-$Z$49)*(0.5*(Z86-AE86)+AE86)+($AJ$49-$AE$49)*(0.5*(AE86-AJ86)+AJ86)+($AO$49-$AJ$49)*(0.5*(AJ86-AO86)+AO86)+($AT$49-$AO$49)*(0.5*(AO86-AT86)+AT86)</f>
        <v>39454.545454545456</v>
      </c>
    </row>
    <row r="87" spans="1:58" x14ac:dyDescent="0.15">
      <c r="A87" s="7" t="s">
        <v>47</v>
      </c>
      <c r="B87" s="441" t="s">
        <v>261</v>
      </c>
      <c r="C87" s="441" t="s">
        <v>22</v>
      </c>
      <c r="D87" s="441" t="s">
        <v>18</v>
      </c>
      <c r="E87" s="441" t="s">
        <v>37</v>
      </c>
      <c r="F87" s="442" t="s">
        <v>30</v>
      </c>
      <c r="G87" s="442"/>
      <c r="H87" s="441" t="s">
        <v>6</v>
      </c>
      <c r="I87" s="441"/>
      <c r="J87" s="53">
        <f>$O$87</f>
        <v>4850.1064217312432</v>
      </c>
      <c r="K87" s="53">
        <f t="shared" ref="K87:N87" si="52">$O$87</f>
        <v>4850.1064217312432</v>
      </c>
      <c r="L87" s="53">
        <f t="shared" si="52"/>
        <v>4850.1064217312432</v>
      </c>
      <c r="M87" s="53">
        <f t="shared" si="52"/>
        <v>4850.1064217312432</v>
      </c>
      <c r="N87" s="53">
        <f t="shared" si="52"/>
        <v>4850.1064217312432</v>
      </c>
      <c r="O87" s="444">
        <f t="shared" ref="O87:AT87" si="53">(O60/O67)*O88</f>
        <v>4850.1064217312432</v>
      </c>
      <c r="P87" s="444">
        <f t="shared" si="53"/>
        <v>4632.6389297592459</v>
      </c>
      <c r="Q87" s="444">
        <f t="shared" si="53"/>
        <v>4905.2019603023291</v>
      </c>
      <c r="R87" s="444">
        <f t="shared" si="53"/>
        <v>4932.8538108572293</v>
      </c>
      <c r="S87" s="444">
        <f t="shared" si="53"/>
        <v>4960.5749741178779</v>
      </c>
      <c r="T87" s="444">
        <f t="shared" si="53"/>
        <v>4988.3653940544946</v>
      </c>
      <c r="U87" s="444">
        <f t="shared" si="53"/>
        <v>5016.2250146976776</v>
      </c>
      <c r="V87" s="444">
        <f t="shared" si="53"/>
        <v>5082.6805010999187</v>
      </c>
      <c r="W87" s="444">
        <f t="shared" si="53"/>
        <v>5149.6074743288827</v>
      </c>
      <c r="X87" s="444">
        <f t="shared" si="53"/>
        <v>5217.0080023493574</v>
      </c>
      <c r="Y87" s="444">
        <f t="shared" si="53"/>
        <v>5284.8841652374358</v>
      </c>
      <c r="Z87" s="444">
        <f t="shared" si="53"/>
        <v>5353.2380552693066</v>
      </c>
      <c r="AA87" s="444">
        <f t="shared" si="53"/>
        <v>5363.1384191783609</v>
      </c>
      <c r="AB87" s="444">
        <f t="shared" si="53"/>
        <v>5373.0036330141065</v>
      </c>
      <c r="AC87" s="444">
        <f t="shared" si="53"/>
        <v>5382.8342597344736</v>
      </c>
      <c r="AD87" s="444">
        <f t="shared" si="53"/>
        <v>5392.6308503395785</v>
      </c>
      <c r="AE87" s="444">
        <f t="shared" si="53"/>
        <v>5402.3939441875309</v>
      </c>
      <c r="AF87" s="444">
        <f t="shared" si="53"/>
        <v>5433.7580086138978</v>
      </c>
      <c r="AG87" s="444">
        <f t="shared" si="53"/>
        <v>5464.8138111641474</v>
      </c>
      <c r="AH87" s="444">
        <f t="shared" si="53"/>
        <v>5495.5678758102576</v>
      </c>
      <c r="AI87" s="444">
        <f t="shared" si="53"/>
        <v>5526.0265437183689</v>
      </c>
      <c r="AJ87" s="444">
        <f t="shared" si="53"/>
        <v>5556.1959796071396</v>
      </c>
      <c r="AK87" s="444">
        <f t="shared" si="53"/>
        <v>5595.0825042100996</v>
      </c>
      <c r="AL87" s="444">
        <f t="shared" si="53"/>
        <v>5633.9946759631493</v>
      </c>
      <c r="AM87" s="444">
        <f t="shared" si="53"/>
        <v>5672.9324134670642</v>
      </c>
      <c r="AN87" s="444">
        <f t="shared" si="53"/>
        <v>5711.895635666715</v>
      </c>
      <c r="AO87" s="444">
        <f t="shared" si="53"/>
        <v>5750.8842618492563</v>
      </c>
      <c r="AP87" s="444">
        <f t="shared" si="53"/>
        <v>5771.24864890972</v>
      </c>
      <c r="AQ87" s="444">
        <f t="shared" si="53"/>
        <v>5791.5246001016903</v>
      </c>
      <c r="AR87" s="444">
        <f t="shared" si="53"/>
        <v>5811.7134808872133</v>
      </c>
      <c r="AS87" s="444">
        <f t="shared" si="53"/>
        <v>5831.8166287617078</v>
      </c>
      <c r="AT87" s="444">
        <f t="shared" si="53"/>
        <v>5851.8353539663103</v>
      </c>
      <c r="AU87" s="440"/>
      <c r="BF87" s="440"/>
    </row>
    <row r="88" spans="1:58" x14ac:dyDescent="0.15">
      <c r="A88" s="7" t="s">
        <v>42</v>
      </c>
      <c r="B88" s="441" t="s">
        <v>261</v>
      </c>
      <c r="C88" s="441" t="s">
        <v>22</v>
      </c>
      <c r="D88" s="441" t="s">
        <v>18</v>
      </c>
      <c r="E88" s="441" t="s">
        <v>31</v>
      </c>
      <c r="F88" s="442" t="s">
        <v>196</v>
      </c>
      <c r="G88" s="442"/>
      <c r="H88" s="539" t="s">
        <v>606</v>
      </c>
      <c r="I88" s="441"/>
      <c r="J88" s="53">
        <f>$O$88</f>
        <v>1869</v>
      </c>
      <c r="K88" s="53">
        <f t="shared" ref="K88:N88" si="54">$O$88</f>
        <v>1869</v>
      </c>
      <c r="L88" s="53">
        <f t="shared" si="54"/>
        <v>1869</v>
      </c>
      <c r="M88" s="53">
        <f t="shared" si="54"/>
        <v>1869</v>
      </c>
      <c r="N88" s="53">
        <f t="shared" si="54"/>
        <v>1869</v>
      </c>
      <c r="O88" s="440">
        <f>K39</f>
        <v>1869</v>
      </c>
      <c r="P88" s="440">
        <f>L39</f>
        <v>1781</v>
      </c>
      <c r="Q88" s="443">
        <f>$O88-((Q$49-$O$49)*($O88-$Z88)/11)</f>
        <v>1881.3636363636363</v>
      </c>
      <c r="R88" s="443">
        <f t="shared" ref="R88:Y89" si="55">$O88-((R$49-$O$49)*($O88-$Z88)/11)</f>
        <v>1887.5454545454545</v>
      </c>
      <c r="S88" s="443">
        <f t="shared" si="55"/>
        <v>1893.7272727272727</v>
      </c>
      <c r="T88" s="443">
        <f t="shared" si="55"/>
        <v>1899.909090909091</v>
      </c>
      <c r="U88" s="443">
        <f t="shared" si="55"/>
        <v>1906.090909090909</v>
      </c>
      <c r="V88" s="443">
        <f t="shared" si="55"/>
        <v>1912.2727272727273</v>
      </c>
      <c r="W88" s="443">
        <f t="shared" si="55"/>
        <v>1918.4545454545455</v>
      </c>
      <c r="X88" s="443">
        <f t="shared" si="55"/>
        <v>1924.6363636363637</v>
      </c>
      <c r="Y88" s="443">
        <f t="shared" si="55"/>
        <v>1930.8181818181818</v>
      </c>
      <c r="Z88" s="443">
        <f>N39</f>
        <v>1937</v>
      </c>
      <c r="AA88" s="55">
        <f>$Z88-(($Z88-$AJ88)/(10)*(AA$49-$Z$49))</f>
        <v>1939.1</v>
      </c>
      <c r="AB88" s="55">
        <f t="shared" ref="AB88:AI89" si="56">$Z88-(($Z88-$AJ88)/(10)*(AB$49-$Z$49))</f>
        <v>1941.2</v>
      </c>
      <c r="AC88" s="55">
        <f t="shared" si="56"/>
        <v>1943.3</v>
      </c>
      <c r="AD88" s="55">
        <f t="shared" si="56"/>
        <v>1945.4</v>
      </c>
      <c r="AE88" s="55">
        <f t="shared" si="56"/>
        <v>1947.5</v>
      </c>
      <c r="AF88" s="55">
        <f t="shared" si="56"/>
        <v>1949.6</v>
      </c>
      <c r="AG88" s="55">
        <f t="shared" si="56"/>
        <v>1951.7</v>
      </c>
      <c r="AH88" s="55">
        <f t="shared" si="56"/>
        <v>1953.8</v>
      </c>
      <c r="AI88" s="55">
        <f t="shared" si="56"/>
        <v>1955.9</v>
      </c>
      <c r="AJ88" s="443">
        <f>P39</f>
        <v>1958</v>
      </c>
      <c r="AK88" s="55">
        <f>$AJ88-(($AJ88-$AT88)/(10)*(AK$49-$AJ$49))</f>
        <v>1960.9</v>
      </c>
      <c r="AL88" s="55">
        <f t="shared" ref="AL88:AS89" si="57">$AJ88-(($AJ88-$AT88)/(10)*(AL$49-$AJ$49))</f>
        <v>1963.8</v>
      </c>
      <c r="AM88" s="55">
        <f t="shared" si="57"/>
        <v>1966.7</v>
      </c>
      <c r="AN88" s="55">
        <f t="shared" si="57"/>
        <v>1969.6</v>
      </c>
      <c r="AO88" s="55">
        <f t="shared" si="57"/>
        <v>1972.5</v>
      </c>
      <c r="AP88" s="55">
        <f t="shared" si="57"/>
        <v>1975.4</v>
      </c>
      <c r="AQ88" s="55">
        <f t="shared" si="57"/>
        <v>1978.3</v>
      </c>
      <c r="AR88" s="55">
        <f t="shared" si="57"/>
        <v>1981.2</v>
      </c>
      <c r="AS88" s="55">
        <f t="shared" si="57"/>
        <v>1984.1</v>
      </c>
      <c r="AT88" s="443">
        <f>R39</f>
        <v>1987</v>
      </c>
      <c r="AU88" s="440"/>
      <c r="BF88" s="440">
        <f>($U$49-$P$49)*(0.5*(P88-U88)+U88)+($Z$49-$U$49)*(0.5*(U88-Z88)+Z88)+($AE$49-$Z$49)*(0.5*(Z88-AE88)+AE88)+($AJ$49-$AE$49)*(0.5*(AE88-AJ88)+AJ88)+($AO$49-$AJ$49)*(0.5*(AJ88-AO88)+AO88)+($AT$49-$AO$49)*(0.5*(AO88-AT88)+AT88)</f>
        <v>58025.454545454544</v>
      </c>
    </row>
    <row r="89" spans="1:58" x14ac:dyDescent="0.15">
      <c r="A89" s="7" t="s">
        <v>41</v>
      </c>
      <c r="B89" s="441" t="s">
        <v>261</v>
      </c>
      <c r="C89" s="441" t="s">
        <v>22</v>
      </c>
      <c r="D89" s="441" t="s">
        <v>18</v>
      </c>
      <c r="E89" s="441" t="s">
        <v>24</v>
      </c>
      <c r="F89" s="442" t="s">
        <v>25</v>
      </c>
      <c r="G89" s="442"/>
      <c r="H89" s="441" t="s">
        <v>49</v>
      </c>
      <c r="I89" s="441"/>
      <c r="J89" s="53">
        <f>J56</f>
        <v>918.89557394509734</v>
      </c>
      <c r="K89" s="55">
        <f t="shared" ref="K89:K93" si="58">$J89-(($J89-$O89)/(5)*(K$49-$J$49))</f>
        <v>930.51645915607787</v>
      </c>
      <c r="L89" s="55">
        <f t="shared" ref="L89:N90" si="59">$J89-(($J89-$O89)/(5)*(L$49-$J$49))</f>
        <v>942.1373443670584</v>
      </c>
      <c r="M89" s="55">
        <f t="shared" si="59"/>
        <v>953.75822957803894</v>
      </c>
      <c r="N89" s="55">
        <f t="shared" si="59"/>
        <v>965.37911478901947</v>
      </c>
      <c r="O89" s="440">
        <f>K40</f>
        <v>977</v>
      </c>
      <c r="P89" s="440">
        <f>L40</f>
        <v>892</v>
      </c>
      <c r="Q89" s="443">
        <f>$O89-((Q$49-$O$49)*($O89-$Z89)/11)</f>
        <v>877.90909090909088</v>
      </c>
      <c r="R89" s="443">
        <f t="shared" si="55"/>
        <v>828.36363636363637</v>
      </c>
      <c r="S89" s="443">
        <f t="shared" si="55"/>
        <v>778.81818181818176</v>
      </c>
      <c r="T89" s="443">
        <f t="shared" si="55"/>
        <v>729.27272727272725</v>
      </c>
      <c r="U89" s="443">
        <f t="shared" si="55"/>
        <v>679.72727272727275</v>
      </c>
      <c r="V89" s="443">
        <f t="shared" si="55"/>
        <v>630.18181818181824</v>
      </c>
      <c r="W89" s="443">
        <f t="shared" si="55"/>
        <v>580.63636363636363</v>
      </c>
      <c r="X89" s="443">
        <f t="shared" si="55"/>
        <v>531.09090909090901</v>
      </c>
      <c r="Y89" s="443">
        <f t="shared" si="55"/>
        <v>481.54545454545456</v>
      </c>
      <c r="Z89" s="443">
        <f>N40</f>
        <v>432</v>
      </c>
      <c r="AA89" s="55">
        <f>$Z89-(($Z89-$AJ89)/(10)*(AA$49-$Z$49))</f>
        <v>403.2</v>
      </c>
      <c r="AB89" s="55">
        <f t="shared" si="56"/>
        <v>374.4</v>
      </c>
      <c r="AC89" s="55">
        <f t="shared" si="56"/>
        <v>345.6</v>
      </c>
      <c r="AD89" s="55">
        <f t="shared" si="56"/>
        <v>316.8</v>
      </c>
      <c r="AE89" s="55">
        <f t="shared" si="56"/>
        <v>288</v>
      </c>
      <c r="AF89" s="55">
        <f t="shared" si="56"/>
        <v>259.2</v>
      </c>
      <c r="AG89" s="55">
        <f t="shared" si="56"/>
        <v>230.4</v>
      </c>
      <c r="AH89" s="55">
        <f t="shared" si="56"/>
        <v>201.6</v>
      </c>
      <c r="AI89" s="55">
        <f t="shared" si="56"/>
        <v>172.8</v>
      </c>
      <c r="AJ89" s="443">
        <f>P40</f>
        <v>144</v>
      </c>
      <c r="AK89" s="55">
        <f>$AJ89-(($AJ89-$AT89)/(10)*(AK$49-$AJ$49))</f>
        <v>131</v>
      </c>
      <c r="AL89" s="55">
        <f t="shared" si="57"/>
        <v>118</v>
      </c>
      <c r="AM89" s="55">
        <f t="shared" si="57"/>
        <v>105</v>
      </c>
      <c r="AN89" s="55">
        <f t="shared" si="57"/>
        <v>92</v>
      </c>
      <c r="AO89" s="55">
        <f t="shared" si="57"/>
        <v>79</v>
      </c>
      <c r="AP89" s="55">
        <f t="shared" si="57"/>
        <v>66</v>
      </c>
      <c r="AQ89" s="55">
        <f t="shared" si="57"/>
        <v>53</v>
      </c>
      <c r="AR89" s="55">
        <f t="shared" si="57"/>
        <v>40</v>
      </c>
      <c r="AS89" s="55">
        <f t="shared" si="57"/>
        <v>27</v>
      </c>
      <c r="AT89" s="443">
        <f>R40</f>
        <v>14</v>
      </c>
      <c r="BF89" s="440">
        <f>($U$49-$P$49)*(0.5*(P89-U89)+U89)+($Z$49-$U$49)*(0.5*(U89-Z89)+Z89)+($AE$49-$Z$49)*(0.5*(Z89-AE89)+AE89)+($AJ$49-$AE$49)*(0.5*(AE89-AJ89)+AJ89)+($AO$49-$AJ$49)*(0.5*(AJ89-AO89)+AO89)+($AT$49-$AO$49)*(0.5*(AO89-AT89)+AT89)</f>
        <v>10378.636363636364</v>
      </c>
    </row>
    <row r="90" spans="1:58" x14ac:dyDescent="0.15">
      <c r="A90" s="7" t="s">
        <v>47</v>
      </c>
      <c r="B90" s="441" t="s">
        <v>261</v>
      </c>
      <c r="C90" s="441" t="s">
        <v>22</v>
      </c>
      <c r="D90" s="441" t="s">
        <v>18</v>
      </c>
      <c r="E90" s="441" t="s">
        <v>37</v>
      </c>
      <c r="F90" s="442" t="s">
        <v>30</v>
      </c>
      <c r="G90" s="442"/>
      <c r="H90" s="441" t="s">
        <v>49</v>
      </c>
      <c r="I90" s="441"/>
      <c r="J90" s="53">
        <f>J65</f>
        <v>17800.654137950361</v>
      </c>
      <c r="K90" s="55">
        <f t="shared" si="58"/>
        <v>18100.68225768991</v>
      </c>
      <c r="L90" s="55">
        <f t="shared" si="59"/>
        <v>18400.710377429463</v>
      </c>
      <c r="M90" s="55">
        <f t="shared" si="59"/>
        <v>18700.738497169012</v>
      </c>
      <c r="N90" s="55">
        <f t="shared" si="59"/>
        <v>19000.766616908564</v>
      </c>
      <c r="O90" s="452">
        <f>(O65/(O65+O81))*O95</f>
        <v>19300.794736648113</v>
      </c>
      <c r="P90" s="452">
        <f t="shared" ref="P90:AT90" si="60">(P65/(P65+P81))*P95</f>
        <v>18725.34344171048</v>
      </c>
      <c r="Q90" s="452">
        <f t="shared" si="60"/>
        <v>19206.998117105726</v>
      </c>
      <c r="R90" s="452">
        <f t="shared" si="60"/>
        <v>19164.884328128217</v>
      </c>
      <c r="S90" s="452">
        <f t="shared" si="60"/>
        <v>19125.752698858039</v>
      </c>
      <c r="T90" s="452">
        <f t="shared" si="60"/>
        <v>19089.460043585288</v>
      </c>
      <c r="U90" s="452">
        <f t="shared" si="60"/>
        <v>19055.872198779856</v>
      </c>
      <c r="V90" s="452">
        <f t="shared" si="60"/>
        <v>18917.222358874034</v>
      </c>
      <c r="W90" s="452">
        <f t="shared" si="60"/>
        <v>18784.306478901221</v>
      </c>
      <c r="X90" s="452">
        <f t="shared" si="60"/>
        <v>18656.833126653877</v>
      </c>
      <c r="Y90" s="452">
        <f t="shared" si="60"/>
        <v>18534.530290542276</v>
      </c>
      <c r="Z90" s="452">
        <f t="shared" si="60"/>
        <v>18417.143788401074</v>
      </c>
      <c r="AA90" s="452">
        <f t="shared" si="60"/>
        <v>18493.827317069859</v>
      </c>
      <c r="AB90" s="452">
        <f t="shared" si="60"/>
        <v>18571.753687846271</v>
      </c>
      <c r="AC90" s="452">
        <f t="shared" si="60"/>
        <v>18650.861949590719</v>
      </c>
      <c r="AD90" s="452">
        <f t="shared" si="60"/>
        <v>18731.095072592325</v>
      </c>
      <c r="AE90" s="452">
        <f t="shared" si="60"/>
        <v>18812.399638193641</v>
      </c>
      <c r="AF90" s="452">
        <f t="shared" si="60"/>
        <v>18888.919968102269</v>
      </c>
      <c r="AG90" s="452">
        <f t="shared" si="60"/>
        <v>18965.91001671696</v>
      </c>
      <c r="AH90" s="452">
        <f t="shared" si="60"/>
        <v>19043.350797694446</v>
      </c>
      <c r="AI90" s="452">
        <f t="shared" si="60"/>
        <v>19121.224334342074</v>
      </c>
      <c r="AJ90" s="452">
        <f t="shared" si="60"/>
        <v>19199.51359338469</v>
      </c>
      <c r="AK90" s="452">
        <f t="shared" si="60"/>
        <v>19279.673567410111</v>
      </c>
      <c r="AL90" s="452">
        <f t="shared" si="60"/>
        <v>19359.669065435253</v>
      </c>
      <c r="AM90" s="452">
        <f t="shared" si="60"/>
        <v>19439.505425393985</v>
      </c>
      <c r="AN90" s="452">
        <f t="shared" si="60"/>
        <v>19519.187756707877</v>
      </c>
      <c r="AO90" s="452">
        <f t="shared" si="60"/>
        <v>19598.720952384734</v>
      </c>
      <c r="AP90" s="452">
        <f t="shared" si="60"/>
        <v>19679.828078368751</v>
      </c>
      <c r="AQ90" s="452">
        <f t="shared" si="60"/>
        <v>19760.323962404535</v>
      </c>
      <c r="AR90" s="452">
        <f t="shared" si="60"/>
        <v>19840.224343631511</v>
      </c>
      <c r="AS90" s="452">
        <f t="shared" si="60"/>
        <v>19919.54442542226</v>
      </c>
      <c r="AT90" s="452">
        <f t="shared" si="60"/>
        <v>19998.298897987283</v>
      </c>
      <c r="BF90" s="440"/>
    </row>
    <row r="91" spans="1:58" x14ac:dyDescent="0.15">
      <c r="A91" s="7" t="s">
        <v>42</v>
      </c>
      <c r="B91" s="441" t="s">
        <v>261</v>
      </c>
      <c r="C91" s="441" t="s">
        <v>22</v>
      </c>
      <c r="D91" s="441" t="s">
        <v>18</v>
      </c>
      <c r="E91" s="441" t="s">
        <v>31</v>
      </c>
      <c r="F91" s="442" t="s">
        <v>195</v>
      </c>
      <c r="G91" s="442"/>
      <c r="H91" s="441" t="s">
        <v>49</v>
      </c>
      <c r="I91" s="441"/>
      <c r="J91" s="53">
        <f>J72</f>
        <v>40143</v>
      </c>
      <c r="K91" s="55">
        <f t="shared" si="58"/>
        <v>42048.4</v>
      </c>
      <c r="L91" s="55">
        <f t="shared" ref="L91:N93" si="61">$J91-(($J91-$O91)/(5)*(L$49-$J$49))</f>
        <v>43953.8</v>
      </c>
      <c r="M91" s="55">
        <f t="shared" si="61"/>
        <v>45859.199999999997</v>
      </c>
      <c r="N91" s="55">
        <f t="shared" si="61"/>
        <v>47764.6</v>
      </c>
      <c r="O91" s="440">
        <f>K42</f>
        <v>49670</v>
      </c>
      <c r="P91" s="440">
        <f>L42</f>
        <v>49825</v>
      </c>
      <c r="Q91" s="443">
        <f>$O91-((Q$49-$O$49)*($O91-$Z91)/11)</f>
        <v>51342.181818181816</v>
      </c>
      <c r="R91" s="443">
        <f t="shared" ref="R91:Y92" si="62">$O91-((R$49-$O$49)*($O91-$Z91)/11)</f>
        <v>52178.272727272728</v>
      </c>
      <c r="S91" s="443">
        <f t="shared" si="62"/>
        <v>53014.36363636364</v>
      </c>
      <c r="T91" s="443">
        <f t="shared" si="62"/>
        <v>53850.454545454544</v>
      </c>
      <c r="U91" s="443">
        <f t="shared" si="62"/>
        <v>54686.545454545456</v>
      </c>
      <c r="V91" s="443">
        <f t="shared" si="62"/>
        <v>55522.636363636368</v>
      </c>
      <c r="W91" s="443">
        <f t="shared" si="62"/>
        <v>56358.727272727272</v>
      </c>
      <c r="X91" s="443">
        <f t="shared" si="62"/>
        <v>57194.818181818184</v>
      </c>
      <c r="Y91" s="443">
        <f t="shared" si="62"/>
        <v>58030.909090909088</v>
      </c>
      <c r="Z91" s="443">
        <f>N42</f>
        <v>58867</v>
      </c>
      <c r="AA91" s="55">
        <f>$Z91-(($Z91-$AJ91)/(10)*(AA$49-$Z$49))</f>
        <v>59837.9</v>
      </c>
      <c r="AB91" s="55">
        <f t="shared" ref="AB91:AI91" si="63">$Z91-(($Z91-$AJ91)/(10)*(AB$49-$Z$49))</f>
        <v>60808.800000000003</v>
      </c>
      <c r="AC91" s="55">
        <f t="shared" si="63"/>
        <v>61779.7</v>
      </c>
      <c r="AD91" s="55">
        <f t="shared" si="63"/>
        <v>62750.6</v>
      </c>
      <c r="AE91" s="55">
        <f t="shared" si="63"/>
        <v>63721.5</v>
      </c>
      <c r="AF91" s="55">
        <f t="shared" si="63"/>
        <v>64692.4</v>
      </c>
      <c r="AG91" s="55">
        <f t="shared" si="63"/>
        <v>65663.3</v>
      </c>
      <c r="AH91" s="55">
        <f t="shared" si="63"/>
        <v>66634.2</v>
      </c>
      <c r="AI91" s="55">
        <f t="shared" si="63"/>
        <v>67605.100000000006</v>
      </c>
      <c r="AJ91" s="443">
        <f>P42</f>
        <v>68576</v>
      </c>
      <c r="AK91" s="55">
        <f>$AJ91-(($AJ91-$AT91)/(10)*(AK$49-$AJ$49))</f>
        <v>69534.100000000006</v>
      </c>
      <c r="AL91" s="55">
        <f t="shared" ref="AL91:AS91" si="64">$AJ91-(($AJ91-$AT91)/(10)*(AL$49-$AJ$49))</f>
        <v>70492.2</v>
      </c>
      <c r="AM91" s="55">
        <f t="shared" si="64"/>
        <v>71450.3</v>
      </c>
      <c r="AN91" s="55">
        <f t="shared" si="64"/>
        <v>72408.399999999994</v>
      </c>
      <c r="AO91" s="55">
        <f t="shared" si="64"/>
        <v>73366.5</v>
      </c>
      <c r="AP91" s="55">
        <f t="shared" si="64"/>
        <v>74324.600000000006</v>
      </c>
      <c r="AQ91" s="55">
        <f t="shared" si="64"/>
        <v>75282.7</v>
      </c>
      <c r="AR91" s="55">
        <f t="shared" si="64"/>
        <v>76240.800000000003</v>
      </c>
      <c r="AS91" s="55">
        <f t="shared" si="64"/>
        <v>77198.899999999994</v>
      </c>
      <c r="AT91" s="443">
        <f>R42</f>
        <v>78157</v>
      </c>
      <c r="BF91" s="440"/>
    </row>
    <row r="92" spans="1:58" x14ac:dyDescent="0.15">
      <c r="A92" s="7" t="s">
        <v>41</v>
      </c>
      <c r="B92" s="441" t="s">
        <v>261</v>
      </c>
      <c r="C92" s="441" t="s">
        <v>22</v>
      </c>
      <c r="D92" s="441" t="s">
        <v>18</v>
      </c>
      <c r="E92" s="441" t="s">
        <v>24</v>
      </c>
      <c r="F92" s="442" t="s">
        <v>25</v>
      </c>
      <c r="G92" s="442"/>
      <c r="H92" s="441" t="s">
        <v>410</v>
      </c>
      <c r="I92" s="441"/>
      <c r="J92" s="53">
        <f>J80</f>
        <v>1971.7196040309964</v>
      </c>
      <c r="K92" s="55">
        <f t="shared" si="58"/>
        <v>1983.3756832247971</v>
      </c>
      <c r="L92" s="55">
        <f t="shared" si="61"/>
        <v>1995.0317624185977</v>
      </c>
      <c r="M92" s="55">
        <f t="shared" si="61"/>
        <v>2006.6878416123986</v>
      </c>
      <c r="N92" s="55">
        <f t="shared" si="61"/>
        <v>2018.3439208061993</v>
      </c>
      <c r="O92" s="440">
        <f>K43</f>
        <v>2030</v>
      </c>
      <c r="P92" s="440">
        <f>L43</f>
        <v>1968</v>
      </c>
      <c r="Q92" s="443">
        <f>$O92-((Q$49-$O$49)*($O92-$Z92)/11)</f>
        <v>1911.2727272727273</v>
      </c>
      <c r="R92" s="443">
        <f t="shared" si="62"/>
        <v>1851.909090909091</v>
      </c>
      <c r="S92" s="443">
        <f t="shared" si="62"/>
        <v>1792.5454545454545</v>
      </c>
      <c r="T92" s="443">
        <f t="shared" si="62"/>
        <v>1733.1818181818182</v>
      </c>
      <c r="U92" s="443">
        <f t="shared" si="62"/>
        <v>1673.8181818181818</v>
      </c>
      <c r="V92" s="443">
        <f t="shared" si="62"/>
        <v>1614.4545454545455</v>
      </c>
      <c r="W92" s="443">
        <f t="shared" si="62"/>
        <v>1555.090909090909</v>
      </c>
      <c r="X92" s="443">
        <f t="shared" si="62"/>
        <v>1495.7272727272727</v>
      </c>
      <c r="Y92" s="443">
        <f t="shared" si="62"/>
        <v>1436.3636363636365</v>
      </c>
      <c r="Z92" s="443">
        <f>N43</f>
        <v>1377</v>
      </c>
      <c r="AA92" s="55">
        <f>$Z92-(($Z92-$AJ92)/(10)*(AA$49-$Z$49))</f>
        <v>1293.5</v>
      </c>
      <c r="AB92" s="55">
        <f t="shared" ref="AB92:AI92" si="65">$Z92-(($Z92-$AJ92)/(10)*(AB$49-$Z$49))</f>
        <v>1210</v>
      </c>
      <c r="AC92" s="55">
        <f t="shared" si="65"/>
        <v>1126.5</v>
      </c>
      <c r="AD92" s="55">
        <f t="shared" si="65"/>
        <v>1043</v>
      </c>
      <c r="AE92" s="55">
        <f t="shared" si="65"/>
        <v>959.5</v>
      </c>
      <c r="AF92" s="55">
        <f t="shared" si="65"/>
        <v>876</v>
      </c>
      <c r="AG92" s="55">
        <f t="shared" si="65"/>
        <v>792.5</v>
      </c>
      <c r="AH92" s="55">
        <f t="shared" si="65"/>
        <v>709</v>
      </c>
      <c r="AI92" s="55">
        <f t="shared" si="65"/>
        <v>625.5</v>
      </c>
      <c r="AJ92" s="443">
        <f>P43</f>
        <v>542</v>
      </c>
      <c r="AK92" s="55">
        <f>$AJ92-(($AJ92-$AT92)/(10)*(AK$49-$AJ$49))</f>
        <v>498.6</v>
      </c>
      <c r="AL92" s="55">
        <f t="shared" ref="AL92:AS92" si="66">$AJ92-(($AJ92-$AT92)/(10)*(AL$49-$AJ$49))</f>
        <v>455.2</v>
      </c>
      <c r="AM92" s="55">
        <f t="shared" si="66"/>
        <v>411.8</v>
      </c>
      <c r="AN92" s="55">
        <f t="shared" si="66"/>
        <v>368.4</v>
      </c>
      <c r="AO92" s="55">
        <f t="shared" si="66"/>
        <v>325</v>
      </c>
      <c r="AP92" s="55">
        <f t="shared" si="66"/>
        <v>281.60000000000002</v>
      </c>
      <c r="AQ92" s="55">
        <f t="shared" si="66"/>
        <v>238.2</v>
      </c>
      <c r="AR92" s="55">
        <f t="shared" si="66"/>
        <v>194.8</v>
      </c>
      <c r="AS92" s="55">
        <f t="shared" si="66"/>
        <v>151.40000000000003</v>
      </c>
      <c r="AT92" s="443">
        <f>R43</f>
        <v>108</v>
      </c>
      <c r="BF92" s="440">
        <f>($U$49-$P$49)*(0.5*(P92-U92)+U92)+($Z$49-$U$49)*(0.5*(U92-Z92)+Z92)+($AE$49-$Z$49)*(0.5*(Z92-AE92)+AE92)+($AJ$49-$AE$49)*(0.5*(AE92-AJ92)+AJ92)+($AO$49-$AJ$49)*(0.5*(AJ92-AO92)+AO92)+($AT$49-$AO$49)*(0.5*(AO92-AT92)+AT92)</f>
        <v>29576.590909090912</v>
      </c>
    </row>
    <row r="93" spans="1:58" x14ac:dyDescent="0.15">
      <c r="A93" s="7" t="s">
        <v>47</v>
      </c>
      <c r="B93" s="441" t="s">
        <v>261</v>
      </c>
      <c r="C93" s="441" t="s">
        <v>22</v>
      </c>
      <c r="D93" s="441" t="s">
        <v>18</v>
      </c>
      <c r="E93" s="441" t="s">
        <v>37</v>
      </c>
      <c r="F93" s="442" t="s">
        <v>30</v>
      </c>
      <c r="G93" s="442"/>
      <c r="H93" s="441" t="s">
        <v>410</v>
      </c>
      <c r="I93" s="441"/>
      <c r="J93" s="53">
        <f>J81</f>
        <v>20426.919965419918</v>
      </c>
      <c r="K93" s="55">
        <f t="shared" si="58"/>
        <v>21081.377025006313</v>
      </c>
      <c r="L93" s="55">
        <f t="shared" si="61"/>
        <v>21735.834084592705</v>
      </c>
      <c r="M93" s="55">
        <f t="shared" si="61"/>
        <v>22390.2911441791</v>
      </c>
      <c r="N93" s="55">
        <f t="shared" si="61"/>
        <v>23044.748203765492</v>
      </c>
      <c r="O93" s="452">
        <f>(O81/(O81+O65))*O95</f>
        <v>23699.205263351887</v>
      </c>
      <c r="P93" s="452">
        <f t="shared" ref="P93:AT93" si="67">(P81/(P81+P65))*P95</f>
        <v>23274.656558289513</v>
      </c>
      <c r="Q93" s="452">
        <f t="shared" si="67"/>
        <v>24156.638246530638</v>
      </c>
      <c r="R93" s="452">
        <f t="shared" si="67"/>
        <v>24380.570217326323</v>
      </c>
      <c r="S93" s="452">
        <f t="shared" si="67"/>
        <v>24601.520028414692</v>
      </c>
      <c r="T93" s="452">
        <f t="shared" si="67"/>
        <v>24819.63086550562</v>
      </c>
      <c r="U93" s="452">
        <f t="shared" si="67"/>
        <v>25035.036892129236</v>
      </c>
      <c r="V93" s="452">
        <f t="shared" si="67"/>
        <v>25355.504913853234</v>
      </c>
      <c r="W93" s="452">
        <f t="shared" si="67"/>
        <v>25670.238975644239</v>
      </c>
      <c r="X93" s="452">
        <f t="shared" si="67"/>
        <v>25979.530509709759</v>
      </c>
      <c r="Y93" s="452">
        <f t="shared" si="67"/>
        <v>26283.651527639537</v>
      </c>
      <c r="Z93" s="452">
        <f t="shared" si="67"/>
        <v>26582.85621159893</v>
      </c>
      <c r="AA93" s="452">
        <f t="shared" si="67"/>
        <v>27106.172682930144</v>
      </c>
      <c r="AB93" s="452">
        <f t="shared" si="67"/>
        <v>27628.246312153729</v>
      </c>
      <c r="AC93" s="452">
        <f t="shared" si="67"/>
        <v>28149.138050409281</v>
      </c>
      <c r="AD93" s="452">
        <f t="shared" si="67"/>
        <v>28668.904927407675</v>
      </c>
      <c r="AE93" s="452">
        <f t="shared" si="67"/>
        <v>29187.600361806359</v>
      </c>
      <c r="AF93" s="452">
        <f t="shared" si="67"/>
        <v>29711.080031897727</v>
      </c>
      <c r="AG93" s="452">
        <f t="shared" si="67"/>
        <v>30234.08998328304</v>
      </c>
      <c r="AH93" s="452">
        <f t="shared" si="67"/>
        <v>30756.649202305554</v>
      </c>
      <c r="AI93" s="452">
        <f t="shared" si="67"/>
        <v>31278.775665657926</v>
      </c>
      <c r="AJ93" s="452">
        <f t="shared" si="67"/>
        <v>31800.486406615306</v>
      </c>
      <c r="AK93" s="452">
        <f t="shared" si="67"/>
        <v>32320.326432589885</v>
      </c>
      <c r="AL93" s="452">
        <f t="shared" si="67"/>
        <v>32840.33093456475</v>
      </c>
      <c r="AM93" s="452">
        <f t="shared" si="67"/>
        <v>33360.494574606018</v>
      </c>
      <c r="AN93" s="452">
        <f t="shared" si="67"/>
        <v>33880.812243292123</v>
      </c>
      <c r="AO93" s="452">
        <f t="shared" si="67"/>
        <v>34401.279047615266</v>
      </c>
      <c r="AP93" s="452">
        <f t="shared" si="67"/>
        <v>34920.171921631249</v>
      </c>
      <c r="AQ93" s="452">
        <f t="shared" si="67"/>
        <v>35439.676037595462</v>
      </c>
      <c r="AR93" s="452">
        <f t="shared" si="67"/>
        <v>35959.775656368482</v>
      </c>
      <c r="AS93" s="452">
        <f t="shared" si="67"/>
        <v>36480.45557457774</v>
      </c>
      <c r="AT93" s="452">
        <f t="shared" si="67"/>
        <v>37001.701102012717</v>
      </c>
      <c r="BF93" s="440"/>
    </row>
    <row r="94" spans="1:58" x14ac:dyDescent="0.15">
      <c r="A94" s="7" t="s">
        <v>42</v>
      </c>
      <c r="B94" s="441" t="s">
        <v>261</v>
      </c>
      <c r="C94" s="441" t="s">
        <v>22</v>
      </c>
      <c r="D94" s="441" t="s">
        <v>18</v>
      </c>
      <c r="E94" s="441" t="s">
        <v>31</v>
      </c>
      <c r="F94" s="442" t="s">
        <v>195</v>
      </c>
      <c r="G94" s="442"/>
      <c r="H94" s="441" t="s">
        <v>410</v>
      </c>
      <c r="I94" s="441">
        <f>I82</f>
        <v>167854</v>
      </c>
      <c r="J94" s="55">
        <f>$I94-(($I94-$O94)/(9)*(J$49-$I$49))</f>
        <v>177724.22222222222</v>
      </c>
      <c r="K94" s="55">
        <f>$I94-(($I94-$O94)/(9)*(K$49-$I$49))</f>
        <v>180191.77777777778</v>
      </c>
      <c r="L94" s="55">
        <f t="shared" ref="L94:N94" si="68">$I94-(($I94-$O94)/(9)*(L$49-$I$49))</f>
        <v>182659.33333333334</v>
      </c>
      <c r="M94" s="55">
        <f t="shared" si="68"/>
        <v>185126.88888888888</v>
      </c>
      <c r="N94" s="55">
        <f t="shared" si="68"/>
        <v>187594.44444444444</v>
      </c>
      <c r="O94" s="440">
        <f>K45</f>
        <v>190062</v>
      </c>
      <c r="P94" s="440">
        <f>L45</f>
        <v>192558</v>
      </c>
      <c r="Q94" s="443">
        <f>$O94-((Q$49-$O$49)*($O94-$Z94)/11)</f>
        <v>198368</v>
      </c>
      <c r="R94" s="443">
        <f t="shared" ref="R94:Y95" si="69">$O94-((R$49-$O$49)*($O94-$Z94)/11)</f>
        <v>202521</v>
      </c>
      <c r="S94" s="443">
        <f t="shared" si="69"/>
        <v>206674</v>
      </c>
      <c r="T94" s="443">
        <f t="shared" si="69"/>
        <v>210827</v>
      </c>
      <c r="U94" s="443">
        <f t="shared" si="69"/>
        <v>214980</v>
      </c>
      <c r="V94" s="443">
        <f t="shared" si="69"/>
        <v>219133</v>
      </c>
      <c r="W94" s="443">
        <f t="shared" si="69"/>
        <v>223286</v>
      </c>
      <c r="X94" s="443">
        <f t="shared" si="69"/>
        <v>227439</v>
      </c>
      <c r="Y94" s="443">
        <f t="shared" si="69"/>
        <v>231592</v>
      </c>
      <c r="Z94" s="443">
        <f>N45</f>
        <v>235745</v>
      </c>
      <c r="AA94" s="55">
        <f>$Z94-(($Z94-$AJ94)/(10)*(AA$49-$Z$49))</f>
        <v>241240.1</v>
      </c>
      <c r="AB94" s="55">
        <f t="shared" ref="AB94:AI95" si="70">$Z94-(($Z94-$AJ94)/(10)*(AB$49-$Z$49))</f>
        <v>246735.2</v>
      </c>
      <c r="AC94" s="55">
        <f t="shared" si="70"/>
        <v>252230.3</v>
      </c>
      <c r="AD94" s="55">
        <f t="shared" si="70"/>
        <v>257725.4</v>
      </c>
      <c r="AE94" s="55">
        <f t="shared" si="70"/>
        <v>263220.5</v>
      </c>
      <c r="AF94" s="55">
        <f t="shared" si="70"/>
        <v>268715.59999999998</v>
      </c>
      <c r="AG94" s="55">
        <f t="shared" si="70"/>
        <v>274210.7</v>
      </c>
      <c r="AH94" s="55">
        <f t="shared" si="70"/>
        <v>279705.8</v>
      </c>
      <c r="AI94" s="55">
        <f t="shared" si="70"/>
        <v>285200.90000000002</v>
      </c>
      <c r="AJ94" s="443">
        <f>P45</f>
        <v>290696</v>
      </c>
      <c r="AK94" s="55">
        <f>$AJ94-(($AJ94-$AT94)/(10)*(AK$49-$AJ$49))</f>
        <v>296144.7</v>
      </c>
      <c r="AL94" s="55">
        <f t="shared" ref="AL94:AS95" si="71">$AJ94-(($AJ94-$AT94)/(10)*(AL$49-$AJ$49))</f>
        <v>301593.40000000002</v>
      </c>
      <c r="AM94" s="55">
        <f t="shared" si="71"/>
        <v>307042.09999999998</v>
      </c>
      <c r="AN94" s="55">
        <f t="shared" si="71"/>
        <v>312490.8</v>
      </c>
      <c r="AO94" s="55">
        <f t="shared" si="71"/>
        <v>317939.5</v>
      </c>
      <c r="AP94" s="55">
        <f t="shared" si="71"/>
        <v>323388.2</v>
      </c>
      <c r="AQ94" s="55">
        <f t="shared" si="71"/>
        <v>328836.90000000002</v>
      </c>
      <c r="AR94" s="55">
        <f t="shared" si="71"/>
        <v>334285.59999999998</v>
      </c>
      <c r="AS94" s="55">
        <f t="shared" si="71"/>
        <v>339734.3</v>
      </c>
      <c r="AT94" s="443">
        <f>R45</f>
        <v>345183</v>
      </c>
    </row>
    <row r="95" spans="1:58" x14ac:dyDescent="0.15">
      <c r="A95" s="7" t="s">
        <v>415</v>
      </c>
      <c r="E95" s="7" t="s">
        <v>37</v>
      </c>
      <c r="F95" s="7" t="s">
        <v>30</v>
      </c>
      <c r="H95" s="7" t="s">
        <v>356</v>
      </c>
      <c r="J95" s="53">
        <f>J81+J65</f>
        <v>38227.57410337028</v>
      </c>
      <c r="K95" s="55">
        <f>$J95-(($J95-$O95)/(5)*(K$49-$J$49))</f>
        <v>39182.059282696224</v>
      </c>
      <c r="L95" s="55">
        <f t="shared" ref="L95:N95" si="72">$J95-(($J95-$O95)/(5)*(L$49-$J$49))</f>
        <v>40136.544462022168</v>
      </c>
      <c r="M95" s="55">
        <f t="shared" si="72"/>
        <v>41091.029641348112</v>
      </c>
      <c r="N95" s="55">
        <f t="shared" si="72"/>
        <v>42045.514820674056</v>
      </c>
      <c r="O95" s="7">
        <f>'NZE2021'!P61*1000</f>
        <v>43000</v>
      </c>
      <c r="P95" s="7">
        <f>'NZE2021'!Q61*1000</f>
        <v>42000</v>
      </c>
      <c r="Q95" s="443">
        <f>$O95-((Q$49-$O$49)*($O95-$Z95)/11)</f>
        <v>43363.63636363636</v>
      </c>
      <c r="R95" s="443">
        <f t="shared" si="69"/>
        <v>43545.454545454544</v>
      </c>
      <c r="S95" s="443">
        <f t="shared" si="69"/>
        <v>43727.272727272728</v>
      </c>
      <c r="T95" s="443">
        <f t="shared" si="69"/>
        <v>43909.090909090912</v>
      </c>
      <c r="U95" s="443">
        <f t="shared" si="69"/>
        <v>44090.909090909088</v>
      </c>
      <c r="V95" s="443">
        <f t="shared" si="69"/>
        <v>44272.727272727272</v>
      </c>
      <c r="W95" s="443">
        <f t="shared" si="69"/>
        <v>44454.545454545456</v>
      </c>
      <c r="X95" s="443">
        <f t="shared" si="69"/>
        <v>44636.36363636364</v>
      </c>
      <c r="Y95" s="443">
        <f t="shared" si="69"/>
        <v>44818.181818181816</v>
      </c>
      <c r="Z95" s="7">
        <f>'NZE2021'!R61*1000</f>
        <v>45000</v>
      </c>
      <c r="AA95" s="55">
        <f>$Z95-(($Z95-$AJ95)/(10)*(AA$49-$Z$49))</f>
        <v>45600</v>
      </c>
      <c r="AB95" s="55">
        <f t="shared" si="70"/>
        <v>46200</v>
      </c>
      <c r="AC95" s="55">
        <f t="shared" si="70"/>
        <v>46800</v>
      </c>
      <c r="AD95" s="55">
        <f t="shared" si="70"/>
        <v>47400</v>
      </c>
      <c r="AE95" s="55">
        <f t="shared" si="70"/>
        <v>48000</v>
      </c>
      <c r="AF95" s="55">
        <f t="shared" si="70"/>
        <v>48600</v>
      </c>
      <c r="AG95" s="55">
        <f t="shared" si="70"/>
        <v>49200</v>
      </c>
      <c r="AH95" s="55">
        <f t="shared" si="70"/>
        <v>49800</v>
      </c>
      <c r="AI95" s="55">
        <f t="shared" si="70"/>
        <v>50400</v>
      </c>
      <c r="AJ95" s="7">
        <f>'NZE2021'!S61*1000</f>
        <v>51000</v>
      </c>
      <c r="AK95" s="55">
        <f>$AJ95-(($AJ95-$AT95)/(10)*(AK$49-$AJ$49))</f>
        <v>51600</v>
      </c>
      <c r="AL95" s="55">
        <f t="shared" si="71"/>
        <v>52200</v>
      </c>
      <c r="AM95" s="55">
        <f t="shared" si="71"/>
        <v>52800</v>
      </c>
      <c r="AN95" s="55">
        <f t="shared" si="71"/>
        <v>53400</v>
      </c>
      <c r="AO95" s="55">
        <f t="shared" si="71"/>
        <v>54000</v>
      </c>
      <c r="AP95" s="55">
        <f t="shared" si="71"/>
        <v>54600</v>
      </c>
      <c r="AQ95" s="55">
        <f t="shared" si="71"/>
        <v>55200</v>
      </c>
      <c r="AR95" s="55">
        <f t="shared" si="71"/>
        <v>55800</v>
      </c>
      <c r="AS95" s="55">
        <f t="shared" si="71"/>
        <v>56400</v>
      </c>
      <c r="AT95" s="7">
        <f>'NZE2021'!T61*1000</f>
        <v>57000</v>
      </c>
    </row>
    <row r="96" spans="1:58" s="539" customFormat="1" x14ac:dyDescent="0.15">
      <c r="A96" s="539" t="s">
        <v>41</v>
      </c>
      <c r="B96" s="539" t="s">
        <v>261</v>
      </c>
      <c r="C96" s="539" t="s">
        <v>22</v>
      </c>
      <c r="D96" s="539" t="s">
        <v>18</v>
      </c>
      <c r="E96" s="539" t="s">
        <v>24</v>
      </c>
      <c r="F96" s="541" t="s">
        <v>25</v>
      </c>
      <c r="G96" s="541" t="s">
        <v>605</v>
      </c>
      <c r="H96" s="541" t="s">
        <v>606</v>
      </c>
      <c r="I96" s="541">
        <f>SUM(J96:AT96)</f>
        <v>74375.155785184077</v>
      </c>
      <c r="J96" s="537">
        <f>K96</f>
        <v>3519.0886528101346</v>
      </c>
      <c r="K96" s="537">
        <f>'Steel-data'!E13</f>
        <v>3519.0886528101346</v>
      </c>
      <c r="L96" s="537">
        <f>'Steel-data'!F13</f>
        <v>3519.0886528101346</v>
      </c>
      <c r="M96" s="537">
        <f>'Steel-data'!G13</f>
        <v>3519.0886528101346</v>
      </c>
      <c r="N96" s="537">
        <f>'Steel-data'!H13</f>
        <v>3519.4657579772156</v>
      </c>
      <c r="O96" s="537">
        <f>'Steel-data'!I13</f>
        <v>3519.0886528101346</v>
      </c>
      <c r="P96" s="537">
        <f>'Steel-data'!J13</f>
        <v>3219.6710209068819</v>
      </c>
      <c r="Q96" s="537">
        <f>'Steel-data'!K13</f>
        <v>3210.7754604904781</v>
      </c>
      <c r="R96" s="537">
        <f>'Steel-data'!L13</f>
        <v>3112.7439591503644</v>
      </c>
      <c r="S96" s="537">
        <f>'Steel-data'!M13</f>
        <v>3014.6892759920693</v>
      </c>
      <c r="T96" s="537">
        <f>'Steel-data'!N13</f>
        <v>2916.6114110155927</v>
      </c>
      <c r="U96" s="537">
        <f>'Steel-data'!O13</f>
        <v>2818.5103642209342</v>
      </c>
      <c r="V96" s="537">
        <f>'Steel-data'!P13</f>
        <v>2720.3861356080938</v>
      </c>
      <c r="W96" s="537">
        <f>'Steel-data'!Q13</f>
        <v>2622.2387251770715</v>
      </c>
      <c r="X96" s="537">
        <f>'Steel-data'!R13</f>
        <v>2524.0681329278673</v>
      </c>
      <c r="Y96" s="537">
        <f>'Steel-data'!S13</f>
        <v>2425.8743588604812</v>
      </c>
      <c r="Z96" s="537">
        <f>'Steel-data'!T13</f>
        <v>2327.6574029749131</v>
      </c>
      <c r="AA96" s="537">
        <f>'Steel-data'!U13</f>
        <v>2201.686700601289</v>
      </c>
      <c r="AB96" s="537">
        <f>'Steel-data'!V13</f>
        <v>2075.7123494776642</v>
      </c>
      <c r="AC96" s="537">
        <f>'Steel-data'!W13</f>
        <v>1949.7343496040398</v>
      </c>
      <c r="AD96" s="537">
        <f>'Steel-data'!X13</f>
        <v>1823.7527009804153</v>
      </c>
      <c r="AE96" s="537">
        <f>'Steel-data'!Y13</f>
        <v>1697.767403606791</v>
      </c>
      <c r="AF96" s="537">
        <f>'Steel-data'!Z13</f>
        <v>1571.7784574831667</v>
      </c>
      <c r="AG96" s="537">
        <f>'Steel-data'!AA13</f>
        <v>1445.7858626095419</v>
      </c>
      <c r="AH96" s="537">
        <f>'Steel-data'!AB13</f>
        <v>1319.7896189859175</v>
      </c>
      <c r="AI96" s="537">
        <f>'Steel-data'!AC13</f>
        <v>1193.7897266122932</v>
      </c>
      <c r="AJ96" s="537">
        <f>'Steel-data'!AD13</f>
        <v>1067.7861854886687</v>
      </c>
      <c r="AK96" s="537">
        <f>'Steel-data'!AE13</f>
        <v>982.72435331584961</v>
      </c>
      <c r="AL96" s="537">
        <f>'Steel-data'!AF13</f>
        <v>897.66237614303054</v>
      </c>
      <c r="AM96" s="537">
        <f>'Steel-data'!AG13</f>
        <v>812.60025397021138</v>
      </c>
      <c r="AN96" s="537">
        <f>'Steel-data'!AH13</f>
        <v>727.53798679739225</v>
      </c>
      <c r="AO96" s="537">
        <f>'Steel-data'!AI13</f>
        <v>642.47557462457314</v>
      </c>
      <c r="AP96" s="537">
        <f>'Steel-data'!AJ13</f>
        <v>557.41301745175406</v>
      </c>
      <c r="AQ96" s="537">
        <f>'Steel-data'!AK13</f>
        <v>472.35031527893489</v>
      </c>
      <c r="AR96" s="537">
        <f>'Steel-data'!AL13</f>
        <v>387.2874681061158</v>
      </c>
      <c r="AS96" s="537">
        <f>'Steel-data'!AM13</f>
        <v>302.22447593329667</v>
      </c>
      <c r="AT96" s="537">
        <f>'Steel-data'!AN13</f>
        <v>217.16133876047749</v>
      </c>
      <c r="AU96" s="538"/>
      <c r="BF96" s="538">
        <f>($U$49-$P$49)*(0.5*(P96-U96)+U96)+($Z$49-$U$49)*(0.5*(U96-Z96)+Z96)+($AE$49-$Z$49)*(0.5*(Z96-AE96)+AE96)+($AJ$49-$AE$49)*(0.5*(AE96-AJ96)+AJ96)+($AO$49-$AJ$49)*(0.5*(AJ96-AO96)+AO96)+($AT$49-$AO$49)*(0.5*(AO96-AT96)+AT96)</f>
        <v>51363.065553747801</v>
      </c>
    </row>
    <row r="97" spans="1:47" s="539" customFormat="1" x14ac:dyDescent="0.15">
      <c r="A97" s="539" t="s">
        <v>40</v>
      </c>
      <c r="B97" s="539" t="s">
        <v>261</v>
      </c>
      <c r="C97" s="539" t="s">
        <v>22</v>
      </c>
      <c r="D97" s="539" t="s">
        <v>18</v>
      </c>
      <c r="E97" s="539" t="s">
        <v>620</v>
      </c>
      <c r="F97" s="539" t="s">
        <v>69</v>
      </c>
      <c r="G97" s="539" t="s">
        <v>466</v>
      </c>
      <c r="H97" s="541" t="s">
        <v>606</v>
      </c>
      <c r="I97" s="548">
        <f t="shared" ref="I97:I98" si="73">SUM(J97:AT97)</f>
        <v>53.248343484883982</v>
      </c>
      <c r="J97" s="547">
        <f>K97+(K49-J49)*($Z$97-$P$97)/10</f>
        <v>2.3499430713587932</v>
      </c>
      <c r="K97" s="548">
        <f>'Steel-data'!E16/1000</f>
        <v>2.4211073569206505</v>
      </c>
      <c r="L97" s="548">
        <f>'Steel-data'!F16/1000</f>
        <v>2.4424018088262245</v>
      </c>
      <c r="M97" s="548">
        <f>'Steel-data'!G16/1000</f>
        <v>2.4642862799622667</v>
      </c>
      <c r="N97" s="548">
        <f>'Steel-data'!H16/1000</f>
        <v>2.487067690503419</v>
      </c>
      <c r="O97" s="548">
        <f>'Steel-data'!I16/1000</f>
        <v>2.509887206142364</v>
      </c>
      <c r="P97" s="548">
        <f>'Steel-data'!J16/1000</f>
        <v>2.4232181366275407</v>
      </c>
      <c r="Q97" s="548">
        <f>'Steel-data'!K16/1000</f>
        <v>2.2970289089871687</v>
      </c>
      <c r="R97" s="548">
        <f>'Steel-data'!L16/1000</f>
        <v>2.2325564833920861</v>
      </c>
      <c r="S97" s="548">
        <f>'Steel-data'!M16/1000</f>
        <v>2.169051892996543</v>
      </c>
      <c r="T97" s="548">
        <f>'Steel-data'!N16/1000</f>
        <v>2.1051540203912005</v>
      </c>
      <c r="U97" s="548">
        <f>'Steel-data'!O16/1000</f>
        <v>2.0408469220445022</v>
      </c>
      <c r="V97" s="548">
        <f>'Steel-data'!P16/1000</f>
        <v>1.9761141242691576</v>
      </c>
      <c r="W97" s="548">
        <f>'Steel-data'!Q16/1000</f>
        <v>1.9109385972825268</v>
      </c>
      <c r="X97" s="548">
        <f>'Steel-data'!R16/1000</f>
        <v>1.8442244064835336</v>
      </c>
      <c r="Y97" s="548">
        <f>'Steel-data'!S16/1000</f>
        <v>1.778148479169098</v>
      </c>
      <c r="Z97" s="548">
        <f>'Steel-data'!T16/1000</f>
        <v>1.7115752810089702</v>
      </c>
      <c r="AA97" s="548">
        <f>'Steel-data'!U16/1000</f>
        <v>1.6209301110839105</v>
      </c>
      <c r="AB97" s="548">
        <f>'Steel-data'!V16/1000</f>
        <v>1.5294901639860059</v>
      </c>
      <c r="AC97" s="548">
        <f>'Steel-data'!W16/1000</f>
        <v>1.4372390699102373</v>
      </c>
      <c r="AD97" s="548">
        <f>'Steel-data'!X16/1000</f>
        <v>1.3441600282439394</v>
      </c>
      <c r="AE97" s="548">
        <f>'Steel-data'!Y16/1000</f>
        <v>1.2494897361454405</v>
      </c>
      <c r="AF97" s="548">
        <f>'Steel-data'!Z16/1000</f>
        <v>1.1547547560515972</v>
      </c>
      <c r="AG97" s="548">
        <f>'Steel-data'!AA16/1000</f>
        <v>1.0591391672172181</v>
      </c>
      <c r="AH97" s="548">
        <f>'Steel-data'!AB16/1000</f>
        <v>0.9626243068343302</v>
      </c>
      <c r="AI97" s="548">
        <f>'Steel-data'!AC16/1000</f>
        <v>0.86519100363151391</v>
      </c>
      <c r="AJ97" s="548">
        <f>'Steel-data'!AD16/1000</f>
        <v>0.76681956032604404</v>
      </c>
      <c r="AK97" s="548">
        <f>'Steel-data'!AE16/1000</f>
        <v>0.70331405454615814</v>
      </c>
      <c r="AL97" s="548">
        <f>'Steel-data'!AF16/1000</f>
        <v>0.63933852504435629</v>
      </c>
      <c r="AM97" s="548">
        <f>'Steel-data'!AG16/1000</f>
        <v>0.5748819543329472</v>
      </c>
      <c r="AN97" s="548">
        <f>'Steel-data'!AH16/1000</f>
        <v>0.50993301904218591</v>
      </c>
      <c r="AO97" s="548">
        <f>'Steel-data'!AI16/1000</f>
        <v>0.44448007894483826</v>
      </c>
      <c r="AP97" s="548">
        <f>'Steel-data'!AJ16/1000</f>
        <v>0.37876805614402503</v>
      </c>
      <c r="AQ97" s="548">
        <f>'Steel-data'!AK16/1000</f>
        <v>0.31223257140038119</v>
      </c>
      <c r="AR97" s="548">
        <f>'Steel-data'!AL16/1000</f>
        <v>0.24515582753873061</v>
      </c>
      <c r="AS97" s="548">
        <f>'Steel-data'!AM16/1000</f>
        <v>0.17752478868938304</v>
      </c>
      <c r="AT97" s="548">
        <f>'Steel-data'!AN16/1000</f>
        <v>0.10932603940472095</v>
      </c>
      <c r="AU97" s="548">
        <f>SUM(P97:AT97)</f>
        <v>38.573650071170285</v>
      </c>
    </row>
    <row r="98" spans="1:47" s="539" customFormat="1" x14ac:dyDescent="0.15">
      <c r="A98" s="539" t="s">
        <v>58</v>
      </c>
      <c r="B98" s="539" t="s">
        <v>261</v>
      </c>
      <c r="C98" s="539" t="s">
        <v>22</v>
      </c>
      <c r="D98" s="539" t="s">
        <v>18</v>
      </c>
      <c r="E98" s="539" t="s">
        <v>619</v>
      </c>
      <c r="F98" s="539" t="s">
        <v>69</v>
      </c>
      <c r="G98" s="539" t="s">
        <v>626</v>
      </c>
      <c r="H98" s="541" t="s">
        <v>606</v>
      </c>
      <c r="I98" s="548">
        <f t="shared" si="73"/>
        <v>12.690850000000008</v>
      </c>
      <c r="J98" s="547">
        <f t="shared" ref="J98" si="74">K98+(K49-J49)*($Z$98-$P$98)/10</f>
        <v>0.55209999999999992</v>
      </c>
      <c r="K98" s="548">
        <f>'Steel-data'!E11/1000</f>
        <v>0.56512499999999988</v>
      </c>
      <c r="L98" s="548">
        <f>'Steel-data'!F11/1000</f>
        <v>0.55209999999999992</v>
      </c>
      <c r="M98" s="548">
        <f>'Steel-data'!G11/1000</f>
        <v>0.53907499999999997</v>
      </c>
      <c r="N98" s="548">
        <f>'Steel-data'!H11/1000</f>
        <v>0.52604999999999991</v>
      </c>
      <c r="O98" s="548">
        <f>'Steel-data'!I11/1000</f>
        <v>0.51302499999999995</v>
      </c>
      <c r="P98" s="548">
        <f>'Steel-data'!J11/1000</f>
        <v>0.5</v>
      </c>
      <c r="Q98" s="548">
        <f>'Steel-data'!K11/1000</f>
        <v>0.48697500000000005</v>
      </c>
      <c r="R98" s="548">
        <f>'Steel-data'!L11/1000</f>
        <v>0.47395000000000004</v>
      </c>
      <c r="S98" s="548">
        <f>'Steel-data'!M11/1000</f>
        <v>0.46092500000000008</v>
      </c>
      <c r="T98" s="548">
        <f>'Steel-data'!N11/1000</f>
        <v>0.44790000000000008</v>
      </c>
      <c r="U98" s="548">
        <f>'Steel-data'!O11/1000</f>
        <v>0.43487500000000012</v>
      </c>
      <c r="V98" s="548">
        <f>'Steel-data'!P11/1000</f>
        <v>0.42185000000000011</v>
      </c>
      <c r="W98" s="548">
        <f>'Steel-data'!Q11/1000</f>
        <v>0.40882500000000016</v>
      </c>
      <c r="X98" s="548">
        <f>'Steel-data'!R11/1000</f>
        <v>0.39580000000000021</v>
      </c>
      <c r="Y98" s="548">
        <f>'Steel-data'!S11/1000</f>
        <v>0.3827750000000002</v>
      </c>
      <c r="Z98" s="548">
        <f>'Steel-data'!T11/1000</f>
        <v>0.36975000000000025</v>
      </c>
      <c r="AA98" s="548">
        <f>'Steel-data'!U11/1000</f>
        <v>0.35672500000000024</v>
      </c>
      <c r="AB98" s="548">
        <f>'Steel-data'!V11/1000</f>
        <v>0.34370000000000028</v>
      </c>
      <c r="AC98" s="548">
        <f>'Steel-data'!W11/1000</f>
        <v>0.33067500000000027</v>
      </c>
      <c r="AD98" s="548">
        <f>'Steel-data'!X11/1000</f>
        <v>0.31765000000000032</v>
      </c>
      <c r="AE98" s="548">
        <f>'Steel-data'!Y11/1000</f>
        <v>0.30462500000000037</v>
      </c>
      <c r="AF98" s="548">
        <f>'Steel-data'!Z11/1000</f>
        <v>0.29160000000000036</v>
      </c>
      <c r="AG98" s="548">
        <f>'Steel-data'!AA11/1000</f>
        <v>0.27857500000000041</v>
      </c>
      <c r="AH98" s="548">
        <f>'Steel-data'!AB11/1000</f>
        <v>0.2655500000000004</v>
      </c>
      <c r="AI98" s="548">
        <f>'Steel-data'!AC11/1000</f>
        <v>0.25252500000000039</v>
      </c>
      <c r="AJ98" s="548">
        <f>'Steel-data'!AD11/1000</f>
        <v>0.23950000000000041</v>
      </c>
      <c r="AK98" s="548">
        <f>'Steel-data'!AE11/1000</f>
        <v>0.2264750000000004</v>
      </c>
      <c r="AL98" s="548">
        <f>'Steel-data'!AF11/1000</f>
        <v>0.21345000000000039</v>
      </c>
      <c r="AM98" s="548">
        <f>'Steel-data'!AG11/1000</f>
        <v>0.20042500000000038</v>
      </c>
      <c r="AN98" s="548">
        <f>'Steel-data'!AH11/1000</f>
        <v>0.18740000000000037</v>
      </c>
      <c r="AO98" s="548">
        <f>'Steel-data'!AI11/1000</f>
        <v>0.17437500000000036</v>
      </c>
      <c r="AP98" s="548">
        <f>'Steel-data'!AJ11/1000</f>
        <v>0.16135000000000035</v>
      </c>
      <c r="AQ98" s="548">
        <f>'Steel-data'!AK11/1000</f>
        <v>0.14832500000000035</v>
      </c>
      <c r="AR98" s="548">
        <f>'Steel-data'!AL11/1000</f>
        <v>0.13530000000000036</v>
      </c>
      <c r="AS98" s="548">
        <f>'Steel-data'!AM11/1000</f>
        <v>0.12227500000000034</v>
      </c>
      <c r="AT98" s="548">
        <f>'Steel-data'!AN11/1000</f>
        <v>0.10925</v>
      </c>
      <c r="AU98" s="548">
        <f>SUM(P98:AT98)</f>
        <v>9.4433750000000085</v>
      </c>
    </row>
    <row r="99" spans="1:47" x14ac:dyDescent="0.15">
      <c r="J99" s="7">
        <f>1000*J93*J76/J94/3.6</f>
        <v>18.262857739008492</v>
      </c>
    </row>
    <row r="100" spans="1:47" x14ac:dyDescent="0.15">
      <c r="H100" s="7" t="s">
        <v>426</v>
      </c>
      <c r="J100" s="7">
        <f>277.778*J84/J85</f>
        <v>88.670111943775524</v>
      </c>
      <c r="K100" s="7">
        <f t="shared" ref="K100:AT100" si="75">277.778*K84/K85</f>
        <v>88.670111943775524</v>
      </c>
      <c r="L100" s="7">
        <f t="shared" si="75"/>
        <v>88.670111943775524</v>
      </c>
      <c r="M100" s="7">
        <f t="shared" si="75"/>
        <v>88.670111943775524</v>
      </c>
      <c r="N100" s="7">
        <f t="shared" si="75"/>
        <v>88.670111943775524</v>
      </c>
      <c r="O100" s="7">
        <f t="shared" si="75"/>
        <v>88.670111943775524</v>
      </c>
      <c r="P100" s="7">
        <f t="shared" si="75"/>
        <v>92.264846211766411</v>
      </c>
      <c r="Q100" s="7">
        <f t="shared" si="75"/>
        <v>94.690870745277564</v>
      </c>
      <c r="R100" s="7">
        <f t="shared" si="75"/>
        <v>97.692897693180981</v>
      </c>
      <c r="S100" s="7">
        <f t="shared" si="75"/>
        <v>100.68937691953982</v>
      </c>
      <c r="T100" s="7">
        <f t="shared" si="75"/>
        <v>103.68032378837468</v>
      </c>
      <c r="U100" s="7">
        <f t="shared" si="75"/>
        <v>106.66575360702576</v>
      </c>
      <c r="V100" s="7">
        <f t="shared" si="75"/>
        <v>109.64568162641389</v>
      </c>
      <c r="W100" s="7">
        <f t="shared" si="75"/>
        <v>112.62012304130037</v>
      </c>
      <c r="X100" s="7">
        <f t="shared" si="75"/>
        <v>115.58909299054517</v>
      </c>
      <c r="Y100" s="7">
        <f t="shared" si="75"/>
        <v>118.55260655736372</v>
      </c>
      <c r="Z100" s="7">
        <f t="shared" si="75"/>
        <v>121.51067876958247</v>
      </c>
      <c r="AA100" s="7">
        <f t="shared" si="75"/>
        <v>125.38088501887823</v>
      </c>
      <c r="AB100" s="7">
        <f t="shared" si="75"/>
        <v>129.27468451075038</v>
      </c>
      <c r="AC100" s="7">
        <f t="shared" si="75"/>
        <v>133.1922936456653</v>
      </c>
      <c r="AD100" s="7">
        <f t="shared" si="75"/>
        <v>137.13393147867853</v>
      </c>
      <c r="AE100" s="7">
        <f t="shared" si="75"/>
        <v>141.09981976026498</v>
      </c>
      <c r="AF100" s="7">
        <f t="shared" si="75"/>
        <v>145.09018297790479</v>
      </c>
      <c r="AG100" s="7">
        <f t="shared" si="75"/>
        <v>149.105248398442</v>
      </c>
      <c r="AH100" s="7">
        <f t="shared" si="75"/>
        <v>153.14524611123144</v>
      </c>
      <c r="AI100" s="7">
        <f t="shared" si="75"/>
        <v>157.21040907209309</v>
      </c>
      <c r="AJ100" s="7">
        <f t="shared" si="75"/>
        <v>161.30097314808916</v>
      </c>
      <c r="AK100" s="7">
        <f t="shared" si="75"/>
        <v>165.27764660393026</v>
      </c>
      <c r="AL100" s="7">
        <f t="shared" si="75"/>
        <v>169.27309255953858</v>
      </c>
      <c r="AM100" s="7">
        <f t="shared" si="75"/>
        <v>173.28744425712574</v>
      </c>
      <c r="AN100" s="7">
        <f t="shared" si="75"/>
        <v>177.32083620285064</v>
      </c>
      <c r="AO100" s="7">
        <f t="shared" si="75"/>
        <v>181.3734041818428</v>
      </c>
      <c r="AP100" s="7">
        <f t="shared" si="75"/>
        <v>185.44528527343996</v>
      </c>
      <c r="AQ100" s="7">
        <f t="shared" si="75"/>
        <v>189.53661786664435</v>
      </c>
      <c r="AR100" s="7">
        <f t="shared" si="75"/>
        <v>193.6475416758008</v>
      </c>
      <c r="AS100" s="7">
        <f t="shared" si="75"/>
        <v>197.77819775650076</v>
      </c>
      <c r="AT100" s="7">
        <f t="shared" si="75"/>
        <v>201.92872852171604</v>
      </c>
    </row>
    <row r="102" spans="1:47" ht="13" x14ac:dyDescent="0.15">
      <c r="K102"/>
      <c r="L102"/>
      <c r="M102"/>
      <c r="N102"/>
      <c r="O102"/>
      <c r="P102" s="556"/>
      <c r="Q102" s="556"/>
      <c r="R102" s="556"/>
      <c r="S102" s="556"/>
      <c r="T102" s="556"/>
      <c r="U102" s="556"/>
    </row>
    <row r="103" spans="1:47" x14ac:dyDescent="0.15">
      <c r="K103" s="557"/>
      <c r="L103" s="557"/>
      <c r="M103" s="557"/>
      <c r="N103" s="557"/>
      <c r="O103" s="557"/>
      <c r="P103" s="557"/>
      <c r="Q103" s="557"/>
    </row>
  </sheetData>
  <sheetProtection algorithmName="SHA-512" hashValue="KINNzEQsLXULqIDaSKVgOzSc6IZfOpvl1MsFNYBnvUxjFKHmZnEbHE5cGKxAdfv8ODu+fbWphRVtd8oWZEtl2Q==" saltValue="df0A8n8fCQqVqH8y7zPFbg==" spinCount="100000" sheet="1" objects="1" scenarios="1"/>
  <conditionalFormatting sqref="F2:F11 G28:I34">
    <cfRule type="cellIs" dxfId="35" priority="143" operator="equal">
      <formula>0</formula>
    </cfRule>
    <cfRule type="cellIs" dxfId="34" priority="144" operator="greaterThanOrEqual">
      <formula>10</formula>
    </cfRule>
  </conditionalFormatting>
  <conditionalFormatting sqref="F50:F79">
    <cfRule type="cellIs" dxfId="33" priority="106" operator="greaterThanOrEqual">
      <formula>10</formula>
    </cfRule>
    <cfRule type="cellIs" dxfId="32" priority="105" operator="equal">
      <formula>0</formula>
    </cfRule>
  </conditionalFormatting>
  <conditionalFormatting sqref="G2:G8">
    <cfRule type="cellIs" dxfId="31" priority="142" operator="greaterThanOrEqual">
      <formula>10</formula>
    </cfRule>
    <cfRule type="cellIs" dxfId="30" priority="141" operator="equal">
      <formula>0</formula>
    </cfRule>
  </conditionalFormatting>
  <conditionalFormatting sqref="G10">
    <cfRule type="cellIs" dxfId="29" priority="115" operator="equal">
      <formula>0</formula>
    </cfRule>
    <cfRule type="cellIs" dxfId="28" priority="116" operator="greaterThanOrEqual">
      <formula>10</formula>
    </cfRule>
  </conditionalFormatting>
  <conditionalFormatting sqref="G12:G27">
    <cfRule type="cellIs" dxfId="27" priority="110" operator="greaterThanOrEqual">
      <formula>10</formula>
    </cfRule>
    <cfRule type="cellIs" dxfId="26" priority="109" operator="equal">
      <formula>0</formula>
    </cfRule>
  </conditionalFormatting>
  <conditionalFormatting sqref="G31:G33">
    <cfRule type="cellIs" dxfId="25" priority="23" operator="equal">
      <formula>0</formula>
    </cfRule>
    <cfRule type="cellIs" dxfId="24" priority="24" operator="greaterThanOrEqual">
      <formula>10</formula>
    </cfRule>
  </conditionalFormatting>
  <conditionalFormatting sqref="G35:G45">
    <cfRule type="cellIs" dxfId="23" priority="35" operator="equal">
      <formula>0</formula>
    </cfRule>
    <cfRule type="cellIs" dxfId="22" priority="36" operator="greaterThanOrEqual">
      <formula>10</formula>
    </cfRule>
  </conditionalFormatting>
  <conditionalFormatting sqref="G50:G56">
    <cfRule type="cellIs" dxfId="21" priority="103" operator="equal">
      <formula>0</formula>
    </cfRule>
    <cfRule type="cellIs" dxfId="20" priority="104" operator="greaterThanOrEqual">
      <formula>10</formula>
    </cfRule>
  </conditionalFormatting>
  <conditionalFormatting sqref="G58">
    <cfRule type="cellIs" dxfId="19" priority="87" operator="equal">
      <formula>0</formula>
    </cfRule>
    <cfRule type="cellIs" dxfId="18" priority="88" operator="greaterThanOrEqual">
      <formula>10</formula>
    </cfRule>
  </conditionalFormatting>
  <conditionalFormatting sqref="G60:G94">
    <cfRule type="cellIs" dxfId="17" priority="16" operator="greaterThanOrEqual">
      <formula>10</formula>
    </cfRule>
    <cfRule type="cellIs" dxfId="16" priority="15" operator="equal">
      <formula>0</formula>
    </cfRule>
  </conditionalFormatting>
  <conditionalFormatting sqref="G96">
    <cfRule type="cellIs" dxfId="15" priority="4" operator="greaterThanOrEqual">
      <formula>10</formula>
    </cfRule>
    <cfRule type="cellIs" dxfId="14" priority="3" operator="equal">
      <formula>0</formula>
    </cfRule>
  </conditionalFormatting>
  <conditionalFormatting sqref="G9:I9">
    <cfRule type="cellIs" dxfId="13" priority="135" operator="equal">
      <formula>0</formula>
    </cfRule>
    <cfRule type="cellIs" dxfId="12" priority="136" operator="greaterThanOrEqual">
      <formula>10</formula>
    </cfRule>
  </conditionalFormatting>
  <conditionalFormatting sqref="G11:I11">
    <cfRule type="cellIs" dxfId="11" priority="134" operator="greaterThanOrEqual">
      <formula>10</formula>
    </cfRule>
    <cfRule type="cellIs" dxfId="10" priority="133" operator="equal">
      <formula>0</formula>
    </cfRule>
  </conditionalFormatting>
  <conditionalFormatting sqref="G57:I57">
    <cfRule type="cellIs" dxfId="9" priority="101" operator="equal">
      <formula>0</formula>
    </cfRule>
    <cfRule type="cellIs" dxfId="8" priority="102" operator="greaterThanOrEqual">
      <formula>10</formula>
    </cfRule>
  </conditionalFormatting>
  <conditionalFormatting sqref="G59:I59">
    <cfRule type="cellIs" dxfId="7" priority="100" operator="greaterThanOrEqual">
      <formula>10</formula>
    </cfRule>
    <cfRule type="cellIs" dxfId="6" priority="99" operator="equal">
      <formula>0</formula>
    </cfRule>
  </conditionalFormatting>
  <conditionalFormatting sqref="G80:I82">
    <cfRule type="cellIs" dxfId="5" priority="22" operator="greaterThanOrEqual">
      <formula>10</formula>
    </cfRule>
    <cfRule type="cellIs" dxfId="4" priority="21" operator="equal">
      <formula>0</formula>
    </cfRule>
  </conditionalFormatting>
  <conditionalFormatting sqref="H2:I98">
    <cfRule type="cellIs" dxfId="3" priority="2" operator="greaterThanOrEqual">
      <formula>10</formula>
    </cfRule>
    <cfRule type="cellIs" dxfId="2" priority="1" operator="equal">
      <formula>0</formula>
    </cfRule>
  </conditionalFormatting>
  <conditionalFormatting sqref="I94">
    <cfRule type="cellIs" dxfId="1" priority="14" operator="greaterThanOrEqual">
      <formula>10</formula>
    </cfRule>
    <cfRule type="cellIs" dxfId="0" priority="13" operator="equal">
      <formula>0</formula>
    </cfRule>
  </conditionalFormatting>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theme="0" tint="-0.499984740745262"/>
  </sheetPr>
  <dimension ref="A1:AI468"/>
  <sheetViews>
    <sheetView workbookViewId="0"/>
  </sheetViews>
  <sheetFormatPr baseColWidth="10" defaultColWidth="10.83203125" defaultRowHeight="13" x14ac:dyDescent="0.15"/>
  <cols>
    <col min="1" max="1" width="4" style="12" customWidth="1"/>
    <col min="2" max="2" width="27" style="12" customWidth="1"/>
    <col min="3" max="3" width="8.83203125" style="12" bestFit="1" customWidth="1"/>
    <col min="4" max="11" width="9.5" style="12" bestFit="1" customWidth="1"/>
    <col min="12" max="12" width="2.83203125" customWidth="1"/>
    <col min="13" max="13" width="4" style="12" customWidth="1"/>
    <col min="14" max="14" width="27" style="12" customWidth="1"/>
    <col min="15" max="15" width="13.5" style="12" bestFit="1" customWidth="1"/>
    <col min="16" max="21" width="9.5" style="12" bestFit="1" customWidth="1"/>
    <col min="22" max="23" width="9.5" style="12" customWidth="1"/>
    <col min="24" max="24" width="2.83203125" customWidth="1"/>
    <col min="25" max="25" width="4" style="12" customWidth="1"/>
    <col min="26" max="26" width="27" style="12" customWidth="1"/>
    <col min="27" max="27" width="8.83203125" style="12" bestFit="1" customWidth="1"/>
    <col min="28" max="33" width="9.5" style="12" bestFit="1" customWidth="1"/>
    <col min="34" max="35" width="9.5" style="12" customWidth="1"/>
  </cols>
  <sheetData>
    <row r="1" spans="1:35" s="31" customFormat="1" ht="18" x14ac:dyDescent="0.2">
      <c r="A1" s="30"/>
      <c r="B1" s="30" t="s">
        <v>184</v>
      </c>
      <c r="C1" s="30"/>
      <c r="D1" s="30"/>
      <c r="E1" s="30"/>
      <c r="F1" s="30"/>
      <c r="G1" s="30"/>
      <c r="H1" s="30"/>
      <c r="I1" s="30"/>
      <c r="J1" s="30"/>
      <c r="K1" s="30"/>
      <c r="M1" s="30"/>
      <c r="N1" s="30" t="s">
        <v>185</v>
      </c>
      <c r="O1" s="30"/>
      <c r="P1" s="30"/>
      <c r="Q1" s="30"/>
      <c r="R1" s="30"/>
      <c r="S1" s="30"/>
      <c r="T1" s="30"/>
      <c r="U1" s="30"/>
      <c r="V1" s="30"/>
      <c r="W1" s="30"/>
      <c r="Y1" s="30"/>
      <c r="Z1" s="30" t="s">
        <v>186</v>
      </c>
      <c r="AA1" s="30"/>
      <c r="AB1" s="30"/>
      <c r="AC1" s="30"/>
      <c r="AD1" s="30"/>
      <c r="AE1" s="30"/>
      <c r="AF1" s="30"/>
      <c r="AG1" s="30"/>
      <c r="AH1" s="30"/>
      <c r="AI1" s="30"/>
    </row>
    <row r="2" spans="1:35" ht="29" x14ac:dyDescent="0.15">
      <c r="A2" s="9"/>
      <c r="B2" s="9"/>
      <c r="C2" s="9"/>
      <c r="D2" s="9" t="s">
        <v>82</v>
      </c>
      <c r="E2" s="9"/>
      <c r="F2" s="9"/>
      <c r="G2" s="9"/>
      <c r="H2" s="9"/>
      <c r="I2" s="9"/>
      <c r="J2" s="9"/>
      <c r="K2" s="9"/>
      <c r="M2" s="9"/>
      <c r="N2" s="9"/>
      <c r="O2" s="9"/>
      <c r="P2" s="9" t="s">
        <v>82</v>
      </c>
      <c r="Q2" s="9"/>
      <c r="R2" s="9"/>
      <c r="S2" s="9"/>
      <c r="T2" s="9"/>
      <c r="U2" s="9"/>
      <c r="V2" s="9"/>
      <c r="W2" s="9"/>
      <c r="Y2" s="9"/>
      <c r="Z2" s="9"/>
      <c r="AA2" s="9"/>
      <c r="AB2" s="9" t="s">
        <v>82</v>
      </c>
      <c r="AC2" s="9"/>
      <c r="AD2" s="9"/>
      <c r="AE2" s="9"/>
      <c r="AF2" s="9"/>
      <c r="AG2" s="9"/>
      <c r="AH2" s="9"/>
      <c r="AI2" s="9"/>
    </row>
    <row r="3" spans="1:35" s="34" customFormat="1" ht="19" x14ac:dyDescent="0.15">
      <c r="A3" s="32"/>
      <c r="B3" s="32"/>
      <c r="C3" s="33">
        <v>2014</v>
      </c>
      <c r="D3" s="33">
        <v>2025</v>
      </c>
      <c r="E3" s="33">
        <v>2030</v>
      </c>
      <c r="F3" s="33">
        <v>2035</v>
      </c>
      <c r="G3" s="33">
        <v>2040</v>
      </c>
      <c r="H3" s="33">
        <v>2045</v>
      </c>
      <c r="I3" s="33">
        <v>2050</v>
      </c>
      <c r="J3" s="33">
        <v>2055</v>
      </c>
      <c r="K3" s="33">
        <v>2060</v>
      </c>
      <c r="L3"/>
      <c r="M3" s="32"/>
      <c r="N3" s="32"/>
      <c r="O3" s="33">
        <v>2014</v>
      </c>
      <c r="P3" s="33">
        <v>2025</v>
      </c>
      <c r="Q3" s="33">
        <v>2030</v>
      </c>
      <c r="R3" s="33">
        <v>2035</v>
      </c>
      <c r="S3" s="33">
        <v>2040</v>
      </c>
      <c r="T3" s="33">
        <v>2045</v>
      </c>
      <c r="U3" s="33">
        <v>2050</v>
      </c>
      <c r="V3" s="33">
        <v>2055</v>
      </c>
      <c r="W3" s="33">
        <v>2060</v>
      </c>
      <c r="X3"/>
      <c r="Y3" s="32"/>
      <c r="Z3" s="32"/>
      <c r="AA3" s="33">
        <v>2014</v>
      </c>
      <c r="AB3" s="33">
        <v>2025</v>
      </c>
      <c r="AC3" s="33">
        <v>2030</v>
      </c>
      <c r="AD3" s="33">
        <v>2035</v>
      </c>
      <c r="AE3" s="33">
        <v>2040</v>
      </c>
      <c r="AF3" s="33">
        <v>2045</v>
      </c>
      <c r="AG3" s="33">
        <v>2050</v>
      </c>
      <c r="AH3" s="33">
        <v>2055</v>
      </c>
      <c r="AI3" s="33">
        <v>2060</v>
      </c>
    </row>
    <row r="4" spans="1:35" ht="15" x14ac:dyDescent="0.2">
      <c r="A4" s="10"/>
      <c r="B4" s="10"/>
      <c r="C4" s="11"/>
      <c r="D4" s="11"/>
      <c r="E4" s="11"/>
      <c r="F4" s="11"/>
      <c r="G4" s="11"/>
      <c r="H4" s="11"/>
      <c r="I4" s="11"/>
      <c r="J4" s="11"/>
      <c r="K4" s="11"/>
      <c r="M4" s="20"/>
      <c r="N4" s="20"/>
      <c r="O4" s="21"/>
      <c r="P4" s="21"/>
      <c r="Q4" s="21"/>
      <c r="R4" s="21"/>
      <c r="S4" s="21"/>
      <c r="T4" s="21"/>
      <c r="U4" s="21"/>
      <c r="V4" s="21"/>
      <c r="W4" s="21"/>
      <c r="Y4" s="24"/>
      <c r="Z4" s="24"/>
      <c r="AA4" s="25"/>
      <c r="AB4" s="25"/>
      <c r="AC4" s="25"/>
      <c r="AD4" s="25"/>
      <c r="AE4" s="25"/>
      <c r="AF4" s="25"/>
      <c r="AG4" s="25"/>
      <c r="AH4" s="25"/>
      <c r="AI4" s="25"/>
    </row>
    <row r="5" spans="1:35" ht="19" x14ac:dyDescent="0.2">
      <c r="A5" s="26" t="s">
        <v>83</v>
      </c>
      <c r="B5" s="26"/>
      <c r="C5" s="26"/>
      <c r="D5" s="26"/>
      <c r="E5" s="26"/>
      <c r="F5" s="26"/>
      <c r="G5" s="26"/>
      <c r="H5" s="26"/>
      <c r="I5" s="26"/>
      <c r="J5" s="26"/>
      <c r="K5" s="26"/>
      <c r="M5" s="26" t="s">
        <v>124</v>
      </c>
      <c r="N5" s="26"/>
      <c r="O5" s="26"/>
      <c r="P5" s="26"/>
      <c r="Q5" s="26"/>
      <c r="R5" s="26"/>
      <c r="S5" s="26"/>
      <c r="T5" s="26"/>
      <c r="U5" s="26"/>
      <c r="V5" s="26"/>
      <c r="W5" s="26"/>
      <c r="Y5" s="26" t="s">
        <v>143</v>
      </c>
      <c r="Z5" s="27"/>
      <c r="AA5" s="28"/>
      <c r="AB5" s="28"/>
      <c r="AC5" s="28"/>
      <c r="AD5" s="28"/>
      <c r="AE5" s="28"/>
      <c r="AF5" s="28"/>
      <c r="AG5" s="28"/>
      <c r="AH5" s="28"/>
      <c r="AI5" s="28"/>
    </row>
    <row r="6" spans="1:35" x14ac:dyDescent="0.15">
      <c r="B6" s="12" t="s">
        <v>84</v>
      </c>
      <c r="C6" s="12">
        <v>179603.77400539213</v>
      </c>
      <c r="D6" s="12">
        <v>158105.02231551139</v>
      </c>
      <c r="E6" s="12">
        <v>141923.54122999078</v>
      </c>
      <c r="F6" s="12">
        <v>125338.67337585498</v>
      </c>
      <c r="G6" s="12">
        <v>109319.17110454802</v>
      </c>
      <c r="H6" s="12">
        <v>93987.574485020843</v>
      </c>
      <c r="I6" s="12">
        <v>81562.191605361179</v>
      </c>
      <c r="J6" s="12">
        <v>70989.837818774467</v>
      </c>
      <c r="K6" s="12">
        <v>64391.321490216127</v>
      </c>
      <c r="N6" s="12" t="s">
        <v>85</v>
      </c>
      <c r="O6" s="12">
        <v>49946.302777771947</v>
      </c>
      <c r="P6" s="12">
        <v>40079.046756984142</v>
      </c>
      <c r="Q6" s="12">
        <v>35331.593313805221</v>
      </c>
      <c r="R6" s="12">
        <v>32097.812838595586</v>
      </c>
      <c r="S6" s="12">
        <v>29083.810726385174</v>
      </c>
      <c r="T6" s="12">
        <v>26006.6947316472</v>
      </c>
      <c r="U6" s="12">
        <v>24197.704942558645</v>
      </c>
      <c r="V6" s="12">
        <v>22500.923406115868</v>
      </c>
      <c r="W6" s="12">
        <v>19951.987066649493</v>
      </c>
      <c r="Z6" s="12" t="s">
        <v>85</v>
      </c>
      <c r="AA6" s="12">
        <v>5732.9740746457464</v>
      </c>
      <c r="AB6" s="12">
        <v>2719.8347640362413</v>
      </c>
      <c r="AC6" s="12">
        <v>1278.3365420384359</v>
      </c>
      <c r="AD6" s="12">
        <v>702.59832882082299</v>
      </c>
      <c r="AE6" s="12">
        <v>335.91239774360469</v>
      </c>
      <c r="AF6" s="12">
        <v>191.53702322493763</v>
      </c>
      <c r="AG6" s="12">
        <v>61.811917064687648</v>
      </c>
      <c r="AH6" s="12">
        <v>33.065313972374852</v>
      </c>
      <c r="AI6" s="12">
        <v>24.079621212623248</v>
      </c>
    </row>
    <row r="7" spans="1:35" x14ac:dyDescent="0.15">
      <c r="B7" s="12" t="s">
        <v>85</v>
      </c>
      <c r="C7" s="12">
        <v>163853.62994548801</v>
      </c>
      <c r="D7" s="12">
        <v>100592.91215652415</v>
      </c>
      <c r="E7" s="12">
        <v>74047.871659653523</v>
      </c>
      <c r="F7" s="12">
        <v>56319.102197604021</v>
      </c>
      <c r="G7" s="12">
        <v>51673.549600324222</v>
      </c>
      <c r="H7" s="12">
        <v>51086.141754018259</v>
      </c>
      <c r="I7" s="12">
        <v>42880.627736086106</v>
      </c>
      <c r="J7" s="12">
        <v>38938.509464950039</v>
      </c>
      <c r="K7" s="12">
        <v>35428.147196183352</v>
      </c>
      <c r="N7" s="12" t="s">
        <v>84</v>
      </c>
      <c r="O7" s="12">
        <v>30537.346551679475</v>
      </c>
      <c r="P7" s="12">
        <v>34120.493952089906</v>
      </c>
      <c r="Q7" s="12">
        <v>34369.196955104024</v>
      </c>
      <c r="R7" s="12">
        <v>34398.067263051613</v>
      </c>
      <c r="S7" s="12">
        <v>34149.550914804182</v>
      </c>
      <c r="T7" s="12">
        <v>32893.845766906546</v>
      </c>
      <c r="U7" s="12">
        <v>31855.934058465627</v>
      </c>
      <c r="V7" s="12">
        <v>31070.389118787069</v>
      </c>
      <c r="W7" s="12">
        <v>29888.598634079066</v>
      </c>
      <c r="Z7" s="12" t="s">
        <v>144</v>
      </c>
      <c r="AA7" s="12">
        <v>13201.363486431212</v>
      </c>
      <c r="AB7" s="12">
        <v>8263.4069001882162</v>
      </c>
      <c r="AC7" s="12">
        <v>4686.468264224517</v>
      </c>
      <c r="AD7" s="12">
        <v>2948.6484754843732</v>
      </c>
      <c r="AE7" s="12">
        <v>1950.5785221439955</v>
      </c>
      <c r="AF7" s="12">
        <v>1358.2352285906532</v>
      </c>
      <c r="AG7" s="12">
        <v>856.26828061781578</v>
      </c>
      <c r="AH7" s="12">
        <v>612.015075955459</v>
      </c>
      <c r="AI7" s="12">
        <v>409.11830989471974</v>
      </c>
    </row>
    <row r="8" spans="1:35" x14ac:dyDescent="0.15">
      <c r="B8" s="12" t="s">
        <v>86</v>
      </c>
      <c r="C8" s="12">
        <v>121441.43859937201</v>
      </c>
      <c r="D8" s="12">
        <v>134318.44496602996</v>
      </c>
      <c r="E8" s="12">
        <v>128627.8786968661</v>
      </c>
      <c r="F8" s="12">
        <v>120507.11710280113</v>
      </c>
      <c r="G8" s="12">
        <v>100352.11282422053</v>
      </c>
      <c r="H8" s="12">
        <v>78747.799000076426</v>
      </c>
      <c r="I8" s="12">
        <v>67299.638095995033</v>
      </c>
      <c r="J8" s="12">
        <v>62067.742133347179</v>
      </c>
      <c r="K8" s="12">
        <v>63828.817854314097</v>
      </c>
      <c r="N8" s="12" t="s">
        <v>86</v>
      </c>
      <c r="O8" s="12">
        <v>29691.502980558045</v>
      </c>
      <c r="P8" s="12">
        <v>35006.972651681928</v>
      </c>
      <c r="Q8" s="12">
        <v>34390.703778053212</v>
      </c>
      <c r="R8" s="12">
        <v>34929.745011208972</v>
      </c>
      <c r="S8" s="12">
        <v>34827.850851228293</v>
      </c>
      <c r="T8" s="12">
        <v>35344.224779131851</v>
      </c>
      <c r="U8" s="12">
        <v>35425.145390755286</v>
      </c>
      <c r="V8" s="12">
        <v>36654.045941247896</v>
      </c>
      <c r="W8" s="12">
        <v>36105.933049225016</v>
      </c>
      <c r="Z8" s="12" t="s">
        <v>86</v>
      </c>
      <c r="AA8" s="12">
        <v>25829.907192627004</v>
      </c>
      <c r="AB8" s="12">
        <v>22151.219805273722</v>
      </c>
      <c r="AC8" s="12">
        <v>19080.72080161158</v>
      </c>
      <c r="AD8" s="12">
        <v>15680.278467218672</v>
      </c>
      <c r="AE8" s="12">
        <v>12826.655731771027</v>
      </c>
      <c r="AF8" s="12">
        <v>10285.225044296418</v>
      </c>
      <c r="AG8" s="12">
        <v>7813.8940764773342</v>
      </c>
      <c r="AH8" s="12">
        <v>6151.424211130432</v>
      </c>
      <c r="AI8" s="12">
        <v>5081.1182898165362</v>
      </c>
    </row>
    <row r="9" spans="1:35" x14ac:dyDescent="0.15">
      <c r="B9" s="12" t="s">
        <v>87</v>
      </c>
      <c r="C9" s="12">
        <v>27689.539085172</v>
      </c>
      <c r="D9" s="12">
        <v>39065.899645094338</v>
      </c>
      <c r="E9" s="12">
        <v>49870.737326783659</v>
      </c>
      <c r="F9" s="12">
        <v>57644.931537304554</v>
      </c>
      <c r="G9" s="12">
        <v>65406.038350813542</v>
      </c>
      <c r="H9" s="12">
        <v>72089.930907857677</v>
      </c>
      <c r="I9" s="12">
        <v>76388.700952805651</v>
      </c>
      <c r="J9" s="12">
        <v>81513.918958283859</v>
      </c>
      <c r="K9" s="12">
        <v>85505.458919396318</v>
      </c>
      <c r="N9" s="12" t="s">
        <v>37</v>
      </c>
      <c r="O9" s="12">
        <v>30134.40878709458</v>
      </c>
      <c r="P9" s="12">
        <v>33886.588709316646</v>
      </c>
      <c r="Q9" s="12">
        <v>34971.006074372832</v>
      </c>
      <c r="R9" s="12">
        <v>36122.988987739482</v>
      </c>
      <c r="S9" s="12">
        <v>37088.892573130943</v>
      </c>
      <c r="T9" s="12">
        <v>37824.207842900811</v>
      </c>
      <c r="U9" s="12">
        <v>39376.61204787196</v>
      </c>
      <c r="V9" s="12">
        <v>41728.927351580809</v>
      </c>
      <c r="W9" s="12">
        <v>45899.336458001962</v>
      </c>
      <c r="Z9" s="12" t="s">
        <v>37</v>
      </c>
      <c r="AA9" s="12">
        <v>38227.57410337028</v>
      </c>
      <c r="AB9" s="12">
        <v>46239.961885540601</v>
      </c>
      <c r="AC9" s="12">
        <v>50366.663927874208</v>
      </c>
      <c r="AD9" s="12">
        <v>54695.751306339487</v>
      </c>
      <c r="AE9" s="12">
        <v>58535.695640560152</v>
      </c>
      <c r="AF9" s="12">
        <v>61808.112683812607</v>
      </c>
      <c r="AG9" s="12">
        <v>64530.7600807747</v>
      </c>
      <c r="AH9" s="12">
        <v>67424.614118496596</v>
      </c>
      <c r="AI9" s="12">
        <v>70127.938064588234</v>
      </c>
    </row>
    <row r="10" spans="1:35" x14ac:dyDescent="0.15">
      <c r="B10" s="12" t="s">
        <v>88</v>
      </c>
      <c r="C10" s="12">
        <v>54727.207129212009</v>
      </c>
      <c r="D10" s="12">
        <v>82380.157066711836</v>
      </c>
      <c r="E10" s="12">
        <v>93078.876024711935</v>
      </c>
      <c r="F10" s="12">
        <v>105989.19637769531</v>
      </c>
      <c r="G10" s="12">
        <v>121153.95449008107</v>
      </c>
      <c r="H10" s="12">
        <v>133104.00443271748</v>
      </c>
      <c r="I10" s="12">
        <v>140815.41789151038</v>
      </c>
      <c r="J10" s="12">
        <v>146999.99893635249</v>
      </c>
      <c r="K10" s="12">
        <v>146999.99886866164</v>
      </c>
      <c r="N10" s="12" t="s">
        <v>101</v>
      </c>
      <c r="O10" s="12">
        <v>5164.3178118490941</v>
      </c>
      <c r="P10" s="12">
        <v>6730.8210251766714</v>
      </c>
      <c r="Q10" s="12">
        <v>6098.3552040426557</v>
      </c>
      <c r="R10" s="12">
        <v>5813.2419483112326</v>
      </c>
      <c r="S10" s="12">
        <v>5153.8711708120109</v>
      </c>
      <c r="T10" s="12">
        <v>5176.7613313841221</v>
      </c>
      <c r="U10" s="12">
        <v>5071.56735599273</v>
      </c>
      <c r="V10" s="12">
        <v>5407.5955465458919</v>
      </c>
      <c r="W10" s="12">
        <v>5936.6060405232474</v>
      </c>
      <c r="Z10" s="12" t="s">
        <v>145</v>
      </c>
      <c r="AA10" s="12">
        <v>33659.386818924388</v>
      </c>
      <c r="AB10" s="12">
        <v>36371.752682558435</v>
      </c>
      <c r="AC10" s="12">
        <v>36996.129746755701</v>
      </c>
      <c r="AD10" s="12">
        <v>37009.761714264947</v>
      </c>
      <c r="AE10" s="12">
        <v>36436.18972879478</v>
      </c>
      <c r="AF10" s="12">
        <v>35365.72554264919</v>
      </c>
      <c r="AG10" s="12">
        <v>34671.933750257311</v>
      </c>
      <c r="AH10" s="12">
        <v>33722.553678870478</v>
      </c>
      <c r="AI10" s="12">
        <v>32202.745332474646</v>
      </c>
    </row>
    <row r="11" spans="1:35" x14ac:dyDescent="0.15">
      <c r="B11" s="12" t="s">
        <v>89</v>
      </c>
      <c r="C11" s="12">
        <v>14023.472570784001</v>
      </c>
      <c r="D11" s="12">
        <v>18576.020365702014</v>
      </c>
      <c r="E11" s="12">
        <v>20572.070793485382</v>
      </c>
      <c r="F11" s="12">
        <v>21970.882770208471</v>
      </c>
      <c r="G11" s="12">
        <v>24291.142890585066</v>
      </c>
      <c r="H11" s="12">
        <v>26507.189908156266</v>
      </c>
      <c r="I11" s="12">
        <v>28676.454025313975</v>
      </c>
      <c r="J11" s="12">
        <v>30897.307699167817</v>
      </c>
      <c r="K11" s="12">
        <v>33101.084816834053</v>
      </c>
      <c r="N11" s="12" t="s">
        <v>105</v>
      </c>
      <c r="O11" s="12">
        <v>7866.212421809746</v>
      </c>
      <c r="P11" s="12">
        <v>9029.837151603786</v>
      </c>
      <c r="Q11" s="12">
        <v>10027.739627171903</v>
      </c>
      <c r="R11" s="12">
        <v>11260.206286427076</v>
      </c>
      <c r="S11" s="12">
        <v>12376.633480211078</v>
      </c>
      <c r="T11" s="12">
        <v>13608.072134029182</v>
      </c>
      <c r="U11" s="12">
        <v>14756.945514392482</v>
      </c>
      <c r="V11" s="12">
        <v>16607.95056482626</v>
      </c>
      <c r="W11" s="12">
        <v>18581.125961592934</v>
      </c>
      <c r="Z11" s="12" t="s">
        <v>146</v>
      </c>
      <c r="AA11" s="12">
        <v>6405.5025980053815</v>
      </c>
      <c r="AB11" s="12">
        <v>6815.343506578065</v>
      </c>
      <c r="AC11" s="12">
        <v>6731.9218633660057</v>
      </c>
      <c r="AD11" s="12">
        <v>6938.7930510402457</v>
      </c>
      <c r="AE11" s="12">
        <v>6987.3102623516843</v>
      </c>
      <c r="AF11" s="12">
        <v>6899.2940865999444</v>
      </c>
      <c r="AG11" s="12">
        <v>6775.090148683902</v>
      </c>
      <c r="AH11" s="12">
        <v>6535.1920998712194</v>
      </c>
      <c r="AI11" s="12">
        <v>6247.6777764148792</v>
      </c>
    </row>
    <row r="12" spans="1:35" ht="15" x14ac:dyDescent="0.2">
      <c r="B12" s="12" t="s">
        <v>90</v>
      </c>
      <c r="C12" s="12">
        <v>7768.6318090440009</v>
      </c>
      <c r="D12" s="12">
        <v>28913.488934721285</v>
      </c>
      <c r="E12" s="12">
        <v>46882.008978181555</v>
      </c>
      <c r="F12" s="12">
        <v>69105.656442669424</v>
      </c>
      <c r="G12" s="12">
        <v>92854.305207450074</v>
      </c>
      <c r="H12" s="12">
        <v>117033.93168384083</v>
      </c>
      <c r="I12" s="12">
        <v>143495.20570147157</v>
      </c>
      <c r="J12" s="12">
        <v>169180.43625405381</v>
      </c>
      <c r="K12" s="12">
        <v>194914.25686870076</v>
      </c>
      <c r="N12" s="12" t="s">
        <v>125</v>
      </c>
      <c r="O12" s="12">
        <v>247.15002343774793</v>
      </c>
      <c r="P12" s="12">
        <v>718.75426474885205</v>
      </c>
      <c r="Q12" s="12">
        <v>1130.8453258741556</v>
      </c>
      <c r="R12" s="12">
        <v>1746.1315083485626</v>
      </c>
      <c r="S12" s="12">
        <v>2274.1034526666531</v>
      </c>
      <c r="T12" s="12">
        <v>2485.936952462725</v>
      </c>
      <c r="U12" s="12">
        <v>3168.2130117855927</v>
      </c>
      <c r="V12" s="12">
        <v>3720.9706087174382</v>
      </c>
      <c r="W12" s="12">
        <v>3735.2099757811966</v>
      </c>
      <c r="Z12" s="13"/>
      <c r="AA12" s="13">
        <v>123056.70827400402</v>
      </c>
      <c r="AB12" s="13">
        <v>122561.51954417527</v>
      </c>
      <c r="AC12" s="13">
        <v>119140.24114587044</v>
      </c>
      <c r="AD12" s="13">
        <v>117975.83134316855</v>
      </c>
      <c r="AE12" s="13">
        <v>117072.34228336524</v>
      </c>
      <c r="AF12" s="13">
        <v>115908.12960917375</v>
      </c>
      <c r="AG12" s="13">
        <v>114709.75825387574</v>
      </c>
      <c r="AH12" s="13">
        <v>114478.86449829655</v>
      </c>
      <c r="AI12" s="13">
        <v>114092.67739440163</v>
      </c>
    </row>
    <row r="13" spans="1:35" ht="15" x14ac:dyDescent="0.2">
      <c r="B13" s="75" t="s">
        <v>91</v>
      </c>
      <c r="C13" s="75">
        <v>569107.69314446428</v>
      </c>
      <c r="D13" s="75">
        <v>561951.945450295</v>
      </c>
      <c r="E13" s="75">
        <v>555002.98470967286</v>
      </c>
      <c r="F13" s="75">
        <v>556875.5598041378</v>
      </c>
      <c r="G13" s="75">
        <v>565050.27446802252</v>
      </c>
      <c r="H13" s="75">
        <v>572556.57217168773</v>
      </c>
      <c r="I13" s="75">
        <v>581118.23600854387</v>
      </c>
      <c r="J13" s="75">
        <v>600587.75126492966</v>
      </c>
      <c r="K13" s="75">
        <v>624169.08601430641</v>
      </c>
      <c r="N13" s="12" t="s">
        <v>126</v>
      </c>
      <c r="O13" s="12">
        <v>33.201934504626685</v>
      </c>
      <c r="P13" s="12">
        <v>652.30879952783278</v>
      </c>
      <c r="Q13" s="12">
        <v>1415.9612513613486</v>
      </c>
      <c r="R13" s="12">
        <v>2139.2696889648942</v>
      </c>
      <c r="S13" s="12">
        <v>2760.621130991532</v>
      </c>
      <c r="T13" s="12">
        <v>3235.8000082356266</v>
      </c>
      <c r="U13" s="12">
        <v>3570.2357860563334</v>
      </c>
      <c r="V13" s="12">
        <v>4033.20738702792</v>
      </c>
      <c r="W13" s="12">
        <v>4366.1298161111981</v>
      </c>
      <c r="Y13" s="13"/>
      <c r="Z13" s="13"/>
      <c r="AA13" s="13"/>
      <c r="AB13" s="13"/>
      <c r="AC13" s="13"/>
      <c r="AD13" s="13"/>
      <c r="AE13" s="13"/>
      <c r="AF13" s="13"/>
      <c r="AG13" s="13"/>
      <c r="AH13" s="13"/>
      <c r="AI13" s="13"/>
    </row>
    <row r="14" spans="1:35" ht="19" x14ac:dyDescent="0.2">
      <c r="A14" s="14"/>
      <c r="B14" s="77" t="s">
        <v>92</v>
      </c>
      <c r="C14" s="76">
        <v>0</v>
      </c>
      <c r="D14" s="76">
        <v>72638.596727083932</v>
      </c>
      <c r="E14" s="76">
        <v>81055.745444729168</v>
      </c>
      <c r="F14" s="76">
        <v>91094.537175136036</v>
      </c>
      <c r="G14" s="76">
        <v>102401.50575039386</v>
      </c>
      <c r="H14" s="76">
        <v>111179.86346170551</v>
      </c>
      <c r="I14" s="76">
        <v>118084.03647381312</v>
      </c>
      <c r="J14" s="76">
        <v>121815.45562733291</v>
      </c>
      <c r="K14" s="76">
        <v>121714.14543753711</v>
      </c>
      <c r="N14" s="13" t="s">
        <v>91</v>
      </c>
      <c r="O14" s="13">
        <v>153620.44328870525</v>
      </c>
      <c r="P14" s="13">
        <v>160224.82331112976</v>
      </c>
      <c r="Q14" s="13">
        <v>157735.40152978536</v>
      </c>
      <c r="R14" s="13">
        <v>158507.46353264741</v>
      </c>
      <c r="S14" s="13">
        <v>157715.33430022991</v>
      </c>
      <c r="T14" s="13">
        <v>156575.54354669806</v>
      </c>
      <c r="U14" s="13">
        <v>157422.35810787865</v>
      </c>
      <c r="V14" s="13">
        <v>161724.00992484915</v>
      </c>
      <c r="W14" s="13">
        <v>164464.92700196413</v>
      </c>
      <c r="Y14" s="26" t="s">
        <v>147</v>
      </c>
      <c r="Z14" s="27"/>
      <c r="AA14" s="28"/>
      <c r="AB14" s="28"/>
      <c r="AC14" s="28"/>
      <c r="AD14" s="28"/>
      <c r="AE14" s="28"/>
      <c r="AF14" s="28"/>
      <c r="AG14" s="28"/>
      <c r="AH14" s="28"/>
      <c r="AI14" s="28"/>
    </row>
    <row r="15" spans="1:35" ht="15" x14ac:dyDescent="0.2">
      <c r="N15" s="13"/>
      <c r="O15" s="13"/>
      <c r="P15" s="13"/>
      <c r="Q15" s="13"/>
      <c r="R15" s="13"/>
      <c r="S15" s="13"/>
      <c r="T15" s="13"/>
      <c r="U15" s="13"/>
      <c r="V15" s="13"/>
      <c r="W15" s="13"/>
      <c r="Z15" s="12" t="s">
        <v>148</v>
      </c>
      <c r="AA15" s="12">
        <v>39376.451364462686</v>
      </c>
      <c r="AB15" s="12">
        <v>34744.867271040072</v>
      </c>
      <c r="AC15" s="12">
        <v>30980.00297363189</v>
      </c>
      <c r="AD15" s="12">
        <v>28523.684293476115</v>
      </c>
      <c r="AE15" s="12">
        <v>26366.298603309548</v>
      </c>
      <c r="AF15" s="12">
        <v>24134.347919935448</v>
      </c>
      <c r="AG15" s="12">
        <v>21894.168572226939</v>
      </c>
      <c r="AH15" s="12">
        <v>20128.93149615248</v>
      </c>
      <c r="AI15" s="12">
        <v>18577.079855947151</v>
      </c>
    </row>
    <row r="16" spans="1:35" ht="19" x14ac:dyDescent="0.15">
      <c r="A16" s="26" t="s">
        <v>93</v>
      </c>
      <c r="B16" s="26"/>
      <c r="C16" s="26"/>
      <c r="D16" s="26"/>
      <c r="E16" s="26"/>
      <c r="F16" s="26"/>
      <c r="G16" s="26"/>
      <c r="H16" s="26"/>
      <c r="I16" s="26"/>
      <c r="J16" s="26"/>
      <c r="K16" s="26"/>
      <c r="M16" s="26" t="s">
        <v>127</v>
      </c>
      <c r="N16" s="26"/>
      <c r="O16" s="26"/>
      <c r="P16" s="26"/>
      <c r="Q16" s="26"/>
      <c r="R16" s="26"/>
      <c r="S16" s="26"/>
      <c r="T16" s="26"/>
      <c r="U16" s="26"/>
      <c r="V16" s="26"/>
      <c r="W16" s="26"/>
      <c r="Z16" s="12" t="s">
        <v>149</v>
      </c>
      <c r="AA16" s="12">
        <v>23369.321842664805</v>
      </c>
      <c r="AB16" s="12">
        <v>23985.382290428897</v>
      </c>
      <c r="AC16" s="12">
        <v>23438.265582563665</v>
      </c>
      <c r="AD16" s="12">
        <v>22920.519053910029</v>
      </c>
      <c r="AE16" s="12">
        <v>22326.420801644985</v>
      </c>
      <c r="AF16" s="12">
        <v>21674.01941380573</v>
      </c>
      <c r="AG16" s="12">
        <v>20971.375457688155</v>
      </c>
      <c r="AH16" s="12">
        <v>20434.83590201076</v>
      </c>
      <c r="AI16" s="12">
        <v>19965.821569805121</v>
      </c>
    </row>
    <row r="17" spans="1:35" ht="17" x14ac:dyDescent="0.25">
      <c r="B17" s="12" t="s">
        <v>84</v>
      </c>
      <c r="C17" s="12">
        <v>11566.695216491995</v>
      </c>
      <c r="D17" s="12">
        <v>5397.9913091563003</v>
      </c>
      <c r="E17" s="12">
        <v>3666.7308514141396</v>
      </c>
      <c r="F17" s="12">
        <v>2497.7393353819152</v>
      </c>
      <c r="G17" s="12">
        <v>2056.9539158028738</v>
      </c>
      <c r="H17" s="12">
        <v>1524.4951491731758</v>
      </c>
      <c r="I17" s="12">
        <v>870.87275390239427</v>
      </c>
      <c r="J17" s="12">
        <v>510.16572019299753</v>
      </c>
      <c r="K17" s="12">
        <v>164.01783775704666</v>
      </c>
      <c r="N17" s="22" t="s">
        <v>128</v>
      </c>
      <c r="O17" s="12">
        <v>8461.7487668994509</v>
      </c>
      <c r="P17" s="12">
        <v>7041.1857051212883</v>
      </c>
      <c r="Q17" s="12">
        <v>6074.915193660494</v>
      </c>
      <c r="R17" s="12">
        <v>5304.0066346089234</v>
      </c>
      <c r="S17" s="12">
        <v>4648.7828991461884</v>
      </c>
      <c r="T17" s="12">
        <v>4044.969272294848</v>
      </c>
      <c r="U17" s="12">
        <v>3258.488235107061</v>
      </c>
      <c r="V17" s="12">
        <v>2738.835947721579</v>
      </c>
      <c r="W17" s="12">
        <v>2105.7667289193828</v>
      </c>
      <c r="Z17" s="12" t="s">
        <v>150</v>
      </c>
      <c r="AA17" s="12">
        <v>5978.2297291768064</v>
      </c>
      <c r="AB17" s="12">
        <v>6553.6245393568261</v>
      </c>
      <c r="AC17" s="12">
        <v>7148.7740555589853</v>
      </c>
      <c r="AD17" s="12">
        <v>8061.6456015328531</v>
      </c>
      <c r="AE17" s="12">
        <v>8893.2462333425465</v>
      </c>
      <c r="AF17" s="12">
        <v>9646.7527177361244</v>
      </c>
      <c r="AG17" s="12">
        <v>10268.619774890549</v>
      </c>
      <c r="AH17" s="12">
        <v>11039.180546465317</v>
      </c>
      <c r="AI17" s="12">
        <v>11687.023688596655</v>
      </c>
    </row>
    <row r="18" spans="1:35" ht="17" x14ac:dyDescent="0.25">
      <c r="B18" s="12" t="s">
        <v>85</v>
      </c>
      <c r="C18" s="12">
        <v>100697.11847513999</v>
      </c>
      <c r="D18" s="12">
        <v>54663.599171128633</v>
      </c>
      <c r="E18" s="12">
        <v>35330.597633698751</v>
      </c>
      <c r="F18" s="12">
        <v>21444.537718704662</v>
      </c>
      <c r="G18" s="12">
        <v>20065.064632802791</v>
      </c>
      <c r="H18" s="12">
        <v>22523.178595471443</v>
      </c>
      <c r="I18" s="12">
        <v>16863.994996949135</v>
      </c>
      <c r="J18" s="12">
        <v>14752.428238368826</v>
      </c>
      <c r="K18" s="12">
        <v>13894.590249876381</v>
      </c>
      <c r="N18" s="22" t="s">
        <v>129</v>
      </c>
      <c r="O18" s="12">
        <v>0</v>
      </c>
      <c r="P18" s="12">
        <v>763.9437178725525</v>
      </c>
      <c r="Q18" s="12">
        <v>1325.7685955650561</v>
      </c>
      <c r="R18" s="12">
        <v>1871.0643202088663</v>
      </c>
      <c r="S18" s="12">
        <v>2349.3811610807911</v>
      </c>
      <c r="T18" s="12">
        <v>2676.1491166816027</v>
      </c>
      <c r="U18" s="12">
        <v>3234.0115639148007</v>
      </c>
      <c r="V18" s="12">
        <v>3540.5909696556878</v>
      </c>
      <c r="W18" s="12">
        <v>3845.0039223878016</v>
      </c>
      <c r="Z18" s="12" t="s">
        <v>151</v>
      </c>
      <c r="AA18" s="12">
        <v>7773.0870453688476</v>
      </c>
      <c r="AB18" s="12">
        <v>6700.8810746126319</v>
      </c>
      <c r="AC18" s="12">
        <v>6213.4761518166761</v>
      </c>
      <c r="AD18" s="12">
        <v>6339.7579772551162</v>
      </c>
      <c r="AE18" s="12">
        <v>6455.6677648362365</v>
      </c>
      <c r="AF18" s="12">
        <v>6515.7955973221096</v>
      </c>
      <c r="AG18" s="12">
        <v>6511.1059140616371</v>
      </c>
      <c r="AH18" s="12">
        <v>6635.0705250781102</v>
      </c>
      <c r="AI18" s="12">
        <v>6708.4779123977378</v>
      </c>
    </row>
    <row r="19" spans="1:35" x14ac:dyDescent="0.15">
      <c r="B19" s="12" t="s">
        <v>86</v>
      </c>
      <c r="C19" s="12">
        <v>48458.714105736006</v>
      </c>
      <c r="D19" s="12">
        <v>60194.747655953484</v>
      </c>
      <c r="E19" s="12">
        <v>60884.177961891277</v>
      </c>
      <c r="F19" s="12">
        <v>58870.461554645866</v>
      </c>
      <c r="G19" s="12">
        <v>44564.11082381395</v>
      </c>
      <c r="H19" s="12">
        <v>27258.10613163601</v>
      </c>
      <c r="I19" s="12">
        <v>19232.994299719387</v>
      </c>
      <c r="J19" s="12">
        <v>15301.326027670253</v>
      </c>
      <c r="K19" s="12">
        <v>18489.732175031975</v>
      </c>
      <c r="Z19" s="12" t="s">
        <v>152</v>
      </c>
      <c r="AA19" s="12">
        <v>19556.708706453806</v>
      </c>
      <c r="AB19" s="12">
        <v>22436.088205215478</v>
      </c>
      <c r="AC19" s="12">
        <v>23950.843730522778</v>
      </c>
      <c r="AD19" s="12">
        <v>25862.858099615045</v>
      </c>
      <c r="AE19" s="12">
        <v>27845.681856504743</v>
      </c>
      <c r="AF19" s="12">
        <v>29892.33747184938</v>
      </c>
      <c r="AG19" s="12">
        <v>31930.307461797369</v>
      </c>
      <c r="AH19" s="12">
        <v>34062.465047942293</v>
      </c>
      <c r="AI19" s="12">
        <v>36191.770137116415</v>
      </c>
    </row>
    <row r="20" spans="1:35" ht="19" x14ac:dyDescent="0.15">
      <c r="B20" s="12" t="s">
        <v>87</v>
      </c>
      <c r="C20" s="12">
        <v>27689.539085172</v>
      </c>
      <c r="D20" s="12">
        <v>39065.899644791309</v>
      </c>
      <c r="E20" s="12">
        <v>49870.737326783739</v>
      </c>
      <c r="F20" s="12">
        <v>57644.93145805948</v>
      </c>
      <c r="G20" s="12">
        <v>65406.038334146782</v>
      </c>
      <c r="H20" s="12">
        <v>72089.930868582233</v>
      </c>
      <c r="I20" s="12">
        <v>76388.700919887531</v>
      </c>
      <c r="J20" s="12">
        <v>81513.918950507636</v>
      </c>
      <c r="K20" s="12">
        <v>85505.458901258055</v>
      </c>
      <c r="M20" s="26" t="s">
        <v>130</v>
      </c>
      <c r="N20" s="26"/>
      <c r="O20" s="26"/>
      <c r="P20" s="26"/>
      <c r="Q20" s="26"/>
      <c r="R20" s="26"/>
      <c r="S20" s="26"/>
      <c r="T20" s="26"/>
      <c r="U20" s="26"/>
      <c r="V20" s="26"/>
      <c r="W20" s="26"/>
      <c r="Z20" s="12" t="s">
        <v>153</v>
      </c>
      <c r="AA20" s="12">
        <v>27002.90958587706</v>
      </c>
      <c r="AB20" s="12">
        <v>28140.676163521377</v>
      </c>
      <c r="AC20" s="12">
        <v>27408.878651776453</v>
      </c>
      <c r="AD20" s="12">
        <v>26267.36631737939</v>
      </c>
      <c r="AE20" s="12">
        <v>25185.027023727172</v>
      </c>
      <c r="AF20" s="12">
        <v>24044.876488524955</v>
      </c>
      <c r="AG20" s="12">
        <v>23134.181073211104</v>
      </c>
      <c r="AH20" s="12">
        <v>22178.380980647584</v>
      </c>
      <c r="AI20" s="12">
        <v>20962.50423053855</v>
      </c>
    </row>
    <row r="21" spans="1:35" ht="15" x14ac:dyDescent="0.2">
      <c r="B21" s="12" t="s">
        <v>88</v>
      </c>
      <c r="C21" s="12">
        <v>9116.1306128519991</v>
      </c>
      <c r="D21" s="12">
        <v>19978.654042250084</v>
      </c>
      <c r="E21" s="12">
        <v>24609.972594196828</v>
      </c>
      <c r="F21" s="12">
        <v>30299.429991934638</v>
      </c>
      <c r="G21" s="12">
        <v>35816.9936207344</v>
      </c>
      <c r="H21" s="12">
        <v>39595.794565959302</v>
      </c>
      <c r="I21" s="12">
        <v>42880.694987679788</v>
      </c>
      <c r="J21" s="12">
        <v>43823.772907829363</v>
      </c>
      <c r="K21" s="12">
        <v>41428.075233819327</v>
      </c>
      <c r="N21" s="12" t="s">
        <v>85</v>
      </c>
      <c r="O21" s="12">
        <v>6810.7939294044772</v>
      </c>
      <c r="P21" s="12">
        <v>7024.5288275592229</v>
      </c>
      <c r="Q21" s="12">
        <v>6380.3320317820171</v>
      </c>
      <c r="R21" s="12">
        <v>5720.8378059609104</v>
      </c>
      <c r="S21" s="12">
        <v>5331.3090721551716</v>
      </c>
      <c r="T21" s="12">
        <v>4810.2751576759847</v>
      </c>
      <c r="U21" s="12">
        <v>4277.8811998095707</v>
      </c>
      <c r="V21" s="12">
        <v>3948.8594798081458</v>
      </c>
      <c r="W21" s="12">
        <v>3608.8537924160369</v>
      </c>
      <c r="Z21" s="13"/>
      <c r="AA21" s="13">
        <v>123056.70827400401</v>
      </c>
      <c r="AB21" s="13">
        <v>122561.51954417527</v>
      </c>
      <c r="AC21" s="13">
        <v>119140.24114587046</v>
      </c>
      <c r="AD21" s="13">
        <v>117975.83134316854</v>
      </c>
      <c r="AE21" s="13">
        <v>117072.34228336524</v>
      </c>
      <c r="AF21" s="13">
        <v>115908.12960917375</v>
      </c>
      <c r="AG21" s="13">
        <v>114709.75825387574</v>
      </c>
      <c r="AH21" s="13">
        <v>114478.86449829655</v>
      </c>
      <c r="AI21" s="13">
        <v>114092.67739440163</v>
      </c>
    </row>
    <row r="22" spans="1:35" ht="15" x14ac:dyDescent="0.2">
      <c r="B22" s="12" t="s">
        <v>89</v>
      </c>
      <c r="C22" s="12">
        <v>14023.472570784001</v>
      </c>
      <c r="D22" s="12">
        <v>19296.910631776769</v>
      </c>
      <c r="E22" s="12">
        <v>21317.904224767342</v>
      </c>
      <c r="F22" s="12">
        <v>22804.372756356937</v>
      </c>
      <c r="G22" s="12">
        <v>25427.732704949289</v>
      </c>
      <c r="H22" s="12">
        <v>30571.543836531353</v>
      </c>
      <c r="I22" s="12">
        <v>35576.626057029804</v>
      </c>
      <c r="J22" s="12">
        <v>40183.324907553048</v>
      </c>
      <c r="K22" s="12">
        <v>44635.401574180563</v>
      </c>
      <c r="N22" s="12" t="s">
        <v>84</v>
      </c>
      <c r="O22" s="12">
        <v>1123.5748910229077</v>
      </c>
      <c r="P22" s="12">
        <v>1130.5076490546937</v>
      </c>
      <c r="Q22" s="12">
        <v>1115.142800182492</v>
      </c>
      <c r="R22" s="12">
        <v>1093.2811070803969</v>
      </c>
      <c r="S22" s="12">
        <v>1024.1153431825496</v>
      </c>
      <c r="T22" s="12">
        <v>919.60900093508008</v>
      </c>
      <c r="U22" s="12">
        <v>823.1517753975487</v>
      </c>
      <c r="V22" s="12">
        <v>837.49160346683527</v>
      </c>
      <c r="W22" s="12">
        <v>857.04892867602769</v>
      </c>
      <c r="Z22" s="13"/>
      <c r="AA22" s="13"/>
      <c r="AB22" s="13"/>
      <c r="AC22" s="13"/>
      <c r="AD22" s="13"/>
      <c r="AE22" s="13"/>
      <c r="AF22" s="13"/>
      <c r="AG22" s="13"/>
      <c r="AH22" s="13"/>
      <c r="AI22" s="13"/>
    </row>
    <row r="23" spans="1:35" ht="19" x14ac:dyDescent="0.15">
      <c r="B23" s="12" t="s">
        <v>94</v>
      </c>
      <c r="C23" s="12">
        <v>2650.8275793719999</v>
      </c>
      <c r="D23" s="12">
        <v>7966.4818080856376</v>
      </c>
      <c r="E23" s="12">
        <v>12230.906755213111</v>
      </c>
      <c r="F23" s="12">
        <v>17553.823698789729</v>
      </c>
      <c r="G23" s="12">
        <v>23433.488978511203</v>
      </c>
      <c r="H23" s="12">
        <v>29926.133085380483</v>
      </c>
      <c r="I23" s="12">
        <v>36569.679203808548</v>
      </c>
      <c r="J23" s="12">
        <v>43245.95582536039</v>
      </c>
      <c r="K23" s="12">
        <v>49679.959742879189</v>
      </c>
      <c r="N23" s="12" t="s">
        <v>86</v>
      </c>
      <c r="O23" s="12">
        <v>923.16719500969077</v>
      </c>
      <c r="P23" s="12">
        <v>1196.180071119456</v>
      </c>
      <c r="Q23" s="12">
        <v>1302.2573459070209</v>
      </c>
      <c r="R23" s="12">
        <v>1354.8386395284897</v>
      </c>
      <c r="S23" s="12">
        <v>1621.8187837557036</v>
      </c>
      <c r="T23" s="12">
        <v>1778.7434642034186</v>
      </c>
      <c r="U23" s="12">
        <v>2286.7528628433838</v>
      </c>
      <c r="V23" s="12">
        <v>3034.8725179581279</v>
      </c>
      <c r="W23" s="12">
        <v>3893.2602190266457</v>
      </c>
      <c r="Y23" s="26" t="s">
        <v>154</v>
      </c>
      <c r="Z23" s="26"/>
      <c r="AA23" s="26"/>
      <c r="AB23" s="26"/>
      <c r="AC23" s="26"/>
      <c r="AD23" s="26"/>
      <c r="AE23" s="26"/>
      <c r="AF23" s="26"/>
      <c r="AG23" s="26"/>
      <c r="AH23" s="26"/>
      <c r="AI23" s="26"/>
    </row>
    <row r="24" spans="1:35" x14ac:dyDescent="0.15">
      <c r="B24" s="12" t="s">
        <v>95</v>
      </c>
      <c r="C24" s="12">
        <v>2582.2556496000002</v>
      </c>
      <c r="D24" s="12">
        <v>10030.923577103633</v>
      </c>
      <c r="E24" s="12">
        <v>15059.979408790179</v>
      </c>
      <c r="F24" s="12">
        <v>19494.3726472034</v>
      </c>
      <c r="G24" s="12">
        <v>23508.001053271171</v>
      </c>
      <c r="H24" s="12">
        <v>26953.256844534866</v>
      </c>
      <c r="I24" s="12">
        <v>31148.880289536952</v>
      </c>
      <c r="J24" s="12">
        <v>34706.129215948655</v>
      </c>
      <c r="K24" s="12">
        <v>38006.621965009996</v>
      </c>
      <c r="N24" s="12" t="s">
        <v>37</v>
      </c>
      <c r="O24" s="12">
        <v>1275.1759529988908</v>
      </c>
      <c r="P24" s="12">
        <v>1510.5856378617225</v>
      </c>
      <c r="Q24" s="12">
        <v>1589.9597119287432</v>
      </c>
      <c r="R24" s="12">
        <v>1669.1449333464464</v>
      </c>
      <c r="S24" s="12">
        <v>1875.0412722426395</v>
      </c>
      <c r="T24" s="12">
        <v>1948.9658747677618</v>
      </c>
      <c r="U24" s="12">
        <v>2165.8698197274689</v>
      </c>
      <c r="V24" s="12">
        <v>2326.962340729111</v>
      </c>
      <c r="W24" s="12">
        <v>2507.1380712498731</v>
      </c>
      <c r="Z24" s="12" t="s">
        <v>85</v>
      </c>
      <c r="AA24" s="12">
        <v>542.38865103852959</v>
      </c>
      <c r="AB24" s="12">
        <v>257.3197592567991</v>
      </c>
      <c r="AC24" s="12">
        <v>120.94163057109759</v>
      </c>
      <c r="AD24" s="12">
        <v>66.471844252077716</v>
      </c>
      <c r="AE24" s="12">
        <v>31.7802016731656</v>
      </c>
      <c r="AF24" s="12">
        <v>18.121049615478835</v>
      </c>
      <c r="AG24" s="12">
        <v>5.8479389368062078</v>
      </c>
      <c r="AH24" s="12">
        <v>3.1282630634868234</v>
      </c>
      <c r="AI24" s="12">
        <v>2.2781392514565879</v>
      </c>
    </row>
    <row r="25" spans="1:35" x14ac:dyDescent="0.15">
      <c r="B25" s="12" t="s">
        <v>96</v>
      </c>
      <c r="C25" s="12">
        <v>683.00331847200005</v>
      </c>
      <c r="D25" s="12">
        <v>3414.1632945628371</v>
      </c>
      <c r="E25" s="12">
        <v>5468.0809642723316</v>
      </c>
      <c r="F25" s="12">
        <v>8636.5776267257897</v>
      </c>
      <c r="G25" s="12">
        <v>12563.758332104517</v>
      </c>
      <c r="H25" s="12">
        <v>17305.965431215503</v>
      </c>
      <c r="I25" s="12">
        <v>21950.582584086034</v>
      </c>
      <c r="J25" s="12">
        <v>27407.379213928532</v>
      </c>
      <c r="K25" s="12">
        <v>33140.431960223374</v>
      </c>
      <c r="N25" s="12" t="s">
        <v>101</v>
      </c>
      <c r="O25" s="12">
        <v>2.72244541120065E-2</v>
      </c>
      <c r="P25" s="12">
        <v>1.8413488967691159E-2</v>
      </c>
      <c r="Q25" s="12">
        <v>1.4123635098713188E-2</v>
      </c>
      <c r="R25" s="12">
        <v>1.0211444380876414E-2</v>
      </c>
      <c r="S25" s="12">
        <v>6.446619996325351E-3</v>
      </c>
      <c r="T25" s="12">
        <v>3.0103598381605681E-3</v>
      </c>
      <c r="U25" s="12">
        <v>0</v>
      </c>
      <c r="V25" s="12">
        <v>0</v>
      </c>
      <c r="W25" s="12">
        <v>0</v>
      </c>
      <c r="Z25" s="12" t="s">
        <v>144</v>
      </c>
      <c r="AA25" s="12">
        <v>899.03700090450707</v>
      </c>
      <c r="AB25" s="12">
        <v>554.4076615058691</v>
      </c>
      <c r="AC25" s="12">
        <v>310.44206959554629</v>
      </c>
      <c r="AD25" s="12">
        <v>195.21860235134335</v>
      </c>
      <c r="AE25" s="12">
        <v>129.16906342672783</v>
      </c>
      <c r="AF25" s="12">
        <v>89.70590430162062</v>
      </c>
      <c r="AG25" s="12">
        <v>55.98276331841344</v>
      </c>
      <c r="AH25" s="12">
        <v>40.08474258439621</v>
      </c>
      <c r="AI25" s="12">
        <v>26.709022939060134</v>
      </c>
    </row>
    <row r="26" spans="1:35" x14ac:dyDescent="0.15">
      <c r="B26" s="12" t="s">
        <v>97</v>
      </c>
      <c r="C26" s="12">
        <v>117.45845499600001</v>
      </c>
      <c r="D26" s="12">
        <v>2951.7282727135562</v>
      </c>
      <c r="E26" s="12">
        <v>7156.3983358544283</v>
      </c>
      <c r="F26" s="12">
        <v>14153.602814026244</v>
      </c>
      <c r="G26" s="12">
        <v>22018.204778529565</v>
      </c>
      <c r="H26" s="12">
        <v>29379.304731365424</v>
      </c>
      <c r="I26" s="12">
        <v>37871.341911550531</v>
      </c>
      <c r="J26" s="12">
        <v>45292.790493109118</v>
      </c>
      <c r="K26" s="12">
        <v>53133.004366555921</v>
      </c>
      <c r="N26" s="12" t="s">
        <v>105</v>
      </c>
      <c r="O26" s="12">
        <v>187.7723220968364</v>
      </c>
      <c r="P26" s="12">
        <v>349.57001916344308</v>
      </c>
      <c r="Q26" s="12">
        <v>506.20743259826725</v>
      </c>
      <c r="R26" s="12">
        <v>694.7196004293869</v>
      </c>
      <c r="S26" s="12">
        <v>849.87488932342762</v>
      </c>
      <c r="T26" s="12">
        <v>1018.252349298563</v>
      </c>
      <c r="U26" s="12">
        <v>1184.4400885147463</v>
      </c>
      <c r="V26" s="12">
        <v>1329.6113426405109</v>
      </c>
      <c r="W26" s="12">
        <v>1427.7541266236117</v>
      </c>
      <c r="Z26" s="12" t="s">
        <v>86</v>
      </c>
      <c r="AA26" s="12">
        <v>1449.1895260330573</v>
      </c>
      <c r="AB26" s="12">
        <v>1242.7964022968627</v>
      </c>
      <c r="AC26" s="12">
        <v>1070.5257486464977</v>
      </c>
      <c r="AD26" s="12">
        <v>879.74359143115032</v>
      </c>
      <c r="AE26" s="12">
        <v>719.64080249658662</v>
      </c>
      <c r="AF26" s="12">
        <v>577.05357963275492</v>
      </c>
      <c r="AG26" s="12">
        <v>438.39930855016848</v>
      </c>
      <c r="AH26" s="12">
        <v>345.12627050789399</v>
      </c>
      <c r="AI26" s="12">
        <v>285.07664976198572</v>
      </c>
    </row>
    <row r="27" spans="1:35" x14ac:dyDescent="0.15">
      <c r="B27" s="12" t="s">
        <v>98</v>
      </c>
      <c r="C27" s="12">
        <v>3.5970473520000001</v>
      </c>
      <c r="D27" s="12">
        <v>26.269403473908937</v>
      </c>
      <c r="E27" s="12">
        <v>74.787706979799111</v>
      </c>
      <c r="F27" s="12">
        <v>213.43552449149635</v>
      </c>
      <c r="G27" s="12">
        <v>470.41153460536668</v>
      </c>
      <c r="H27" s="12">
        <v>1030.4661907661409</v>
      </c>
      <c r="I27" s="12">
        <v>2036.3099223272766</v>
      </c>
      <c r="J27" s="12">
        <v>3035.7997306833995</v>
      </c>
      <c r="K27" s="12">
        <v>3780.116136674716</v>
      </c>
      <c r="N27" s="12" t="s">
        <v>125</v>
      </c>
      <c r="O27" s="12">
        <v>312.86513096742624</v>
      </c>
      <c r="P27" s="12">
        <v>563.1222997945373</v>
      </c>
      <c r="Q27" s="12">
        <v>808.18817358185981</v>
      </c>
      <c r="R27" s="12">
        <v>1039.0235290871638</v>
      </c>
      <c r="S27" s="12">
        <v>1258.8012951970009</v>
      </c>
      <c r="T27" s="12">
        <v>1472.7228204892976</v>
      </c>
      <c r="U27" s="12">
        <v>1648.4262151982634</v>
      </c>
      <c r="V27" s="12">
        <v>1806.343006615788</v>
      </c>
      <c r="W27" s="12">
        <v>1762.8790912231646</v>
      </c>
      <c r="Z27" s="12" t="s">
        <v>37</v>
      </c>
      <c r="AA27" s="12">
        <v>0</v>
      </c>
      <c r="AB27" s="12">
        <v>0</v>
      </c>
      <c r="AC27" s="12">
        <v>0</v>
      </c>
      <c r="AD27" s="12">
        <v>0</v>
      </c>
      <c r="AE27" s="12">
        <v>0</v>
      </c>
      <c r="AF27" s="12">
        <v>0</v>
      </c>
      <c r="AG27" s="12">
        <v>0</v>
      </c>
      <c r="AH27" s="12">
        <v>0</v>
      </c>
      <c r="AI27" s="12">
        <v>0</v>
      </c>
    </row>
    <row r="28" spans="1:35" x14ac:dyDescent="0.15">
      <c r="B28" s="12" t="s">
        <v>99</v>
      </c>
      <c r="C28" s="12">
        <v>0</v>
      </c>
      <c r="D28" s="12">
        <v>0</v>
      </c>
      <c r="E28" s="12">
        <v>0</v>
      </c>
      <c r="F28" s="12">
        <v>0</v>
      </c>
      <c r="G28" s="12">
        <v>0</v>
      </c>
      <c r="H28" s="12">
        <v>0</v>
      </c>
      <c r="I28" s="12">
        <v>0</v>
      </c>
      <c r="J28" s="12">
        <v>0</v>
      </c>
      <c r="K28" s="12">
        <v>0</v>
      </c>
      <c r="N28" s="12" t="s">
        <v>126</v>
      </c>
      <c r="O28" s="12">
        <v>0</v>
      </c>
      <c r="P28" s="12">
        <v>0</v>
      </c>
      <c r="Q28" s="12">
        <v>0</v>
      </c>
      <c r="R28" s="12">
        <v>0</v>
      </c>
      <c r="S28" s="12">
        <v>0</v>
      </c>
      <c r="T28" s="12">
        <v>0</v>
      </c>
      <c r="U28" s="12">
        <v>0</v>
      </c>
      <c r="V28" s="12">
        <v>0</v>
      </c>
      <c r="W28" s="12">
        <v>0</v>
      </c>
      <c r="Z28" s="12" t="s">
        <v>145</v>
      </c>
      <c r="AA28" s="12">
        <v>0</v>
      </c>
      <c r="AB28" s="12">
        <v>0</v>
      </c>
      <c r="AC28" s="12">
        <v>0</v>
      </c>
      <c r="AD28" s="12">
        <v>0</v>
      </c>
      <c r="AE28" s="12">
        <v>0</v>
      </c>
      <c r="AF28" s="12">
        <v>0</v>
      </c>
      <c r="AG28" s="12">
        <v>0</v>
      </c>
      <c r="AH28" s="12">
        <v>0</v>
      </c>
      <c r="AI28" s="12">
        <v>0</v>
      </c>
    </row>
    <row r="29" spans="1:35" ht="15" x14ac:dyDescent="0.2">
      <c r="B29" s="12" t="s">
        <v>90</v>
      </c>
      <c r="C29" s="12">
        <v>10.725241824000001</v>
      </c>
      <c r="D29" s="12">
        <v>0</v>
      </c>
      <c r="E29" s="12">
        <v>0</v>
      </c>
      <c r="F29" s="12">
        <v>0</v>
      </c>
      <c r="G29" s="12">
        <v>0</v>
      </c>
      <c r="H29" s="12">
        <v>0</v>
      </c>
      <c r="I29" s="12">
        <v>0</v>
      </c>
      <c r="J29" s="12">
        <v>0</v>
      </c>
      <c r="K29" s="12">
        <v>0</v>
      </c>
      <c r="N29" s="13" t="s">
        <v>91</v>
      </c>
      <c r="O29" s="13">
        <v>10633.37664595434</v>
      </c>
      <c r="P29" s="13">
        <v>11774.512918042043</v>
      </c>
      <c r="Q29" s="13">
        <v>11702.1016196155</v>
      </c>
      <c r="R29" s="13">
        <v>11571.855826877178</v>
      </c>
      <c r="S29" s="13">
        <v>11960.96710247649</v>
      </c>
      <c r="T29" s="13">
        <v>11948.571677729946</v>
      </c>
      <c r="U29" s="13">
        <v>12386.521961490982</v>
      </c>
      <c r="V29" s="13">
        <v>13284.140291218519</v>
      </c>
      <c r="W29" s="13">
        <v>14056.934229215361</v>
      </c>
      <c r="Z29" s="12" t="s">
        <v>146</v>
      </c>
      <c r="AA29" s="12">
        <v>0</v>
      </c>
      <c r="AB29" s="12">
        <v>0</v>
      </c>
      <c r="AC29" s="12">
        <v>0</v>
      </c>
      <c r="AD29" s="12">
        <v>0</v>
      </c>
      <c r="AE29" s="12">
        <v>0</v>
      </c>
      <c r="AF29" s="12">
        <v>0</v>
      </c>
      <c r="AG29" s="12">
        <v>0</v>
      </c>
      <c r="AH29" s="12">
        <v>0</v>
      </c>
      <c r="AI29" s="12">
        <v>0</v>
      </c>
    </row>
    <row r="30" spans="1:35" ht="15" x14ac:dyDescent="0.2">
      <c r="A30" s="13"/>
      <c r="B30" s="13" t="s">
        <v>91</v>
      </c>
      <c r="C30" s="13">
        <v>217599.537357792</v>
      </c>
      <c r="D30" s="13">
        <v>222987.36881099609</v>
      </c>
      <c r="E30" s="13">
        <v>235670.27376386194</v>
      </c>
      <c r="F30" s="13">
        <v>253613.28512632012</v>
      </c>
      <c r="G30" s="13">
        <v>275330.7587092719</v>
      </c>
      <c r="H30" s="13">
        <v>298158.1754306159</v>
      </c>
      <c r="I30" s="13">
        <v>321390.67792647745</v>
      </c>
      <c r="J30" s="13">
        <v>349772.99123115215</v>
      </c>
      <c r="K30" s="13">
        <v>381857.41014326661</v>
      </c>
      <c r="O30" s="23"/>
      <c r="P30" s="23"/>
      <c r="Q30" s="23"/>
      <c r="R30" s="23"/>
      <c r="S30" s="23"/>
      <c r="T30" s="23"/>
      <c r="U30" s="23"/>
      <c r="V30" s="23"/>
      <c r="W30" s="23"/>
      <c r="Z30" s="13"/>
      <c r="AA30" s="13">
        <v>2890.6151779760939</v>
      </c>
      <c r="AB30" s="13">
        <v>2054.523823059531</v>
      </c>
      <c r="AC30" s="13">
        <v>1501.9094488131416</v>
      </c>
      <c r="AD30" s="13">
        <v>1141.4340380345714</v>
      </c>
      <c r="AE30" s="13">
        <v>880.59006759648003</v>
      </c>
      <c r="AF30" s="13">
        <v>684.88053354985436</v>
      </c>
      <c r="AG30" s="13">
        <v>500.23001080538813</v>
      </c>
      <c r="AH30" s="13">
        <v>388.33927615577704</v>
      </c>
      <c r="AI30" s="13">
        <v>314.06381195250242</v>
      </c>
    </row>
    <row r="31" spans="1:35" ht="19" x14ac:dyDescent="0.2">
      <c r="M31" s="26" t="s">
        <v>131</v>
      </c>
      <c r="N31" s="26"/>
      <c r="O31" s="26"/>
      <c r="P31" s="26"/>
      <c r="Q31" s="26"/>
      <c r="R31" s="26"/>
      <c r="S31" s="26"/>
      <c r="T31" s="26"/>
      <c r="U31" s="26"/>
      <c r="V31" s="26"/>
      <c r="W31" s="26"/>
      <c r="Z31" s="13"/>
      <c r="AA31" s="13"/>
      <c r="AB31" s="13"/>
      <c r="AC31" s="13"/>
      <c r="AD31" s="13"/>
      <c r="AE31" s="13"/>
      <c r="AF31" s="13"/>
      <c r="AG31" s="13"/>
      <c r="AH31" s="13"/>
      <c r="AI31" s="13"/>
    </row>
    <row r="32" spans="1:35" ht="19" x14ac:dyDescent="0.15">
      <c r="A32" s="26" t="s">
        <v>100</v>
      </c>
      <c r="B32" s="26"/>
      <c r="C32" s="26"/>
      <c r="D32" s="26"/>
      <c r="E32" s="26"/>
      <c r="F32" s="26"/>
      <c r="G32" s="26"/>
      <c r="H32" s="26"/>
      <c r="I32" s="26"/>
      <c r="J32" s="26"/>
      <c r="K32" s="26"/>
      <c r="N32" s="12" t="s">
        <v>85</v>
      </c>
      <c r="O32" s="12">
        <v>4294.3998807720009</v>
      </c>
      <c r="P32" s="12">
        <v>8013.4443858130826</v>
      </c>
      <c r="Q32" s="12">
        <v>7034.6695832979258</v>
      </c>
      <c r="R32" s="12">
        <v>6002.1917062925968</v>
      </c>
      <c r="S32" s="12">
        <v>4929.8258221908136</v>
      </c>
      <c r="T32" s="12">
        <v>3762.1078059484707</v>
      </c>
      <c r="U32" s="12">
        <v>4119.2642623002803</v>
      </c>
      <c r="V32" s="12">
        <v>4044.0322948396324</v>
      </c>
      <c r="W32" s="12">
        <v>3976.2398205689465</v>
      </c>
      <c r="Y32" s="26" t="s">
        <v>155</v>
      </c>
      <c r="Z32" s="26"/>
      <c r="AA32" s="26"/>
      <c r="AB32" s="26"/>
      <c r="AC32" s="26"/>
      <c r="AD32" s="26"/>
      <c r="AE32" s="26"/>
      <c r="AF32" s="26"/>
      <c r="AG32" s="26"/>
      <c r="AH32" s="26"/>
      <c r="AI32" s="26"/>
    </row>
    <row r="33" spans="1:35" x14ac:dyDescent="0.15">
      <c r="B33" s="12" t="s">
        <v>84</v>
      </c>
      <c r="C33" s="12">
        <v>157596.28338394797</v>
      </c>
      <c r="D33" s="12">
        <v>146949.14079735189</v>
      </c>
      <c r="E33" s="12">
        <v>133106.18487580074</v>
      </c>
      <c r="F33" s="12">
        <v>118803.51900434771</v>
      </c>
      <c r="G33" s="12">
        <v>103788.18631277459</v>
      </c>
      <c r="H33" s="12">
        <v>89596.215182473723</v>
      </c>
      <c r="I33" s="12">
        <v>78225.971629527034</v>
      </c>
      <c r="J33" s="12">
        <v>68210.747538097785</v>
      </c>
      <c r="K33" s="12">
        <v>62016.061903806825</v>
      </c>
      <c r="N33" s="12" t="s">
        <v>84</v>
      </c>
      <c r="O33" s="12">
        <v>20084.087554919999</v>
      </c>
      <c r="P33" s="12">
        <v>25780.465512339011</v>
      </c>
      <c r="Q33" s="12">
        <v>26888.646043396042</v>
      </c>
      <c r="R33" s="12">
        <v>27412.382988589812</v>
      </c>
      <c r="S33" s="12">
        <v>27444.806444406469</v>
      </c>
      <c r="T33" s="12">
        <v>27090.784651223854</v>
      </c>
      <c r="U33" s="12">
        <v>26991.029865516499</v>
      </c>
      <c r="V33" s="12">
        <v>27053.401764641745</v>
      </c>
      <c r="W33" s="12">
        <v>26828.81760649736</v>
      </c>
      <c r="Z33" s="12" t="s">
        <v>148</v>
      </c>
      <c r="AA33" s="12">
        <v>1593.5397522985295</v>
      </c>
      <c r="AB33" s="12">
        <v>1110.6187172762748</v>
      </c>
      <c r="AC33" s="12">
        <v>809.76681762515432</v>
      </c>
      <c r="AD33" s="12">
        <v>624.60341222772513</v>
      </c>
      <c r="AE33" s="12">
        <v>487.91698324669562</v>
      </c>
      <c r="AF33" s="12">
        <v>379.73021990194707</v>
      </c>
      <c r="AG33" s="12">
        <v>275.31013349481475</v>
      </c>
      <c r="AH33" s="12">
        <v>214.8669909937629</v>
      </c>
      <c r="AI33" s="12">
        <v>173.43467461055502</v>
      </c>
    </row>
    <row r="34" spans="1:35" x14ac:dyDescent="0.15">
      <c r="B34" s="12" t="s">
        <v>85</v>
      </c>
      <c r="C34" s="12">
        <v>60603.622353936</v>
      </c>
      <c r="D34" s="12">
        <v>43840.319553240122</v>
      </c>
      <c r="E34" s="12">
        <v>37840.267660612306</v>
      </c>
      <c r="F34" s="12">
        <v>34289.568287784525</v>
      </c>
      <c r="G34" s="12">
        <v>31124.469567864264</v>
      </c>
      <c r="H34" s="12">
        <v>28146.69295471696</v>
      </c>
      <c r="I34" s="12">
        <v>25814.055114936018</v>
      </c>
      <c r="J34" s="12">
        <v>24076.837060062444</v>
      </c>
      <c r="K34" s="12">
        <v>21509.019813362178</v>
      </c>
      <c r="N34" s="12" t="s">
        <v>86</v>
      </c>
      <c r="O34" s="12">
        <v>11707.597993032001</v>
      </c>
      <c r="P34" s="12">
        <v>15085.454145944008</v>
      </c>
      <c r="Q34" s="12">
        <v>15558.581691153602</v>
      </c>
      <c r="R34" s="12">
        <v>16485.621415930116</v>
      </c>
      <c r="S34" s="12">
        <v>17052.879810577317</v>
      </c>
      <c r="T34" s="12">
        <v>18041.702368824059</v>
      </c>
      <c r="U34" s="12">
        <v>17709.456105739639</v>
      </c>
      <c r="V34" s="12">
        <v>18468.994240935564</v>
      </c>
      <c r="W34" s="12">
        <v>17227.592703951057</v>
      </c>
      <c r="Z34" s="12" t="s">
        <v>149</v>
      </c>
      <c r="AA34" s="12">
        <v>589.13456162490013</v>
      </c>
      <c r="AB34" s="12">
        <v>389.88716257330009</v>
      </c>
      <c r="AC34" s="12">
        <v>279.42303704375252</v>
      </c>
      <c r="AD34" s="12">
        <v>218.10903170071958</v>
      </c>
      <c r="AE34" s="12">
        <v>175.19491201732438</v>
      </c>
      <c r="AF34" s="12">
        <v>140.98603926676796</v>
      </c>
      <c r="AG34" s="12">
        <v>102.85488133072762</v>
      </c>
      <c r="AH34" s="12">
        <v>83.324469351271389</v>
      </c>
      <c r="AI34" s="12">
        <v>75.586544156099251</v>
      </c>
    </row>
    <row r="35" spans="1:35" x14ac:dyDescent="0.15">
      <c r="B35" s="12" t="s">
        <v>86</v>
      </c>
      <c r="C35" s="12">
        <v>57067.864059888001</v>
      </c>
      <c r="D35" s="12">
        <v>60832.253260924044</v>
      </c>
      <c r="E35" s="12">
        <v>55827.176376022668</v>
      </c>
      <c r="F35" s="12">
        <v>51851.517939499128</v>
      </c>
      <c r="G35" s="12">
        <v>48183.955147578512</v>
      </c>
      <c r="H35" s="12">
        <v>45944.466762422417</v>
      </c>
      <c r="I35" s="12">
        <v>43444.761524491936</v>
      </c>
      <c r="J35" s="12">
        <v>42955.130834168289</v>
      </c>
      <c r="K35" s="12">
        <v>41760.054038128052</v>
      </c>
      <c r="N35" s="12" t="s">
        <v>37</v>
      </c>
      <c r="O35" s="12">
        <v>4220.7515985600003</v>
      </c>
      <c r="P35" s="12">
        <v>6913.4592464139405</v>
      </c>
      <c r="Q35" s="12">
        <v>7304.1760394011535</v>
      </c>
      <c r="R35" s="12">
        <v>7088.3030475465002</v>
      </c>
      <c r="S35" s="12">
        <v>6368.0522214114953</v>
      </c>
      <c r="T35" s="12">
        <v>6178.408663462661</v>
      </c>
      <c r="U35" s="12">
        <v>6147.6195996734696</v>
      </c>
      <c r="V35" s="12">
        <v>6646.6556780167402</v>
      </c>
      <c r="W35" s="12">
        <v>8596.8262689774256</v>
      </c>
      <c r="Z35" s="12" t="s">
        <v>150</v>
      </c>
      <c r="AA35" s="12">
        <v>20.012199232265491</v>
      </c>
      <c r="AB35" s="12">
        <v>11.797891934711471</v>
      </c>
      <c r="AC35" s="12">
        <v>9.3788995237511745</v>
      </c>
      <c r="AD35" s="12">
        <v>7.9605163550368143</v>
      </c>
      <c r="AE35" s="12">
        <v>6.4703867366779315</v>
      </c>
      <c r="AF35" s="12">
        <v>4.9343344374598344</v>
      </c>
      <c r="AG35" s="12">
        <v>3.3691220532772475</v>
      </c>
      <c r="AH35" s="12">
        <v>2.7452357151083313</v>
      </c>
      <c r="AI35" s="12">
        <v>2.0835819244295108</v>
      </c>
    </row>
    <row r="36" spans="1:35" x14ac:dyDescent="0.15">
      <c r="B36" s="12" t="s">
        <v>37</v>
      </c>
      <c r="C36" s="12">
        <v>71504.264051208011</v>
      </c>
      <c r="D36" s="12">
        <v>86592.196326837497</v>
      </c>
      <c r="E36" s="12">
        <v>94565.663281302463</v>
      </c>
      <c r="F36" s="12">
        <v>103638.65007436826</v>
      </c>
      <c r="G36" s="12">
        <v>113148.48059453553</v>
      </c>
      <c r="H36" s="12">
        <v>122802.12757051781</v>
      </c>
      <c r="I36" s="12">
        <v>133581.71271253098</v>
      </c>
      <c r="J36" s="12">
        <v>145386.4032215687</v>
      </c>
      <c r="K36" s="12">
        <v>157907.66509158348</v>
      </c>
      <c r="N36" s="12" t="s">
        <v>101</v>
      </c>
      <c r="O36" s="12">
        <v>2103.2857465560005</v>
      </c>
      <c r="P36" s="12">
        <v>2007.3141105734142</v>
      </c>
      <c r="Q36" s="12">
        <v>1637.1545281906699</v>
      </c>
      <c r="R36" s="12">
        <v>1447.5750819043053</v>
      </c>
      <c r="S36" s="12">
        <v>1244.8352461387346</v>
      </c>
      <c r="T36" s="12">
        <v>1169.7470422961687</v>
      </c>
      <c r="U36" s="12">
        <v>1091.7518144316723</v>
      </c>
      <c r="V36" s="12">
        <v>1161.9052390541112</v>
      </c>
      <c r="W36" s="12">
        <v>1366.6290326975295</v>
      </c>
      <c r="Z36" s="12" t="s">
        <v>151</v>
      </c>
      <c r="AA36" s="12">
        <v>39.327783790589287</v>
      </c>
      <c r="AB36" s="12">
        <v>21.67266719162814</v>
      </c>
      <c r="AC36" s="12">
        <v>15.377635638551615</v>
      </c>
      <c r="AD36" s="12">
        <v>13.381758163712314</v>
      </c>
      <c r="AE36" s="12">
        <v>12.773820685373755</v>
      </c>
      <c r="AF36" s="12">
        <v>12.498992170203969</v>
      </c>
      <c r="AG36" s="12">
        <v>12.263570708768214</v>
      </c>
      <c r="AH36" s="12">
        <v>9.4475056862790545</v>
      </c>
      <c r="AI36" s="12">
        <v>5.6041960529872759</v>
      </c>
    </row>
    <row r="37" spans="1:35" x14ac:dyDescent="0.15">
      <c r="B37" s="12" t="s">
        <v>101</v>
      </c>
      <c r="C37" s="12">
        <v>11477.084340599999</v>
      </c>
      <c r="D37" s="12">
        <v>13670.504567398377</v>
      </c>
      <c r="E37" s="12">
        <v>12951.01750426438</v>
      </c>
      <c r="F37" s="12">
        <v>12867.02966489868</v>
      </c>
      <c r="G37" s="12">
        <v>12248.757791655935</v>
      </c>
      <c r="H37" s="12">
        <v>12176.289545252066</v>
      </c>
      <c r="I37" s="12">
        <v>11940.400551202234</v>
      </c>
      <c r="J37" s="12">
        <v>12028.787646417111</v>
      </c>
      <c r="K37" s="12">
        <v>12263.283816938128</v>
      </c>
      <c r="N37" s="12" t="s">
        <v>105</v>
      </c>
      <c r="O37" s="12">
        <v>68.376682331999987</v>
      </c>
      <c r="P37" s="12">
        <v>205.15019614995742</v>
      </c>
      <c r="Q37" s="12">
        <v>329.33321954969455</v>
      </c>
      <c r="R37" s="12">
        <v>459.07527027008967</v>
      </c>
      <c r="S37" s="12">
        <v>575.15376497117506</v>
      </c>
      <c r="T37" s="12">
        <v>683.43829874281607</v>
      </c>
      <c r="U37" s="12">
        <v>904.73786165407716</v>
      </c>
      <c r="V37" s="12">
        <v>1260.8839956834518</v>
      </c>
      <c r="W37" s="12">
        <v>1980.4033118186421</v>
      </c>
      <c r="Z37" s="12" t="s">
        <v>152</v>
      </c>
      <c r="AA37" s="12">
        <v>120.48293006924141</v>
      </c>
      <c r="AB37" s="12">
        <v>77.713847002007782</v>
      </c>
      <c r="AC37" s="12">
        <v>54.228617061882773</v>
      </c>
      <c r="AD37" s="12">
        <v>46.541437752334929</v>
      </c>
      <c r="AE37" s="12">
        <v>38.037302874136195</v>
      </c>
      <c r="AF37" s="12">
        <v>28.925387110537788</v>
      </c>
      <c r="AG37" s="12">
        <v>19.322470163744484</v>
      </c>
      <c r="AH37" s="12">
        <v>16.975636956617279</v>
      </c>
      <c r="AI37" s="12">
        <v>14.650028278176261</v>
      </c>
    </row>
    <row r="38" spans="1:35" x14ac:dyDescent="0.15">
      <c r="B38" s="12" t="s">
        <v>88</v>
      </c>
      <c r="C38" s="12">
        <v>42038.22551892</v>
      </c>
      <c r="D38" s="12">
        <v>52744.277024114395</v>
      </c>
      <c r="E38" s="12">
        <v>56975.690718664278</v>
      </c>
      <c r="F38" s="12">
        <v>61053.12211801004</v>
      </c>
      <c r="G38" s="12">
        <v>64761.400296835563</v>
      </c>
      <c r="H38" s="12">
        <v>67995.969661819894</v>
      </c>
      <c r="I38" s="12">
        <v>70152.522309614782</v>
      </c>
      <c r="J38" s="12">
        <v>72106.437841950232</v>
      </c>
      <c r="K38" s="12">
        <v>73044.654391864911</v>
      </c>
      <c r="N38" s="12" t="s">
        <v>125</v>
      </c>
      <c r="O38" s="12">
        <v>0</v>
      </c>
      <c r="P38" s="12">
        <v>0</v>
      </c>
      <c r="Q38" s="12">
        <v>0</v>
      </c>
      <c r="R38" s="12">
        <v>0</v>
      </c>
      <c r="S38" s="12">
        <v>0</v>
      </c>
      <c r="T38" s="12">
        <v>0</v>
      </c>
      <c r="U38" s="12">
        <v>0</v>
      </c>
      <c r="V38" s="12">
        <v>0</v>
      </c>
      <c r="W38" s="12">
        <v>0</v>
      </c>
      <c r="Z38" s="12" t="s">
        <v>153</v>
      </c>
      <c r="AA38" s="12">
        <v>528.11795096056801</v>
      </c>
      <c r="AB38" s="12">
        <v>442.83353708160848</v>
      </c>
      <c r="AC38" s="12">
        <v>333.73444192004933</v>
      </c>
      <c r="AD38" s="12">
        <v>230.83788183504248</v>
      </c>
      <c r="AE38" s="12">
        <v>160.19666203627216</v>
      </c>
      <c r="AF38" s="12">
        <v>117.80556066293769</v>
      </c>
      <c r="AG38" s="12">
        <v>87.109833054055798</v>
      </c>
      <c r="AH38" s="12">
        <v>60.979437452738068</v>
      </c>
      <c r="AI38" s="12">
        <v>42.704786930255118</v>
      </c>
    </row>
    <row r="39" spans="1:35" ht="15" x14ac:dyDescent="0.2">
      <c r="B39" s="12" t="s">
        <v>99</v>
      </c>
      <c r="C39" s="12">
        <v>0</v>
      </c>
      <c r="D39" s="12">
        <v>66.552014436706088</v>
      </c>
      <c r="E39" s="12">
        <v>151.65413499956802</v>
      </c>
      <c r="F39" s="12">
        <v>254.91818577440949</v>
      </c>
      <c r="G39" s="12">
        <v>364.85480396439903</v>
      </c>
      <c r="H39" s="12">
        <v>497.69521862416963</v>
      </c>
      <c r="I39" s="12">
        <v>639.51289027828591</v>
      </c>
      <c r="J39" s="12">
        <v>760.33197528412927</v>
      </c>
      <c r="K39" s="12">
        <v>851.69649528042407</v>
      </c>
      <c r="N39" s="12" t="s">
        <v>126</v>
      </c>
      <c r="O39" s="12">
        <v>0</v>
      </c>
      <c r="P39" s="12">
        <v>0</v>
      </c>
      <c r="Q39" s="12">
        <v>0</v>
      </c>
      <c r="R39" s="12">
        <v>0</v>
      </c>
      <c r="S39" s="12">
        <v>0</v>
      </c>
      <c r="T39" s="12">
        <v>0</v>
      </c>
      <c r="U39" s="12">
        <v>0</v>
      </c>
      <c r="V39" s="12">
        <v>0</v>
      </c>
      <c r="W39" s="12">
        <v>0</v>
      </c>
      <c r="Z39" s="13"/>
      <c r="AA39" s="13">
        <v>2890.6151779760939</v>
      </c>
      <c r="AB39" s="13">
        <v>2054.5238230595305</v>
      </c>
      <c r="AC39" s="13">
        <v>1501.9094488131414</v>
      </c>
      <c r="AD39" s="13">
        <v>1141.4340380345711</v>
      </c>
      <c r="AE39" s="13">
        <v>880.59006759648003</v>
      </c>
      <c r="AF39" s="13">
        <v>684.88053354985436</v>
      </c>
      <c r="AG39" s="13">
        <v>500.23001080538808</v>
      </c>
      <c r="AH39" s="13">
        <v>388.33927615577699</v>
      </c>
      <c r="AI39" s="13">
        <v>314.06381195250242</v>
      </c>
    </row>
    <row r="40" spans="1:35" ht="15" x14ac:dyDescent="0.2">
      <c r="B40" s="12" t="s">
        <v>90</v>
      </c>
      <c r="C40" s="12">
        <v>1529.8820082719999</v>
      </c>
      <c r="D40" s="12">
        <v>4422.1597054288241</v>
      </c>
      <c r="E40" s="12">
        <v>6789.4599833777456</v>
      </c>
      <c r="F40" s="12">
        <v>8932.2136017528792</v>
      </c>
      <c r="G40" s="12">
        <v>10721.408351669541</v>
      </c>
      <c r="H40" s="12">
        <v>12214.465004273112</v>
      </c>
      <c r="I40" s="12">
        <v>13511.4722664235</v>
      </c>
      <c r="J40" s="12">
        <v>14948.857535223098</v>
      </c>
      <c r="K40" s="12">
        <v>16172.249457518539</v>
      </c>
      <c r="N40" s="13" t="s">
        <v>91</v>
      </c>
      <c r="O40" s="13">
        <v>42478.499456171994</v>
      </c>
      <c r="P40" s="13">
        <v>58005.287597233422</v>
      </c>
      <c r="Q40" s="13">
        <v>58752.561104989087</v>
      </c>
      <c r="R40" s="13">
        <v>58895.149510533418</v>
      </c>
      <c r="S40" s="13">
        <v>57615.553309696006</v>
      </c>
      <c r="T40" s="13">
        <v>56926.188830498031</v>
      </c>
      <c r="U40" s="13">
        <v>56963.859509315633</v>
      </c>
      <c r="V40" s="13">
        <v>58635.873213171239</v>
      </c>
      <c r="W40" s="13">
        <v>59976.50874451096</v>
      </c>
      <c r="Z40" s="13"/>
      <c r="AA40" s="13"/>
      <c r="AB40" s="13"/>
      <c r="AC40" s="13"/>
      <c r="AD40" s="13"/>
      <c r="AE40" s="13"/>
      <c r="AF40" s="13"/>
      <c r="AG40" s="13"/>
      <c r="AH40" s="13"/>
      <c r="AI40" s="13"/>
    </row>
    <row r="41" spans="1:35" ht="19" x14ac:dyDescent="0.2">
      <c r="B41" s="13" t="s">
        <v>91</v>
      </c>
      <c r="C41" s="13">
        <v>401817.22571677197</v>
      </c>
      <c r="D41" s="13">
        <v>409117.40324973187</v>
      </c>
      <c r="E41" s="13">
        <v>398207.11453504406</v>
      </c>
      <c r="F41" s="13">
        <v>391690.53887643566</v>
      </c>
      <c r="G41" s="13">
        <v>384341.51286687836</v>
      </c>
      <c r="H41" s="13">
        <v>379373.92190010019</v>
      </c>
      <c r="I41" s="13">
        <v>377310.40899900481</v>
      </c>
      <c r="J41" s="13">
        <v>380473.53365277173</v>
      </c>
      <c r="K41" s="13">
        <v>385524.68500848248</v>
      </c>
      <c r="Y41" s="26" t="s">
        <v>156</v>
      </c>
      <c r="Z41" s="26"/>
      <c r="AA41" s="26"/>
      <c r="AB41" s="26"/>
      <c r="AC41" s="26"/>
      <c r="AD41" s="26"/>
      <c r="AE41" s="26"/>
      <c r="AF41" s="26"/>
      <c r="AG41" s="26"/>
      <c r="AH41" s="26"/>
      <c r="AI41" s="26"/>
    </row>
    <row r="42" spans="1:35" ht="19" x14ac:dyDescent="0.15">
      <c r="M42" s="26" t="s">
        <v>132</v>
      </c>
      <c r="N42" s="26"/>
      <c r="O42" s="26"/>
      <c r="P42" s="26"/>
      <c r="Q42" s="26"/>
      <c r="R42" s="26"/>
      <c r="S42" s="26"/>
      <c r="T42" s="26"/>
      <c r="U42" s="26"/>
      <c r="V42" s="26"/>
      <c r="W42" s="26"/>
      <c r="Z42" s="12" t="s">
        <v>85</v>
      </c>
      <c r="AA42" s="12">
        <v>3671.0064818294504</v>
      </c>
      <c r="AB42" s="12">
        <v>2221.9485507235736</v>
      </c>
      <c r="AC42" s="12">
        <v>1074.4324416970999</v>
      </c>
      <c r="AD42" s="12">
        <v>626.73342233459107</v>
      </c>
      <c r="AE42" s="12">
        <v>302.36042865206491</v>
      </c>
      <c r="AF42" s="12">
        <v>167.56418250717934</v>
      </c>
      <c r="AG42" s="12">
        <v>39.099026794988113</v>
      </c>
      <c r="AH42" s="12">
        <v>9.58354220487516</v>
      </c>
      <c r="AI42" s="12">
        <v>0.15306161090862763</v>
      </c>
    </row>
    <row r="43" spans="1:35" ht="19" x14ac:dyDescent="0.15">
      <c r="A43" s="26" t="s">
        <v>102</v>
      </c>
      <c r="B43" s="26"/>
      <c r="C43" s="26"/>
      <c r="D43" s="26"/>
      <c r="E43" s="26"/>
      <c r="F43" s="26"/>
      <c r="G43" s="26"/>
      <c r="H43" s="26"/>
      <c r="I43" s="26"/>
      <c r="J43" s="26"/>
      <c r="K43" s="26"/>
      <c r="N43" s="12" t="s">
        <v>85</v>
      </c>
      <c r="O43" s="12">
        <v>132.87885807599937</v>
      </c>
      <c r="P43" s="12">
        <v>2607.4427902079951</v>
      </c>
      <c r="Q43" s="12">
        <v>2832.6778200079225</v>
      </c>
      <c r="R43" s="12">
        <v>2564.6106189586844</v>
      </c>
      <c r="S43" s="12">
        <v>2190.8872691125389</v>
      </c>
      <c r="T43" s="12">
        <v>1804.3044179091783</v>
      </c>
      <c r="U43" s="12">
        <v>1309.2807827288207</v>
      </c>
      <c r="V43" s="12">
        <v>1548.9341840782688</v>
      </c>
      <c r="W43" s="12">
        <v>1547.7554614343157</v>
      </c>
      <c r="Z43" s="12" t="s">
        <v>144</v>
      </c>
      <c r="AA43" s="12">
        <v>5524.8510371701595</v>
      </c>
      <c r="AB43" s="12">
        <v>2916.3040125224252</v>
      </c>
      <c r="AC43" s="12">
        <v>1220.8751796180863</v>
      </c>
      <c r="AD43" s="12">
        <v>690.8004885849665</v>
      </c>
      <c r="AE43" s="12">
        <v>403.47916046868284</v>
      </c>
      <c r="AF43" s="12">
        <v>209.18351369024265</v>
      </c>
      <c r="AG43" s="12">
        <v>27.098051606298789</v>
      </c>
      <c r="AH43" s="12">
        <v>6.3171470295587815</v>
      </c>
      <c r="AI43" s="12">
        <v>8.4322094093024283E-2</v>
      </c>
    </row>
    <row r="44" spans="1:35" x14ac:dyDescent="0.15">
      <c r="B44" s="12" t="s">
        <v>84</v>
      </c>
      <c r="C44" s="12">
        <v>12757.195174896</v>
      </c>
      <c r="D44" s="12">
        <v>11184.015901348586</v>
      </c>
      <c r="E44" s="12">
        <v>10307.719224378887</v>
      </c>
      <c r="F44" s="12">
        <v>9854.8768895265293</v>
      </c>
      <c r="G44" s="12">
        <v>9656.3935796201276</v>
      </c>
      <c r="H44" s="12">
        <v>8920.8376921357121</v>
      </c>
      <c r="I44" s="12">
        <v>8091.8213268015033</v>
      </c>
      <c r="J44" s="12">
        <v>7262.3550007255326</v>
      </c>
      <c r="K44" s="12">
        <v>6301.2638062142141</v>
      </c>
      <c r="N44" s="12" t="s">
        <v>84</v>
      </c>
      <c r="O44" s="12">
        <v>17778.721803299995</v>
      </c>
      <c r="P44" s="12">
        <v>22478.3992143986</v>
      </c>
      <c r="Q44" s="12">
        <v>22936.47805074132</v>
      </c>
      <c r="R44" s="12">
        <v>24061.477730725132</v>
      </c>
      <c r="S44" s="12">
        <v>24543.190373525071</v>
      </c>
      <c r="T44" s="12">
        <v>24493.157335184042</v>
      </c>
      <c r="U44" s="12">
        <v>23973.008074770834</v>
      </c>
      <c r="V44" s="12">
        <v>23764.112731664129</v>
      </c>
      <c r="W44" s="12">
        <v>23808.034118061536</v>
      </c>
      <c r="Z44" s="12" t="s">
        <v>86</v>
      </c>
      <c r="AA44" s="12">
        <v>15289.133567024059</v>
      </c>
      <c r="AB44" s="12">
        <v>12421.055163282259</v>
      </c>
      <c r="AC44" s="12">
        <v>11112.793107409751</v>
      </c>
      <c r="AD44" s="12">
        <v>9221.5271993775677</v>
      </c>
      <c r="AE44" s="12">
        <v>7687.7468300102992</v>
      </c>
      <c r="AF44" s="12">
        <v>6228.2844082402362</v>
      </c>
      <c r="AG44" s="12">
        <v>4809.8516030326118</v>
      </c>
      <c r="AH44" s="12">
        <v>3806.2809572770993</v>
      </c>
      <c r="AI44" s="12">
        <v>3090.8904397583547</v>
      </c>
    </row>
    <row r="45" spans="1:35" x14ac:dyDescent="0.15">
      <c r="B45" s="12" t="s">
        <v>85</v>
      </c>
      <c r="C45" s="12">
        <v>49961.912674644002</v>
      </c>
      <c r="D45" s="12">
        <v>37246.368936976229</v>
      </c>
      <c r="E45" s="12">
        <v>32766.982694846549</v>
      </c>
      <c r="F45" s="12">
        <v>29906.925569483043</v>
      </c>
      <c r="G45" s="12">
        <v>27279.506308476015</v>
      </c>
      <c r="H45" s="12">
        <v>24697.413948918373</v>
      </c>
      <c r="I45" s="12">
        <v>22648.770758480361</v>
      </c>
      <c r="J45" s="12">
        <v>20953.167944681558</v>
      </c>
      <c r="K45" s="12">
        <v>18403.410933190902</v>
      </c>
      <c r="N45" s="12" t="s">
        <v>86</v>
      </c>
      <c r="O45" s="12">
        <v>6638.9470884360026</v>
      </c>
      <c r="P45" s="12">
        <v>5601.9702790751489</v>
      </c>
      <c r="Q45" s="12">
        <v>6067.9422275216411</v>
      </c>
      <c r="R45" s="12">
        <v>6419.1019224012744</v>
      </c>
      <c r="S45" s="12">
        <v>7127.5451860278663</v>
      </c>
      <c r="T45" s="12">
        <v>7728.465595911608</v>
      </c>
      <c r="U45" s="12">
        <v>8689.6904702467818</v>
      </c>
      <c r="V45" s="12">
        <v>8661.4233570874967</v>
      </c>
      <c r="W45" s="12">
        <v>8888.1359644406748</v>
      </c>
      <c r="Z45" s="12" t="s">
        <v>37</v>
      </c>
      <c r="AA45" s="12">
        <v>4040.6586491426688</v>
      </c>
      <c r="AB45" s="12">
        <v>4931.2404078059008</v>
      </c>
      <c r="AC45" s="12">
        <v>5001.2584036087392</v>
      </c>
      <c r="AD45" s="12">
        <v>4852.5362888685304</v>
      </c>
      <c r="AE45" s="12">
        <v>4579.6973310385056</v>
      </c>
      <c r="AF45" s="12">
        <v>4155.9447691473451</v>
      </c>
      <c r="AG45" s="12">
        <v>3716.050826470333</v>
      </c>
      <c r="AH45" s="12">
        <v>3418.1336073026769</v>
      </c>
      <c r="AI45" s="12">
        <v>3179.5755380196151</v>
      </c>
    </row>
    <row r="46" spans="1:35" x14ac:dyDescent="0.15">
      <c r="B46" s="12" t="s">
        <v>86</v>
      </c>
      <c r="C46" s="12">
        <v>23052.196616076002</v>
      </c>
      <c r="D46" s="12">
        <v>28939.030424160286</v>
      </c>
      <c r="E46" s="12">
        <v>27971.601855651941</v>
      </c>
      <c r="F46" s="12">
        <v>27802.199825181113</v>
      </c>
      <c r="G46" s="12">
        <v>27099.385255316676</v>
      </c>
      <c r="H46" s="12">
        <v>26654.534308885068</v>
      </c>
      <c r="I46" s="12">
        <v>26763.722033667782</v>
      </c>
      <c r="J46" s="12">
        <v>27765.909976807208</v>
      </c>
      <c r="K46" s="12">
        <v>28108.858996274146</v>
      </c>
      <c r="N46" s="12" t="s">
        <v>37</v>
      </c>
      <c r="O46" s="12">
        <v>0</v>
      </c>
      <c r="P46" s="12">
        <v>0</v>
      </c>
      <c r="Q46" s="12">
        <v>0</v>
      </c>
      <c r="R46" s="12">
        <v>0</v>
      </c>
      <c r="S46" s="12">
        <v>0</v>
      </c>
      <c r="T46" s="12">
        <v>0</v>
      </c>
      <c r="U46" s="12">
        <v>0</v>
      </c>
      <c r="V46" s="12">
        <v>0</v>
      </c>
      <c r="W46" s="12">
        <v>0</v>
      </c>
      <c r="Z46" s="12" t="s">
        <v>145</v>
      </c>
      <c r="AA46" s="12">
        <v>5634.7321472395688</v>
      </c>
      <c r="AB46" s="12">
        <v>6598.770939780431</v>
      </c>
      <c r="AC46" s="12">
        <v>7010.8958017114383</v>
      </c>
      <c r="AD46" s="12">
        <v>7422.290133807539</v>
      </c>
      <c r="AE46" s="12">
        <v>7687.6569165972141</v>
      </c>
      <c r="AF46" s="12">
        <v>7804.486006758254</v>
      </c>
      <c r="AG46" s="12">
        <v>7903.2672342864698</v>
      </c>
      <c r="AH46" s="12">
        <v>7763.5748128906162</v>
      </c>
      <c r="AI46" s="12">
        <v>7486.7704344299045</v>
      </c>
    </row>
    <row r="47" spans="1:35" x14ac:dyDescent="0.15">
      <c r="B47" s="12" t="s">
        <v>37</v>
      </c>
      <c r="C47" s="12">
        <v>30134.810820912</v>
      </c>
      <c r="D47" s="12">
        <v>33886.588709316653</v>
      </c>
      <c r="E47" s="12">
        <v>34971.006074372825</v>
      </c>
      <c r="F47" s="12">
        <v>36122.988987739489</v>
      </c>
      <c r="G47" s="12">
        <v>37088.892573130957</v>
      </c>
      <c r="H47" s="12">
        <v>37824.20784290084</v>
      </c>
      <c r="I47" s="12">
        <v>39376.612047871968</v>
      </c>
      <c r="J47" s="12">
        <v>41728.927351580802</v>
      </c>
      <c r="K47" s="12">
        <v>45899.336458001948</v>
      </c>
      <c r="N47" s="12" t="s">
        <v>101</v>
      </c>
      <c r="O47" s="12">
        <v>0</v>
      </c>
      <c r="P47" s="12">
        <v>0</v>
      </c>
      <c r="Q47" s="12">
        <v>0</v>
      </c>
      <c r="R47" s="12">
        <v>0</v>
      </c>
      <c r="S47" s="12">
        <v>0</v>
      </c>
      <c r="T47" s="12">
        <v>0</v>
      </c>
      <c r="U47" s="12">
        <v>0</v>
      </c>
      <c r="V47" s="12">
        <v>0</v>
      </c>
      <c r="W47" s="12">
        <v>0</v>
      </c>
      <c r="Z47" s="12" t="s">
        <v>146</v>
      </c>
      <c r="AA47" s="12">
        <v>5216.0694820567787</v>
      </c>
      <c r="AB47" s="12">
        <v>5655.5481969254815</v>
      </c>
      <c r="AC47" s="12">
        <v>5559.7480395867733</v>
      </c>
      <c r="AD47" s="12">
        <v>5709.7967605029216</v>
      </c>
      <c r="AE47" s="12">
        <v>5705.3579365427822</v>
      </c>
      <c r="AF47" s="12">
        <v>5568.8850395921963</v>
      </c>
      <c r="AG47" s="12">
        <v>5398.8018300362364</v>
      </c>
      <c r="AH47" s="12">
        <v>5125.0414294476559</v>
      </c>
      <c r="AI47" s="12">
        <v>4819.606060034278</v>
      </c>
    </row>
    <row r="48" spans="1:35" ht="15" x14ac:dyDescent="0.2">
      <c r="B48" s="12" t="s">
        <v>101</v>
      </c>
      <c r="C48" s="12">
        <v>5164.3284955559993</v>
      </c>
      <c r="D48" s="12">
        <v>6730.8210251766714</v>
      </c>
      <c r="E48" s="12">
        <v>6098.3552040426539</v>
      </c>
      <c r="F48" s="12">
        <v>5813.2419483112353</v>
      </c>
      <c r="G48" s="12">
        <v>5153.87117081201</v>
      </c>
      <c r="H48" s="12">
        <v>5176.7613313841221</v>
      </c>
      <c r="I48" s="12">
        <v>5071.5673559927309</v>
      </c>
      <c r="J48" s="12">
        <v>5407.5955465458928</v>
      </c>
      <c r="K48" s="12">
        <v>5936.6060405232492</v>
      </c>
      <c r="N48" s="12" t="s">
        <v>105</v>
      </c>
      <c r="O48" s="12">
        <v>9.2965635190012113E-15</v>
      </c>
      <c r="P48" s="12">
        <v>90.881844379806111</v>
      </c>
      <c r="Q48" s="12">
        <v>170.95990188908402</v>
      </c>
      <c r="R48" s="12">
        <v>258.91421638548104</v>
      </c>
      <c r="S48" s="12">
        <v>339.47542987346986</v>
      </c>
      <c r="T48" s="12">
        <v>417.56973305471803</v>
      </c>
      <c r="U48" s="12">
        <v>492.55795870933434</v>
      </c>
      <c r="V48" s="12">
        <v>557.65056929632317</v>
      </c>
      <c r="W48" s="12">
        <v>615.37126651554127</v>
      </c>
      <c r="Z48" s="13"/>
      <c r="AA48" s="13">
        <v>39376.451364462686</v>
      </c>
      <c r="AB48" s="13">
        <v>34744.867271040072</v>
      </c>
      <c r="AC48" s="13">
        <v>30980.00297363189</v>
      </c>
      <c r="AD48" s="13">
        <v>28523.684293476119</v>
      </c>
      <c r="AE48" s="13">
        <v>26366.298603309548</v>
      </c>
      <c r="AF48" s="13">
        <v>24134.347919935455</v>
      </c>
      <c r="AG48" s="13">
        <v>21894.168572226939</v>
      </c>
      <c r="AH48" s="13">
        <v>20128.93149615248</v>
      </c>
      <c r="AI48" s="13">
        <v>18577.079855947155</v>
      </c>
    </row>
    <row r="49" spans="1:35" x14ac:dyDescent="0.15">
      <c r="B49" s="12" t="s">
        <v>88</v>
      </c>
      <c r="C49" s="12">
        <v>7954.318398708001</v>
      </c>
      <c r="D49" s="12">
        <v>10980.000294416599</v>
      </c>
      <c r="E49" s="12">
        <v>12739.955787284291</v>
      </c>
      <c r="F49" s="12">
        <v>14304.145107595492</v>
      </c>
      <c r="G49" s="12">
        <v>15669.241298027411</v>
      </c>
      <c r="H49" s="12">
        <v>17425.637159625108</v>
      </c>
      <c r="I49" s="12">
        <v>19764.132405558259</v>
      </c>
      <c r="J49" s="12">
        <v>21694.008728792556</v>
      </c>
      <c r="K49" s="12">
        <v>24411.742824472745</v>
      </c>
      <c r="N49" s="12" t="s">
        <v>125</v>
      </c>
      <c r="O49" s="12">
        <v>0</v>
      </c>
      <c r="P49" s="12">
        <v>0</v>
      </c>
      <c r="Q49" s="12">
        <v>0</v>
      </c>
      <c r="R49" s="12">
        <v>0</v>
      </c>
      <c r="S49" s="12">
        <v>0</v>
      </c>
      <c r="T49" s="12">
        <v>0</v>
      </c>
      <c r="U49" s="12">
        <v>0</v>
      </c>
      <c r="V49" s="12">
        <v>0</v>
      </c>
      <c r="W49" s="12">
        <v>0</v>
      </c>
    </row>
    <row r="50" spans="1:35" ht="19" x14ac:dyDescent="0.15">
      <c r="B50" s="12" t="s">
        <v>99</v>
      </c>
      <c r="C50" s="12">
        <v>0</v>
      </c>
      <c r="D50" s="12">
        <v>0</v>
      </c>
      <c r="E50" s="12">
        <v>0</v>
      </c>
      <c r="F50" s="12">
        <v>0</v>
      </c>
      <c r="G50" s="12">
        <v>0</v>
      </c>
      <c r="H50" s="12">
        <v>0</v>
      </c>
      <c r="I50" s="12">
        <v>0</v>
      </c>
      <c r="J50" s="12">
        <v>0</v>
      </c>
      <c r="K50" s="12">
        <v>0</v>
      </c>
      <c r="N50" s="12" t="s">
        <v>126</v>
      </c>
      <c r="O50" s="12">
        <v>0</v>
      </c>
      <c r="P50" s="12">
        <v>0</v>
      </c>
      <c r="Q50" s="12">
        <v>0</v>
      </c>
      <c r="R50" s="12">
        <v>0</v>
      </c>
      <c r="S50" s="12">
        <v>0</v>
      </c>
      <c r="T50" s="12">
        <v>0</v>
      </c>
      <c r="U50" s="12">
        <v>0</v>
      </c>
      <c r="V50" s="12">
        <v>0</v>
      </c>
      <c r="W50" s="12">
        <v>0</v>
      </c>
      <c r="Y50" s="26" t="s">
        <v>157</v>
      </c>
      <c r="Z50" s="26"/>
      <c r="AA50" s="26"/>
      <c r="AB50" s="26"/>
      <c r="AC50" s="26"/>
      <c r="AD50" s="26"/>
      <c r="AE50" s="26"/>
      <c r="AF50" s="26"/>
      <c r="AG50" s="26"/>
      <c r="AH50" s="26"/>
      <c r="AI50" s="26"/>
    </row>
    <row r="51" spans="1:35" ht="15" x14ac:dyDescent="0.2">
      <c r="B51" s="12" t="s">
        <v>90</v>
      </c>
      <c r="C51" s="12">
        <v>32.617767816000004</v>
      </c>
      <c r="D51" s="12">
        <v>652.30879952783255</v>
      </c>
      <c r="E51" s="12">
        <v>1415.9612513613483</v>
      </c>
      <c r="F51" s="12">
        <v>2139.2696889648942</v>
      </c>
      <c r="G51" s="12">
        <v>2760.621130991532</v>
      </c>
      <c r="H51" s="12">
        <v>3235.8000082356266</v>
      </c>
      <c r="I51" s="12">
        <v>3570.2357860563316</v>
      </c>
      <c r="J51" s="12">
        <v>4033.2073870279191</v>
      </c>
      <c r="K51" s="12">
        <v>4366.1298161111972</v>
      </c>
      <c r="N51" s="13" t="s">
        <v>91</v>
      </c>
      <c r="O51" s="13">
        <v>24550.547749811998</v>
      </c>
      <c r="P51" s="13">
        <v>30778.694128061547</v>
      </c>
      <c r="Q51" s="13">
        <v>32008.05800015997</v>
      </c>
      <c r="R51" s="13">
        <v>33304.10448847057</v>
      </c>
      <c r="S51" s="13">
        <v>34201.09825853895</v>
      </c>
      <c r="T51" s="13">
        <v>34443.497082059548</v>
      </c>
      <c r="U51" s="13">
        <v>34464.537286455772</v>
      </c>
      <c r="V51" s="13">
        <v>34532.12084212622</v>
      </c>
      <c r="W51" s="13">
        <v>34859.29681045207</v>
      </c>
      <c r="Z51" s="12" t="s">
        <v>85</v>
      </c>
      <c r="AA51" s="12">
        <v>828.71701717820463</v>
      </c>
      <c r="AB51" s="12">
        <v>117.15860947354913</v>
      </c>
      <c r="AC51" s="12">
        <v>43.950799723162397</v>
      </c>
      <c r="AD51" s="12">
        <v>11.339487741985314</v>
      </c>
      <c r="AE51" s="12">
        <v>2.2711458480713054</v>
      </c>
      <c r="AF51" s="12">
        <v>1.1229221185997362</v>
      </c>
      <c r="AG51" s="12">
        <v>0</v>
      </c>
      <c r="AH51" s="12">
        <v>0</v>
      </c>
      <c r="AI51" s="12">
        <v>0</v>
      </c>
    </row>
    <row r="52" spans="1:35" ht="15" x14ac:dyDescent="0.2">
      <c r="B52" s="13" t="s">
        <v>91</v>
      </c>
      <c r="C52" s="13">
        <v>129057.379948608</v>
      </c>
      <c r="D52" s="13">
        <v>129619.13409092286</v>
      </c>
      <c r="E52" s="13">
        <v>126271.5820919385</v>
      </c>
      <c r="F52" s="13">
        <v>125943.6480168018</v>
      </c>
      <c r="G52" s="13">
        <v>124707.91131637474</v>
      </c>
      <c r="H52" s="13">
        <v>123935.19229208486</v>
      </c>
      <c r="I52" s="13">
        <v>125286.86171442895</v>
      </c>
      <c r="J52" s="13">
        <v>128845.17193616147</v>
      </c>
      <c r="K52" s="13">
        <v>133427.34887478841</v>
      </c>
      <c r="Z52" s="12" t="s">
        <v>144</v>
      </c>
      <c r="AA52" s="12">
        <v>3079.9813442810519</v>
      </c>
      <c r="AB52" s="12">
        <v>1735.3021646547518</v>
      </c>
      <c r="AC52" s="12">
        <v>766.47157259520463</v>
      </c>
      <c r="AD52" s="12">
        <v>309.63296397949887</v>
      </c>
      <c r="AE52" s="12">
        <v>143.75402670789353</v>
      </c>
      <c r="AF52" s="12">
        <v>85.43625178768805</v>
      </c>
      <c r="AG52" s="12">
        <v>15.021329564736792</v>
      </c>
      <c r="AH52" s="12">
        <v>2.8594101620653998</v>
      </c>
      <c r="AI52" s="12">
        <v>2.7231754438799622E-2</v>
      </c>
    </row>
    <row r="53" spans="1:35" ht="19" x14ac:dyDescent="0.15">
      <c r="M53" s="26" t="s">
        <v>133</v>
      </c>
      <c r="N53" s="26"/>
      <c r="O53" s="26"/>
      <c r="P53" s="26"/>
      <c r="Q53" s="26"/>
      <c r="R53" s="26"/>
      <c r="S53" s="26"/>
      <c r="T53" s="26"/>
      <c r="U53" s="26"/>
      <c r="V53" s="26"/>
      <c r="W53" s="26"/>
      <c r="Z53" s="12" t="s">
        <v>86</v>
      </c>
      <c r="AA53" s="12">
        <v>5365.3729539673323</v>
      </c>
      <c r="AB53" s="12">
        <v>4667.4163442415202</v>
      </c>
      <c r="AC53" s="12">
        <v>3988.3432789473318</v>
      </c>
      <c r="AD53" s="12">
        <v>3494.419926691713</v>
      </c>
      <c r="AE53" s="12">
        <v>2944.9682898328101</v>
      </c>
      <c r="AF53" s="12">
        <v>2408.4266073694548</v>
      </c>
      <c r="AG53" s="12">
        <v>1816.366961718074</v>
      </c>
      <c r="AH53" s="12">
        <v>1481.9351447509325</v>
      </c>
      <c r="AI53" s="12">
        <v>1347.200639228708</v>
      </c>
    </row>
    <row r="54" spans="1:35" ht="19" x14ac:dyDescent="0.15">
      <c r="A54" s="26" t="s">
        <v>103</v>
      </c>
      <c r="B54" s="26"/>
      <c r="C54" s="26"/>
      <c r="D54" s="26"/>
      <c r="E54" s="26"/>
      <c r="F54" s="26"/>
      <c r="G54" s="26"/>
      <c r="H54" s="26"/>
      <c r="I54" s="26"/>
      <c r="J54" s="26"/>
      <c r="K54" s="26"/>
      <c r="N54" s="12" t="s">
        <v>85</v>
      </c>
      <c r="O54" s="12">
        <v>27670.598336916006</v>
      </c>
      <c r="P54" s="12">
        <v>16238.71943987982</v>
      </c>
      <c r="Q54" s="12">
        <v>14270.850150405744</v>
      </c>
      <c r="R54" s="12">
        <v>13580.682838566911</v>
      </c>
      <c r="S54" s="12">
        <v>12807.277818293958</v>
      </c>
      <c r="T54" s="12">
        <v>12545.098958101324</v>
      </c>
      <c r="U54" s="12">
        <v>11661.772127031889</v>
      </c>
      <c r="V54" s="12">
        <v>10988.75341893153</v>
      </c>
      <c r="W54" s="12">
        <v>9429.2073349658967</v>
      </c>
      <c r="Z54" s="12" t="s">
        <v>37</v>
      </c>
      <c r="AA54" s="12">
        <v>2934.4338659086939</v>
      </c>
      <c r="AB54" s="12">
        <v>4752.9379626075424</v>
      </c>
      <c r="AC54" s="12">
        <v>5127.8107634665366</v>
      </c>
      <c r="AD54" s="12">
        <v>5062.877019005281</v>
      </c>
      <c r="AE54" s="12">
        <v>4952.1788978325994</v>
      </c>
      <c r="AF54" s="12">
        <v>4825.3398830509323</v>
      </c>
      <c r="AG54" s="12">
        <v>4602.3888056771839</v>
      </c>
      <c r="AH54" s="12">
        <v>4308.5255247133773</v>
      </c>
      <c r="AI54" s="12">
        <v>4012.8597144801311</v>
      </c>
    </row>
    <row r="55" spans="1:35" ht="15" x14ac:dyDescent="0.2">
      <c r="B55" s="13" t="s">
        <v>91</v>
      </c>
      <c r="C55" s="13">
        <v>34646.622306876001</v>
      </c>
      <c r="D55" s="13">
        <v>39830.824729726672</v>
      </c>
      <c r="E55" s="13">
        <v>42144.795369421132</v>
      </c>
      <c r="F55" s="13">
        <v>44390.64479379337</v>
      </c>
      <c r="G55" s="13">
        <v>46051.356926011998</v>
      </c>
      <c r="H55" s="13">
        <v>46629.435934633831</v>
      </c>
      <c r="I55" s="13">
        <v>46900.637502673715</v>
      </c>
      <c r="J55" s="13">
        <v>47816.073425851995</v>
      </c>
      <c r="K55" s="13">
        <v>48024.841243282688</v>
      </c>
      <c r="N55" s="12" t="s">
        <v>84</v>
      </c>
      <c r="O55" s="12">
        <v>456.18112573200005</v>
      </c>
      <c r="P55" s="12">
        <v>357.31650150391641</v>
      </c>
      <c r="Q55" s="12">
        <v>264.13037053645473</v>
      </c>
      <c r="R55" s="12">
        <v>197.40723248272758</v>
      </c>
      <c r="S55" s="12">
        <v>141.99158300983774</v>
      </c>
      <c r="T55" s="12">
        <v>102.26469616393572</v>
      </c>
      <c r="U55" s="12">
        <v>67.259180213478245</v>
      </c>
      <c r="V55" s="12">
        <v>47.84189794676594</v>
      </c>
      <c r="W55" s="12">
        <v>0</v>
      </c>
      <c r="Z55" s="12" t="s">
        <v>145</v>
      </c>
      <c r="AA55" s="12">
        <v>9984.1581453809231</v>
      </c>
      <c r="AB55" s="12">
        <v>11552.771899798952</v>
      </c>
      <c r="AC55" s="12">
        <v>12339.515344052197</v>
      </c>
      <c r="AD55" s="12">
        <v>12813.253365954228</v>
      </c>
      <c r="AE55" s="12">
        <v>13001.29611561471</v>
      </c>
      <c r="AF55" s="12">
        <v>13023.284702471303</v>
      </c>
      <c r="AG55" s="12">
        <v>13161.310042080493</v>
      </c>
      <c r="AH55" s="12">
        <v>13231.365151960821</v>
      </c>
      <c r="AI55" s="12">
        <v>13177.662267961243</v>
      </c>
    </row>
    <row r="56" spans="1:35" x14ac:dyDescent="0.15">
      <c r="N56" s="12" t="s">
        <v>86</v>
      </c>
      <c r="O56" s="12">
        <v>2403.1738376279995</v>
      </c>
      <c r="P56" s="12">
        <v>5028.6131615832492</v>
      </c>
      <c r="Q56" s="12">
        <v>4610.9648295434536</v>
      </c>
      <c r="R56" s="12">
        <v>4376.567358981466</v>
      </c>
      <c r="S56" s="12">
        <v>4187.2550631071535</v>
      </c>
      <c r="T56" s="12">
        <v>3915.9069434628427</v>
      </c>
      <c r="U56" s="12">
        <v>3853.9548838925325</v>
      </c>
      <c r="V56" s="12">
        <v>3814.6877740688319</v>
      </c>
      <c r="W56" s="12">
        <v>3495.2695836647745</v>
      </c>
      <c r="Z56" s="12" t="s">
        <v>146</v>
      </c>
      <c r="AA56" s="12">
        <v>1176.6585159486024</v>
      </c>
      <c r="AB56" s="12">
        <v>1159.7953096525835</v>
      </c>
      <c r="AC56" s="12">
        <v>1172.1738237792322</v>
      </c>
      <c r="AD56" s="12">
        <v>1228.996290537325</v>
      </c>
      <c r="AE56" s="12">
        <v>1281.9523258089018</v>
      </c>
      <c r="AF56" s="12">
        <v>1330.4090470077483</v>
      </c>
      <c r="AG56" s="12">
        <v>1376.2883186476652</v>
      </c>
      <c r="AH56" s="12">
        <v>1410.1506704235633</v>
      </c>
      <c r="AI56" s="12">
        <v>1428.0717163806007</v>
      </c>
    </row>
    <row r="57" spans="1:35" ht="19" x14ac:dyDescent="0.2">
      <c r="A57" s="26" t="s">
        <v>104</v>
      </c>
      <c r="B57" s="26"/>
      <c r="C57" s="26"/>
      <c r="D57" s="26"/>
      <c r="E57" s="26"/>
      <c r="F57" s="26"/>
      <c r="G57" s="26"/>
      <c r="H57" s="26"/>
      <c r="I57" s="26"/>
      <c r="J57" s="26"/>
      <c r="K57" s="26"/>
      <c r="N57" s="12" t="s">
        <v>37</v>
      </c>
      <c r="O57" s="12">
        <v>4282.8951823919997</v>
      </c>
      <c r="P57" s="12">
        <v>4408.3426873476228</v>
      </c>
      <c r="Q57" s="12">
        <v>4595.7506785705345</v>
      </c>
      <c r="R57" s="12">
        <v>4738.0831710233533</v>
      </c>
      <c r="S57" s="12">
        <v>5021.4994113816565</v>
      </c>
      <c r="T57" s="12">
        <v>5186.6228130405607</v>
      </c>
      <c r="U57" s="12">
        <v>5376.0918750632663</v>
      </c>
      <c r="V57" s="12">
        <v>5547.5869151793022</v>
      </c>
      <c r="W57" s="12">
        <v>5771.0991420817672</v>
      </c>
      <c r="Z57" s="13"/>
      <c r="AA57" s="13">
        <v>23369.321842664805</v>
      </c>
      <c r="AB57" s="13">
        <v>23985.382290428897</v>
      </c>
      <c r="AC57" s="13">
        <v>23438.265582563661</v>
      </c>
      <c r="AD57" s="13">
        <v>22920.519053910029</v>
      </c>
      <c r="AE57" s="13">
        <v>22326.420801644988</v>
      </c>
      <c r="AF57" s="13">
        <v>21674.019413805727</v>
      </c>
      <c r="AG57" s="13">
        <v>20971.375457688151</v>
      </c>
      <c r="AH57" s="13">
        <v>20434.835902010756</v>
      </c>
      <c r="AI57" s="13">
        <v>19965.821569805121</v>
      </c>
    </row>
    <row r="58" spans="1:35" x14ac:dyDescent="0.15">
      <c r="B58" s="12" t="s">
        <v>84</v>
      </c>
      <c r="C58" s="12">
        <v>101570.98527774001</v>
      </c>
      <c r="D58" s="12">
        <v>92939.833498498105</v>
      </c>
      <c r="E58" s="12">
        <v>82374.042413788979</v>
      </c>
      <c r="F58" s="12">
        <v>69531.033691722172</v>
      </c>
      <c r="G58" s="12">
        <v>55435.243284345503</v>
      </c>
      <c r="H58" s="12">
        <v>43423.457339959976</v>
      </c>
      <c r="I58" s="12">
        <v>33614.89621364489</v>
      </c>
      <c r="J58" s="12">
        <v>24443.344571365193</v>
      </c>
      <c r="K58" s="12">
        <v>19212.791102006791</v>
      </c>
      <c r="N58" s="12" t="s">
        <v>101</v>
      </c>
      <c r="O58" s="12">
        <v>662.26471642800016</v>
      </c>
      <c r="P58" s="12">
        <v>456.74452001948225</v>
      </c>
      <c r="Q58" s="12">
        <v>355.2333895263892</v>
      </c>
      <c r="R58" s="12">
        <v>298.52984782472527</v>
      </c>
      <c r="S58" s="12">
        <v>243.46825456559912</v>
      </c>
      <c r="T58" s="12">
        <v>210.99818788800101</v>
      </c>
      <c r="U58" s="12">
        <v>185.01277817634119</v>
      </c>
      <c r="V58" s="12">
        <v>181.26520859635534</v>
      </c>
      <c r="W58" s="12">
        <v>180.70921408994528</v>
      </c>
    </row>
    <row r="59" spans="1:35" ht="19" x14ac:dyDescent="0.15">
      <c r="B59" s="12" t="s">
        <v>85</v>
      </c>
      <c r="C59" s="12">
        <v>119.92389404400001</v>
      </c>
      <c r="D59" s="12">
        <v>0</v>
      </c>
      <c r="E59" s="12">
        <v>0</v>
      </c>
      <c r="F59" s="12">
        <v>0</v>
      </c>
      <c r="G59" s="12">
        <v>0</v>
      </c>
      <c r="H59" s="12">
        <v>0</v>
      </c>
      <c r="I59" s="12">
        <v>0</v>
      </c>
      <c r="J59" s="12">
        <v>0</v>
      </c>
      <c r="K59" s="12">
        <v>0</v>
      </c>
      <c r="N59" s="12" t="s">
        <v>105</v>
      </c>
      <c r="O59" s="12">
        <v>147.40244859600003</v>
      </c>
      <c r="P59" s="12">
        <v>244.53221676281473</v>
      </c>
      <c r="Q59" s="12">
        <v>212.8902581409431</v>
      </c>
      <c r="R59" s="12">
        <v>157.47887746684452</v>
      </c>
      <c r="S59" s="12">
        <v>92.230946804285821</v>
      </c>
      <c r="T59" s="12">
        <v>73.1861071784394</v>
      </c>
      <c r="U59" s="12">
        <v>60.349665999442287</v>
      </c>
      <c r="V59" s="12">
        <v>120.55200976268662</v>
      </c>
      <c r="W59" s="12">
        <v>289.77139681325013</v>
      </c>
      <c r="Y59" s="26" t="s">
        <v>158</v>
      </c>
      <c r="Z59" s="26"/>
      <c r="AA59" s="26"/>
      <c r="AB59" s="26"/>
      <c r="AC59" s="26"/>
      <c r="AD59" s="26"/>
      <c r="AE59" s="26"/>
      <c r="AF59" s="26"/>
      <c r="AG59" s="26"/>
      <c r="AH59" s="26"/>
      <c r="AI59" s="26"/>
    </row>
    <row r="60" spans="1:35" x14ac:dyDescent="0.15">
      <c r="B60" s="12" t="s">
        <v>86</v>
      </c>
      <c r="C60" s="12">
        <v>1628.971757496</v>
      </c>
      <c r="D60" s="12">
        <v>3187.4333286521528</v>
      </c>
      <c r="E60" s="12">
        <v>1919.6168380174647</v>
      </c>
      <c r="F60" s="12">
        <v>856.51410826144979</v>
      </c>
      <c r="G60" s="12">
        <v>197.41484841971189</v>
      </c>
      <c r="H60" s="12">
        <v>72.578632419305038</v>
      </c>
      <c r="I60" s="12">
        <v>41.861517649943103</v>
      </c>
      <c r="J60" s="12">
        <v>1.9491871706340016</v>
      </c>
      <c r="K60" s="12">
        <v>1.6068943390514651E-4</v>
      </c>
      <c r="N60" s="12" t="s">
        <v>125</v>
      </c>
      <c r="O60" s="12">
        <v>0</v>
      </c>
      <c r="P60" s="12">
        <v>0</v>
      </c>
      <c r="Q60" s="12">
        <v>0</v>
      </c>
      <c r="R60" s="12">
        <v>0</v>
      </c>
      <c r="S60" s="12">
        <v>0</v>
      </c>
      <c r="T60" s="12">
        <v>0</v>
      </c>
      <c r="U60" s="12">
        <v>0</v>
      </c>
      <c r="V60" s="12">
        <v>0</v>
      </c>
      <c r="W60" s="12">
        <v>0</v>
      </c>
      <c r="Z60" s="12" t="s">
        <v>85</v>
      </c>
      <c r="AA60" s="12">
        <v>0</v>
      </c>
      <c r="AB60" s="12">
        <v>0</v>
      </c>
      <c r="AC60" s="12">
        <v>0</v>
      </c>
      <c r="AD60" s="12">
        <v>0</v>
      </c>
      <c r="AE60" s="12">
        <v>0</v>
      </c>
      <c r="AF60" s="12">
        <v>0</v>
      </c>
      <c r="AG60" s="12">
        <v>0</v>
      </c>
      <c r="AH60" s="12">
        <v>0</v>
      </c>
      <c r="AI60" s="12">
        <v>0</v>
      </c>
    </row>
    <row r="61" spans="1:35" x14ac:dyDescent="0.15">
      <c r="B61" s="12" t="s">
        <v>37</v>
      </c>
      <c r="C61" s="12">
        <v>976.240091592</v>
      </c>
      <c r="D61" s="12">
        <v>3323.0832655602358</v>
      </c>
      <c r="E61" s="12">
        <v>5701.799654245031</v>
      </c>
      <c r="F61" s="12">
        <v>8995.61123508727</v>
      </c>
      <c r="G61" s="12">
        <v>13468.000189776831</v>
      </c>
      <c r="H61" s="12">
        <v>18970.418315915573</v>
      </c>
      <c r="I61" s="12">
        <v>25421.248232943497</v>
      </c>
      <c r="J61" s="12">
        <v>31919.861751491302</v>
      </c>
      <c r="K61" s="12">
        <v>37607.390568993294</v>
      </c>
      <c r="N61" s="12" t="s">
        <v>126</v>
      </c>
      <c r="O61" s="12">
        <v>0</v>
      </c>
      <c r="P61" s="12">
        <v>0</v>
      </c>
      <c r="Q61" s="12">
        <v>0</v>
      </c>
      <c r="R61" s="12">
        <v>0</v>
      </c>
      <c r="S61" s="12">
        <v>0</v>
      </c>
      <c r="T61" s="12">
        <v>0</v>
      </c>
      <c r="U61" s="12">
        <v>0</v>
      </c>
      <c r="V61" s="12">
        <v>0</v>
      </c>
      <c r="W61" s="12">
        <v>0</v>
      </c>
      <c r="Z61" s="12" t="s">
        <v>144</v>
      </c>
      <c r="AA61" s="12">
        <v>0</v>
      </c>
      <c r="AB61" s="12">
        <v>0</v>
      </c>
      <c r="AC61" s="12">
        <v>0</v>
      </c>
      <c r="AD61" s="12">
        <v>0</v>
      </c>
      <c r="AE61" s="12">
        <v>0</v>
      </c>
      <c r="AF61" s="12">
        <v>0</v>
      </c>
      <c r="AG61" s="12">
        <v>0</v>
      </c>
      <c r="AH61" s="12">
        <v>0</v>
      </c>
      <c r="AI61" s="12">
        <v>0</v>
      </c>
    </row>
    <row r="62" spans="1:35" ht="15" x14ac:dyDescent="0.2">
      <c r="B62" s="12" t="s">
        <v>105</v>
      </c>
      <c r="C62" s="12">
        <v>3090.1167674280005</v>
      </c>
      <c r="D62" s="12">
        <v>7896.8933058712937</v>
      </c>
      <c r="E62" s="12">
        <v>10765.303883310982</v>
      </c>
      <c r="F62" s="12">
        <v>14114.224924911323</v>
      </c>
      <c r="G62" s="12">
        <v>17660.517997039293</v>
      </c>
      <c r="H62" s="12">
        <v>20893.348096090085</v>
      </c>
      <c r="I62" s="12">
        <v>22095.507836935361</v>
      </c>
      <c r="J62" s="12">
        <v>23604.656086262214</v>
      </c>
      <c r="K62" s="12">
        <v>23814.085688447663</v>
      </c>
      <c r="N62" s="13" t="s">
        <v>91</v>
      </c>
      <c r="O62" s="13">
        <v>35622.515647692009</v>
      </c>
      <c r="P62" s="13">
        <v>26734.268527096905</v>
      </c>
      <c r="Q62" s="13">
        <v>24309.81967672352</v>
      </c>
      <c r="R62" s="13">
        <v>23348.749326346027</v>
      </c>
      <c r="S62" s="13">
        <v>22493.723077162489</v>
      </c>
      <c r="T62" s="13">
        <v>22034.077705835109</v>
      </c>
      <c r="U62" s="13">
        <v>21204.44051037695</v>
      </c>
      <c r="V62" s="13">
        <v>20700.687224485475</v>
      </c>
      <c r="W62" s="13">
        <v>19166.056671615632</v>
      </c>
      <c r="Z62" s="12" t="s">
        <v>86</v>
      </c>
      <c r="AA62" s="12">
        <v>356.69126750091334</v>
      </c>
      <c r="AB62" s="12">
        <v>210.28198746123741</v>
      </c>
      <c r="AC62" s="12">
        <v>167.16661272774087</v>
      </c>
      <c r="AD62" s="12">
        <v>141.88578854750841</v>
      </c>
      <c r="AE62" s="12">
        <v>115.32617777488912</v>
      </c>
      <c r="AF62" s="12">
        <v>87.948055300852047</v>
      </c>
      <c r="AG62" s="12">
        <v>60.050192465163555</v>
      </c>
      <c r="AH62" s="12">
        <v>48.930234775596716</v>
      </c>
      <c r="AI62" s="12">
        <v>37.137121659697797</v>
      </c>
    </row>
    <row r="63" spans="1:35" x14ac:dyDescent="0.15">
      <c r="B63" s="12" t="s">
        <v>99</v>
      </c>
      <c r="C63" s="12">
        <v>0</v>
      </c>
      <c r="D63" s="12">
        <v>66.552014436706088</v>
      </c>
      <c r="E63" s="12">
        <v>151.65413499956802</v>
      </c>
      <c r="F63" s="12">
        <v>254.91818577440949</v>
      </c>
      <c r="G63" s="12">
        <v>364.85480396439903</v>
      </c>
      <c r="H63" s="12">
        <v>497.69521862416963</v>
      </c>
      <c r="I63" s="12">
        <v>639.51289027828591</v>
      </c>
      <c r="J63" s="12">
        <v>760.33197528412927</v>
      </c>
      <c r="K63" s="12">
        <v>851.69649528042407</v>
      </c>
      <c r="Z63" s="12" t="s">
        <v>37</v>
      </c>
      <c r="AA63" s="12">
        <v>5608.7638616758341</v>
      </c>
      <c r="AB63" s="12">
        <v>6295.4700422647875</v>
      </c>
      <c r="AC63" s="12">
        <v>6906.7968309319604</v>
      </c>
      <c r="AD63" s="12">
        <v>7801.9614110410475</v>
      </c>
      <c r="AE63" s="12">
        <v>8614.6225908523047</v>
      </c>
      <c r="AF63" s="12">
        <v>9348.7899976545959</v>
      </c>
      <c r="AG63" s="12">
        <v>9952.2350334846378</v>
      </c>
      <c r="AH63" s="12">
        <v>10656.516844153815</v>
      </c>
      <c r="AI63" s="12">
        <v>11244.683643442433</v>
      </c>
    </row>
    <row r="64" spans="1:35" ht="19" x14ac:dyDescent="0.2">
      <c r="A64" s="13"/>
      <c r="B64" s="13" t="s">
        <v>91</v>
      </c>
      <c r="C64" s="13">
        <v>107386.2377883</v>
      </c>
      <c r="D64" s="13">
        <v>107413.79541301851</v>
      </c>
      <c r="E64" s="13">
        <v>100912.41692436203</v>
      </c>
      <c r="F64" s="13">
        <v>93752.302145756621</v>
      </c>
      <c r="G64" s="13">
        <v>87126.031123545734</v>
      </c>
      <c r="H64" s="13">
        <v>83857.497603009106</v>
      </c>
      <c r="I64" s="13">
        <v>81813.026691451974</v>
      </c>
      <c r="J64" s="13">
        <v>80730.14357157347</v>
      </c>
      <c r="K64" s="13">
        <v>81485.964015417616</v>
      </c>
      <c r="M64" s="26" t="s">
        <v>134</v>
      </c>
      <c r="N64" s="26"/>
      <c r="O64" s="26"/>
      <c r="P64" s="26"/>
      <c r="Q64" s="26"/>
      <c r="R64" s="26"/>
      <c r="S64" s="26"/>
      <c r="T64" s="26"/>
      <c r="U64" s="26"/>
      <c r="V64" s="26"/>
      <c r="W64" s="26"/>
      <c r="Z64" s="12" t="s">
        <v>145</v>
      </c>
      <c r="AA64" s="12">
        <v>5.7700681175143181E-11</v>
      </c>
      <c r="AB64" s="12">
        <v>47.872509630801751</v>
      </c>
      <c r="AC64" s="12">
        <v>74.810611899283899</v>
      </c>
      <c r="AD64" s="12">
        <v>117.7984019442971</v>
      </c>
      <c r="AE64" s="12">
        <v>163.2974647153533</v>
      </c>
      <c r="AF64" s="12">
        <v>210.01466478067647</v>
      </c>
      <c r="AG64" s="12">
        <v>256.33454894074777</v>
      </c>
      <c r="AH64" s="12">
        <v>333.73346753590653</v>
      </c>
      <c r="AI64" s="12">
        <v>405.20292349452353</v>
      </c>
    </row>
    <row r="65" spans="1:35" x14ac:dyDescent="0.15">
      <c r="N65" s="12" t="s">
        <v>85</v>
      </c>
      <c r="O65" s="12">
        <v>13870.01207379601</v>
      </c>
      <c r="P65" s="12">
        <v>10357.043064259076</v>
      </c>
      <c r="Q65" s="12">
        <v>5413.4125672041855</v>
      </c>
      <c r="R65" s="12">
        <v>3291.3564130173177</v>
      </c>
      <c r="S65" s="12">
        <v>1963.8752728235218</v>
      </c>
      <c r="T65" s="12">
        <v>931.28242833511649</v>
      </c>
      <c r="U65" s="12">
        <v>441.3780987252664</v>
      </c>
      <c r="V65" s="12">
        <v>221.72866635410114</v>
      </c>
      <c r="W65" s="12">
        <v>114.69412811533563</v>
      </c>
      <c r="Z65" s="12" t="s">
        <v>146</v>
      </c>
      <c r="AA65" s="12">
        <v>12.7746</v>
      </c>
      <c r="AB65" s="12">
        <v>0</v>
      </c>
      <c r="AC65" s="12">
        <v>0</v>
      </c>
      <c r="AD65" s="12">
        <v>0</v>
      </c>
      <c r="AE65" s="12">
        <v>0</v>
      </c>
      <c r="AF65" s="12">
        <v>0</v>
      </c>
      <c r="AG65" s="12">
        <v>0</v>
      </c>
      <c r="AH65" s="12">
        <v>0</v>
      </c>
      <c r="AI65" s="12">
        <v>0</v>
      </c>
    </row>
    <row r="66" spans="1:35" ht="19" x14ac:dyDescent="0.2">
      <c r="A66" s="26" t="s">
        <v>106</v>
      </c>
      <c r="B66" s="26"/>
      <c r="C66" s="26"/>
      <c r="D66" s="26"/>
      <c r="E66" s="26"/>
      <c r="F66" s="26"/>
      <c r="G66" s="26"/>
      <c r="H66" s="26"/>
      <c r="I66" s="26"/>
      <c r="J66" s="26"/>
      <c r="K66" s="26"/>
      <c r="N66" s="12" t="s">
        <v>84</v>
      </c>
      <c r="O66" s="12">
        <v>133.54003753200001</v>
      </c>
      <c r="P66" s="12">
        <v>44.027047425071451</v>
      </c>
      <c r="Q66" s="12">
        <v>24.464191263156323</v>
      </c>
      <c r="R66" s="12">
        <v>11.640521178572525</v>
      </c>
      <c r="S66" s="12">
        <v>6.2612669977447659</v>
      </c>
      <c r="T66" s="12">
        <v>2.0048062681018637</v>
      </c>
      <c r="U66" s="12">
        <v>0.32573324231355349</v>
      </c>
      <c r="V66" s="12">
        <v>0</v>
      </c>
      <c r="W66" s="12">
        <v>0</v>
      </c>
      <c r="Z66" s="13"/>
      <c r="AA66" s="13">
        <v>5978.2297291768045</v>
      </c>
      <c r="AB66" s="13">
        <v>6553.624539356827</v>
      </c>
      <c r="AC66" s="13">
        <v>7148.7740555589853</v>
      </c>
      <c r="AD66" s="13">
        <v>8061.6456015328531</v>
      </c>
      <c r="AE66" s="13">
        <v>8893.2462333425465</v>
      </c>
      <c r="AF66" s="13">
        <v>9646.7527177361244</v>
      </c>
      <c r="AG66" s="13">
        <v>10268.619774890549</v>
      </c>
      <c r="AH66" s="13">
        <v>11039.180546465319</v>
      </c>
      <c r="AI66" s="13">
        <v>11687.023688596655</v>
      </c>
    </row>
    <row r="67" spans="1:35" x14ac:dyDescent="0.15">
      <c r="B67" s="12" t="s">
        <v>84</v>
      </c>
      <c r="C67" s="12">
        <v>8669.9752402680024</v>
      </c>
      <c r="D67" s="12">
        <v>6142.1242543553017</v>
      </c>
      <c r="E67" s="12">
        <v>3560.7443280501689</v>
      </c>
      <c r="F67" s="12">
        <v>2068.4273443579459</v>
      </c>
      <c r="G67" s="12">
        <v>1349.6458748766017</v>
      </c>
      <c r="H67" s="12">
        <v>1028.0840677425122</v>
      </c>
      <c r="I67" s="12">
        <v>803.79580718529371</v>
      </c>
      <c r="J67" s="12">
        <v>573.34355996269755</v>
      </c>
      <c r="K67" s="12">
        <v>382.41753456187701</v>
      </c>
      <c r="N67" s="12" t="s">
        <v>86</v>
      </c>
      <c r="O67" s="12">
        <v>86.089232807999991</v>
      </c>
      <c r="P67" s="12">
        <v>218.01216566776475</v>
      </c>
      <c r="Q67" s="12">
        <v>170.56049906793615</v>
      </c>
      <c r="R67" s="12">
        <v>161.41422785987149</v>
      </c>
      <c r="S67" s="12">
        <v>120.51387378119932</v>
      </c>
      <c r="T67" s="12">
        <v>72.498800111123828</v>
      </c>
      <c r="U67" s="12">
        <v>8.1816665501724106</v>
      </c>
      <c r="V67" s="12">
        <v>4.7421415058275906</v>
      </c>
      <c r="W67" s="12">
        <v>4.7573001901964336</v>
      </c>
    </row>
    <row r="68" spans="1:35" ht="19" x14ac:dyDescent="0.15">
      <c r="B68" s="12" t="s">
        <v>85</v>
      </c>
      <c r="C68" s="12">
        <v>4603.1949282959986</v>
      </c>
      <c r="D68" s="12">
        <v>1657.533878626449</v>
      </c>
      <c r="E68" s="12">
        <v>768.18791277034006</v>
      </c>
      <c r="F68" s="12">
        <v>359.19808597177564</v>
      </c>
      <c r="G68" s="12">
        <v>172.55468418772247</v>
      </c>
      <c r="H68" s="12">
        <v>111.31532732592225</v>
      </c>
      <c r="I68" s="12">
        <v>61.811917064687648</v>
      </c>
      <c r="J68" s="12">
        <v>33.065313972374852</v>
      </c>
      <c r="K68" s="12">
        <v>24.079621212623248</v>
      </c>
      <c r="N68" s="12" t="s">
        <v>37</v>
      </c>
      <c r="O68" s="12">
        <v>37.940027975999996</v>
      </c>
      <c r="P68" s="12">
        <v>22.950444255181726</v>
      </c>
      <c r="Q68" s="12">
        <v>15.208010833890533</v>
      </c>
      <c r="R68" s="12">
        <v>12.069582335819156</v>
      </c>
      <c r="S68" s="12">
        <v>8.9315411051621449</v>
      </c>
      <c r="T68" s="12">
        <v>6.7560351684364655</v>
      </c>
      <c r="U68" s="12">
        <v>2.6888691044581856</v>
      </c>
      <c r="V68" s="12">
        <v>1.54559720674179</v>
      </c>
      <c r="W68" s="12">
        <v>1.330043288258427</v>
      </c>
      <c r="Y68" s="26" t="s">
        <v>159</v>
      </c>
      <c r="Z68" s="26"/>
      <c r="AA68" s="26"/>
      <c r="AB68" s="26"/>
      <c r="AC68" s="26"/>
      <c r="AD68" s="26"/>
      <c r="AE68" s="26"/>
      <c r="AF68" s="26"/>
      <c r="AG68" s="26"/>
      <c r="AH68" s="26"/>
      <c r="AI68" s="26"/>
    </row>
    <row r="69" spans="1:35" x14ac:dyDescent="0.15">
      <c r="B69" s="12" t="s">
        <v>86</v>
      </c>
      <c r="C69" s="12">
        <v>17570.527646724</v>
      </c>
      <c r="D69" s="12">
        <v>16581.487326101189</v>
      </c>
      <c r="E69" s="12">
        <v>14527.596230317227</v>
      </c>
      <c r="F69" s="12">
        <v>11627.611908224164</v>
      </c>
      <c r="G69" s="12">
        <v>9355.2174440964391</v>
      </c>
      <c r="H69" s="12">
        <v>7388.3574400262405</v>
      </c>
      <c r="I69" s="12">
        <v>5530.196363558387</v>
      </c>
      <c r="J69" s="12">
        <v>4108.5150493254541</v>
      </c>
      <c r="K69" s="12">
        <v>3275.3532099115118</v>
      </c>
      <c r="N69" s="12" t="s">
        <v>101</v>
      </c>
      <c r="O69" s="12">
        <v>14.731130196000002</v>
      </c>
      <c r="P69" s="12">
        <v>15.929903469970982</v>
      </c>
      <c r="Q69" s="12">
        <v>8.6717975212958347</v>
      </c>
      <c r="R69" s="12">
        <v>5.7968799150013179</v>
      </c>
      <c r="S69" s="12">
        <v>3.0439072950878465</v>
      </c>
      <c r="T69" s="12">
        <v>1.7742589970253317</v>
      </c>
      <c r="U69" s="12">
        <v>0.90728613480219156</v>
      </c>
      <c r="V69" s="12">
        <v>0.2928412285826848</v>
      </c>
      <c r="W69" s="12">
        <v>0.19553306537659762</v>
      </c>
      <c r="Z69" s="12" t="s">
        <v>85</v>
      </c>
      <c r="AA69" s="12">
        <v>56.100631891199988</v>
      </c>
      <c r="AB69" s="12">
        <v>2.8035385778601829</v>
      </c>
      <c r="AC69" s="12">
        <v>0</v>
      </c>
      <c r="AD69" s="12">
        <v>0</v>
      </c>
      <c r="AE69" s="12">
        <v>0</v>
      </c>
      <c r="AF69" s="12">
        <v>0</v>
      </c>
      <c r="AG69" s="12">
        <v>0</v>
      </c>
      <c r="AH69" s="12">
        <v>0</v>
      </c>
      <c r="AI69" s="12">
        <v>0</v>
      </c>
    </row>
    <row r="70" spans="1:35" x14ac:dyDescent="0.15">
      <c r="B70" s="12" t="s">
        <v>37</v>
      </c>
      <c r="C70" s="12">
        <v>19355.351736312001</v>
      </c>
      <c r="D70" s="12">
        <v>26255.279729168549</v>
      </c>
      <c r="E70" s="12">
        <v>29753.106334502369</v>
      </c>
      <c r="F70" s="12">
        <v>33259.119387878854</v>
      </c>
      <c r="G70" s="12">
        <v>36499.286147439292</v>
      </c>
      <c r="H70" s="12">
        <v>39375.520960042333</v>
      </c>
      <c r="I70" s="12">
        <v>41890.313971833675</v>
      </c>
      <c r="J70" s="12">
        <v>44302.437471731901</v>
      </c>
      <c r="K70" s="12">
        <v>46758.144002297689</v>
      </c>
      <c r="N70" s="12" t="s">
        <v>105</v>
      </c>
      <c r="O70" s="12">
        <v>9.3835398960000003</v>
      </c>
      <c r="P70" s="12">
        <v>1.9242175649382987</v>
      </c>
      <c r="Q70" s="12">
        <v>1.6035146480237334</v>
      </c>
      <c r="R70" s="12">
        <v>1.1402769722917154</v>
      </c>
      <c r="S70" s="12">
        <v>0.5345051685699278</v>
      </c>
      <c r="T70" s="12">
        <v>0.3563367259194315</v>
      </c>
      <c r="U70" s="12">
        <v>0</v>
      </c>
      <c r="V70" s="12">
        <v>0</v>
      </c>
      <c r="W70" s="12">
        <v>0</v>
      </c>
      <c r="Z70" s="12" t="s">
        <v>144</v>
      </c>
      <c r="AA70" s="12">
        <v>1386.5717122470619</v>
      </c>
      <c r="AB70" s="12">
        <v>793.80004106248407</v>
      </c>
      <c r="AC70" s="12">
        <v>532.10398530722125</v>
      </c>
      <c r="AD70" s="12">
        <v>444.9445633327648</v>
      </c>
      <c r="AE70" s="12">
        <v>371.43708916422054</v>
      </c>
      <c r="AF70" s="12">
        <v>298.57305575824091</v>
      </c>
      <c r="AG70" s="12">
        <v>223.10033901758325</v>
      </c>
      <c r="AH70" s="12">
        <v>170.11836525339066</v>
      </c>
      <c r="AI70" s="12">
        <v>104.67415140330121</v>
      </c>
    </row>
    <row r="71" spans="1:35" x14ac:dyDescent="0.15">
      <c r="B71" s="12" t="s">
        <v>101</v>
      </c>
      <c r="C71" s="12">
        <v>4409.1315147960004</v>
      </c>
      <c r="D71" s="12">
        <v>5063.785702709728</v>
      </c>
      <c r="E71" s="12">
        <v>4896.3367536566593</v>
      </c>
      <c r="F71" s="12">
        <v>5052.9128712093097</v>
      </c>
      <c r="G71" s="12">
        <v>5074.8563522995537</v>
      </c>
      <c r="H71" s="12">
        <v>4984.5311132765273</v>
      </c>
      <c r="I71" s="12">
        <v>4884.5085460257196</v>
      </c>
      <c r="J71" s="12">
        <v>4712.7262836198879</v>
      </c>
      <c r="K71" s="12">
        <v>4503.2733411070858</v>
      </c>
      <c r="N71" s="12" t="s">
        <v>125</v>
      </c>
      <c r="O71" s="12">
        <v>0</v>
      </c>
      <c r="P71" s="12">
        <v>0</v>
      </c>
      <c r="Q71" s="12">
        <v>0</v>
      </c>
      <c r="R71" s="12">
        <v>0</v>
      </c>
      <c r="S71" s="12">
        <v>0</v>
      </c>
      <c r="T71" s="12">
        <v>0</v>
      </c>
      <c r="U71" s="12">
        <v>0</v>
      </c>
      <c r="V71" s="12">
        <v>0</v>
      </c>
      <c r="W71" s="12">
        <v>0</v>
      </c>
      <c r="Z71" s="12" t="s">
        <v>86</v>
      </c>
      <c r="AA71" s="12">
        <v>999.27765924186394</v>
      </c>
      <c r="AB71" s="12">
        <v>764.77010889524763</v>
      </c>
      <c r="AC71" s="12">
        <v>569.88748296758797</v>
      </c>
      <c r="AD71" s="12">
        <v>506.82100923645839</v>
      </c>
      <c r="AE71" s="12">
        <v>436.12030260772235</v>
      </c>
      <c r="AF71" s="12">
        <v>359.41489940984502</v>
      </c>
      <c r="AG71" s="12">
        <v>277.75343451533217</v>
      </c>
      <c r="AH71" s="12">
        <v>253.45254311763961</v>
      </c>
      <c r="AI71" s="12">
        <v>227.20542680499315</v>
      </c>
    </row>
    <row r="72" spans="1:35" x14ac:dyDescent="0.15">
      <c r="B72" s="12" t="s">
        <v>88</v>
      </c>
      <c r="C72" s="12">
        <v>29546.776672080003</v>
      </c>
      <c r="D72" s="12">
        <v>31461.734941420462</v>
      </c>
      <c r="E72" s="12">
        <v>30395.251622345193</v>
      </c>
      <c r="F72" s="12">
        <v>28893.738751306257</v>
      </c>
      <c r="G72" s="12">
        <v>27075.884485307586</v>
      </c>
      <c r="H72" s="12">
        <v>24928.204641186781</v>
      </c>
      <c r="I72" s="12">
        <v>23228.934992192968</v>
      </c>
      <c r="J72" s="12">
        <v>21484.47354767401</v>
      </c>
      <c r="K72" s="12">
        <v>19244.773280368379</v>
      </c>
      <c r="N72" s="12" t="s">
        <v>126</v>
      </c>
      <c r="O72" s="12">
        <v>0</v>
      </c>
      <c r="P72" s="12">
        <v>0</v>
      </c>
      <c r="Q72" s="12">
        <v>0</v>
      </c>
      <c r="R72" s="12">
        <v>0</v>
      </c>
      <c r="S72" s="12">
        <v>0</v>
      </c>
      <c r="T72" s="12">
        <v>0</v>
      </c>
      <c r="U72" s="12">
        <v>0</v>
      </c>
      <c r="V72" s="12">
        <v>0</v>
      </c>
      <c r="W72" s="12">
        <v>0</v>
      </c>
      <c r="Z72" s="12" t="s">
        <v>37</v>
      </c>
      <c r="AA72" s="12">
        <v>24476.757375829049</v>
      </c>
      <c r="AB72" s="12">
        <v>27135.62608138342</v>
      </c>
      <c r="AC72" s="12">
        <v>28628.123833799767</v>
      </c>
      <c r="AD72" s="12">
        <v>30756.757551924715</v>
      </c>
      <c r="AE72" s="12">
        <v>32948.959633832274</v>
      </c>
      <c r="AF72" s="12">
        <v>35164.888046455744</v>
      </c>
      <c r="AG72" s="12">
        <v>37325.456250578965</v>
      </c>
      <c r="AH72" s="12">
        <v>39619.748547735755</v>
      </c>
      <c r="AI72" s="12">
        <v>41880.513343758823</v>
      </c>
    </row>
    <row r="73" spans="1:35" ht="15" x14ac:dyDescent="0.2">
      <c r="B73" s="12" t="s">
        <v>99</v>
      </c>
      <c r="C73" s="12">
        <v>0</v>
      </c>
      <c r="D73" s="12">
        <v>0</v>
      </c>
      <c r="E73" s="12">
        <v>0</v>
      </c>
      <c r="F73" s="12">
        <v>0</v>
      </c>
      <c r="G73" s="12">
        <v>0</v>
      </c>
      <c r="H73" s="12">
        <v>0</v>
      </c>
      <c r="I73" s="12">
        <v>0</v>
      </c>
      <c r="J73" s="12">
        <v>0</v>
      </c>
      <c r="K73" s="12">
        <v>0</v>
      </c>
      <c r="N73" s="13" t="s">
        <v>91</v>
      </c>
      <c r="O73" s="13">
        <v>14151.69604220401</v>
      </c>
      <c r="P73" s="13">
        <v>10659.886842642005</v>
      </c>
      <c r="Q73" s="13">
        <v>5633.9205805384872</v>
      </c>
      <c r="R73" s="13">
        <v>3483.4179012788741</v>
      </c>
      <c r="S73" s="13">
        <v>2103.160367171286</v>
      </c>
      <c r="T73" s="13">
        <v>1014.6726656057234</v>
      </c>
      <c r="U73" s="13">
        <v>453.48165375701274</v>
      </c>
      <c r="V73" s="13">
        <v>228.30924629525322</v>
      </c>
      <c r="W73" s="13">
        <v>120.97700465916708</v>
      </c>
      <c r="Z73" s="12" t="s">
        <v>145</v>
      </c>
      <c r="AA73" s="12">
        <v>411.08837261348009</v>
      </c>
      <c r="AB73" s="12">
        <v>439.96950990909716</v>
      </c>
      <c r="AC73" s="12">
        <v>434.20458026487938</v>
      </c>
      <c r="AD73" s="12">
        <v>494.09295237622189</v>
      </c>
      <c r="AE73" s="12">
        <v>544.83259573676094</v>
      </c>
      <c r="AF73" s="12">
        <v>585.25706754765793</v>
      </c>
      <c r="AG73" s="12">
        <v>615.10335174712407</v>
      </c>
      <c r="AH73" s="12">
        <v>654.21611691362057</v>
      </c>
      <c r="AI73" s="12">
        <v>687.85512754703359</v>
      </c>
    </row>
    <row r="74" spans="1:35" x14ac:dyDescent="0.15">
      <c r="B74" s="12" t="s">
        <v>90</v>
      </c>
      <c r="C74" s="12">
        <v>1134.314986464</v>
      </c>
      <c r="D74" s="12">
        <v>2525.4837905773607</v>
      </c>
      <c r="E74" s="12">
        <v>3574.6378811152681</v>
      </c>
      <c r="F74" s="12">
        <v>4465.5571233744095</v>
      </c>
      <c r="G74" s="12">
        <v>5102.3738093512029</v>
      </c>
      <c r="H74" s="12">
        <v>5651.7449411149564</v>
      </c>
      <c r="I74" s="12">
        <v>6169.9056262978011</v>
      </c>
      <c r="J74" s="12">
        <v>6633.9974610453191</v>
      </c>
      <c r="K74" s="12">
        <v>7049.2076387418692</v>
      </c>
      <c r="Z74" s="12" t="s">
        <v>146</v>
      </c>
      <c r="AA74" s="12">
        <v>0</v>
      </c>
      <c r="AB74" s="12">
        <v>0</v>
      </c>
      <c r="AC74" s="12">
        <v>0</v>
      </c>
      <c r="AD74" s="12">
        <v>0</v>
      </c>
      <c r="AE74" s="12">
        <v>0</v>
      </c>
      <c r="AF74" s="12">
        <v>0</v>
      </c>
      <c r="AG74" s="12">
        <v>0</v>
      </c>
      <c r="AH74" s="12">
        <v>0</v>
      </c>
      <c r="AI74" s="12">
        <v>0</v>
      </c>
    </row>
    <row r="75" spans="1:35" ht="19" x14ac:dyDescent="0.2">
      <c r="B75" s="13" t="s">
        <v>91</v>
      </c>
      <c r="C75" s="13">
        <v>85289.272724940005</v>
      </c>
      <c r="D75" s="13">
        <v>89687.42962295904</v>
      </c>
      <c r="E75" s="13">
        <v>87475.86106275722</v>
      </c>
      <c r="F75" s="13">
        <v>85726.56547232272</v>
      </c>
      <c r="G75" s="13">
        <v>84629.818797558401</v>
      </c>
      <c r="H75" s="13">
        <v>83467.758490715278</v>
      </c>
      <c r="I75" s="13">
        <v>82569.467224158536</v>
      </c>
      <c r="J75" s="13">
        <v>81848.558687331635</v>
      </c>
      <c r="K75" s="13">
        <v>81237.248628201036</v>
      </c>
      <c r="M75" s="26" t="s">
        <v>135</v>
      </c>
      <c r="N75" s="26"/>
      <c r="O75" s="26"/>
      <c r="P75" s="26"/>
      <c r="Q75" s="26"/>
      <c r="R75" s="26"/>
      <c r="S75" s="26"/>
      <c r="T75" s="26"/>
      <c r="U75" s="26"/>
      <c r="V75" s="26"/>
      <c r="W75" s="26"/>
      <c r="Z75" s="13"/>
      <c r="AA75" s="13">
        <v>27329.795751822658</v>
      </c>
      <c r="AB75" s="13">
        <v>29136.96927982811</v>
      </c>
      <c r="AC75" s="13">
        <v>30164.319882339456</v>
      </c>
      <c r="AD75" s="13">
        <v>32202.616076870159</v>
      </c>
      <c r="AE75" s="13">
        <v>34301.349621340982</v>
      </c>
      <c r="AF75" s="13">
        <v>36408.13306917149</v>
      </c>
      <c r="AG75" s="13">
        <v>38441.413375859003</v>
      </c>
      <c r="AH75" s="13">
        <v>40697.53557302041</v>
      </c>
      <c r="AI75" s="13">
        <v>42900.24804951415</v>
      </c>
    </row>
    <row r="76" spans="1:35" ht="15" x14ac:dyDescent="0.2">
      <c r="B76" s="13"/>
      <c r="C76" s="13"/>
      <c r="D76" s="13"/>
      <c r="E76" s="13"/>
      <c r="F76" s="13"/>
      <c r="G76" s="13"/>
      <c r="H76" s="13"/>
      <c r="I76" s="13"/>
      <c r="J76" s="13"/>
      <c r="K76" s="13"/>
      <c r="N76" s="12" t="s">
        <v>85</v>
      </c>
      <c r="O76" s="12">
        <v>1434.6152433137115</v>
      </c>
      <c r="P76" s="12">
        <v>910.42045194234743</v>
      </c>
      <c r="Q76" s="12">
        <v>824.10594859534524</v>
      </c>
      <c r="R76" s="12">
        <v>647.18785314002764</v>
      </c>
      <c r="S76" s="12">
        <v>443.26483565475041</v>
      </c>
      <c r="T76" s="12">
        <v>133.60478395587921</v>
      </c>
      <c r="U76" s="12">
        <v>145.56484715541743</v>
      </c>
      <c r="V76" s="12">
        <v>135.12410498682351</v>
      </c>
      <c r="W76" s="12">
        <v>114.24211570309846</v>
      </c>
    </row>
    <row r="77" spans="1:35" ht="19" x14ac:dyDescent="0.15">
      <c r="A77" s="26" t="s">
        <v>107</v>
      </c>
      <c r="B77" s="26"/>
      <c r="C77" s="26"/>
      <c r="D77" s="26"/>
      <c r="E77" s="26"/>
      <c r="F77" s="26"/>
      <c r="G77" s="26"/>
      <c r="H77" s="26"/>
      <c r="I77" s="26"/>
      <c r="J77" s="26"/>
      <c r="K77" s="26"/>
      <c r="N77" s="12" t="s">
        <v>84</v>
      </c>
      <c r="O77" s="12">
        <v>50.602495132025368</v>
      </c>
      <c r="P77" s="12">
        <v>51.031283184450608</v>
      </c>
      <c r="Q77" s="12">
        <v>47.924509002069328</v>
      </c>
      <c r="R77" s="12">
        <v>42.998863996384593</v>
      </c>
      <c r="S77" s="12">
        <v>37.571097845335267</v>
      </c>
      <c r="T77" s="12">
        <v>31.71546625095662</v>
      </c>
      <c r="U77" s="12">
        <v>25.490245820068985</v>
      </c>
      <c r="V77" s="12">
        <v>26.015627146660147</v>
      </c>
      <c r="W77" s="12">
        <v>26.468980272102495</v>
      </c>
      <c r="Y77" s="26" t="s">
        <v>160</v>
      </c>
      <c r="Z77" s="26"/>
      <c r="AA77" s="26"/>
      <c r="AB77" s="26"/>
      <c r="AC77" s="26"/>
      <c r="AD77" s="26"/>
      <c r="AE77" s="26"/>
      <c r="AF77" s="26"/>
      <c r="AG77" s="26"/>
      <c r="AH77" s="26"/>
      <c r="AI77" s="26"/>
    </row>
    <row r="78" spans="1:35" x14ac:dyDescent="0.15">
      <c r="B78" s="12" t="s">
        <v>84</v>
      </c>
      <c r="C78" s="12">
        <v>4391.433492516001</v>
      </c>
      <c r="D78" s="12">
        <v>2121.2826458329155</v>
      </c>
      <c r="E78" s="12">
        <v>1125.723936174348</v>
      </c>
      <c r="F78" s="12">
        <v>880.22113112642739</v>
      </c>
      <c r="G78" s="12">
        <v>600.9326472673938</v>
      </c>
      <c r="H78" s="12">
        <v>330.15116084814088</v>
      </c>
      <c r="I78" s="12">
        <v>52.472473432522143</v>
      </c>
      <c r="J78" s="12">
        <v>38.671515992761485</v>
      </c>
      <c r="K78" s="12">
        <v>26.700775332842738</v>
      </c>
      <c r="N78" s="12" t="s">
        <v>86</v>
      </c>
      <c r="O78" s="12">
        <v>675.6629870138172</v>
      </c>
      <c r="P78" s="12">
        <v>826.34394292507545</v>
      </c>
      <c r="Q78" s="12">
        <v>815.12058881568464</v>
      </c>
      <c r="R78" s="12">
        <v>646.37981349857432</v>
      </c>
      <c r="S78" s="12">
        <v>434.48888330968879</v>
      </c>
      <c r="T78" s="12">
        <v>302.73084057394937</v>
      </c>
      <c r="U78" s="12">
        <v>441.07129929260412</v>
      </c>
      <c r="V78" s="12">
        <v>455.59150454050132</v>
      </c>
      <c r="W78" s="12">
        <v>501.61951881013448</v>
      </c>
      <c r="Z78" s="12" t="s">
        <v>85</v>
      </c>
      <c r="AA78" s="12">
        <v>0</v>
      </c>
      <c r="AB78" s="12">
        <v>0</v>
      </c>
      <c r="AC78" s="12">
        <v>0</v>
      </c>
      <c r="AD78" s="12">
        <v>0</v>
      </c>
      <c r="AE78" s="12">
        <v>0</v>
      </c>
      <c r="AF78" s="12">
        <v>0</v>
      </c>
      <c r="AG78" s="12">
        <v>0</v>
      </c>
      <c r="AH78" s="12">
        <v>0</v>
      </c>
      <c r="AI78" s="12">
        <v>0</v>
      </c>
    </row>
    <row r="79" spans="1:35" x14ac:dyDescent="0.15">
      <c r="B79" s="12" t="s">
        <v>85</v>
      </c>
      <c r="C79" s="12">
        <v>2827.4384008080001</v>
      </c>
      <c r="D79" s="12">
        <v>1062.3008854097923</v>
      </c>
      <c r="E79" s="12">
        <v>510.14862926809593</v>
      </c>
      <c r="F79" s="12">
        <v>343.40024284904734</v>
      </c>
      <c r="G79" s="12">
        <v>163.35771355588221</v>
      </c>
      <c r="H79" s="12">
        <v>80.221695899015387</v>
      </c>
      <c r="I79" s="12">
        <v>0</v>
      </c>
      <c r="J79" s="12">
        <v>0</v>
      </c>
      <c r="K79" s="12">
        <v>0</v>
      </c>
      <c r="N79" s="12" t="s">
        <v>37</v>
      </c>
      <c r="O79" s="12">
        <v>1025.6459611143143</v>
      </c>
      <c r="P79" s="12">
        <v>1108.0628438172164</v>
      </c>
      <c r="Q79" s="12">
        <v>1137.2737513526686</v>
      </c>
      <c r="R79" s="12">
        <v>1152.6679854467557</v>
      </c>
      <c r="S79" s="12">
        <v>1160.1904333814118</v>
      </c>
      <c r="T79" s="12">
        <v>1157.2113002185097</v>
      </c>
      <c r="U79" s="12">
        <v>1147.1366548084779</v>
      </c>
      <c r="V79" s="12">
        <v>1183.5629528862064</v>
      </c>
      <c r="W79" s="12">
        <v>1218.1711176051322</v>
      </c>
      <c r="Z79" s="12" t="s">
        <v>144</v>
      </c>
      <c r="AA79" s="12">
        <v>547.1828691444</v>
      </c>
      <c r="AB79" s="12">
        <v>301.54031254526222</v>
      </c>
      <c r="AC79" s="12">
        <v>213.95507141120217</v>
      </c>
      <c r="AD79" s="12">
        <v>186.18564588347695</v>
      </c>
      <c r="AE79" s="12">
        <v>177.72717348571868</v>
      </c>
      <c r="AF79" s="12">
        <v>173.90337664392248</v>
      </c>
      <c r="AG79" s="12">
        <v>170.6278655850611</v>
      </c>
      <c r="AH79" s="12">
        <v>131.44684926062919</v>
      </c>
      <c r="AI79" s="12">
        <v>77.973376070458471</v>
      </c>
    </row>
    <row r="80" spans="1:35" x14ac:dyDescent="0.15">
      <c r="B80" s="12" t="s">
        <v>86</v>
      </c>
      <c r="C80" s="12">
        <v>7745.9685350400005</v>
      </c>
      <c r="D80" s="12">
        <v>5569.7324791725314</v>
      </c>
      <c r="E80" s="12">
        <v>4553.1245712943537</v>
      </c>
      <c r="F80" s="12">
        <v>4052.6665589945078</v>
      </c>
      <c r="G80" s="12">
        <v>3471.4382876745876</v>
      </c>
      <c r="H80" s="12">
        <v>2896.8676042701768</v>
      </c>
      <c r="I80" s="12">
        <v>2283.6977129189472</v>
      </c>
      <c r="J80" s="12">
        <v>2042.9091618049777</v>
      </c>
      <c r="K80" s="12">
        <v>1805.7650799050241</v>
      </c>
      <c r="N80" s="12" t="s">
        <v>101</v>
      </c>
      <c r="O80" s="12">
        <v>2498.1298816163753</v>
      </c>
      <c r="P80" s="12">
        <v>2608.9094670729201</v>
      </c>
      <c r="Q80" s="12">
        <v>2616.872423010233</v>
      </c>
      <c r="R80" s="12">
        <v>2652.3248777629742</v>
      </c>
      <c r="S80" s="12">
        <v>2692.2743388087069</v>
      </c>
      <c r="T80" s="12">
        <v>2812.9022781082713</v>
      </c>
      <c r="U80" s="12">
        <v>2506.3509973349769</v>
      </c>
      <c r="V80" s="12">
        <v>2490.7471417083125</v>
      </c>
      <c r="W80" s="12">
        <v>2500.2005373290199</v>
      </c>
      <c r="Z80" s="12" t="s">
        <v>86</v>
      </c>
      <c r="AA80" s="12">
        <v>0</v>
      </c>
      <c r="AB80" s="12">
        <v>0</v>
      </c>
      <c r="AC80" s="12">
        <v>0</v>
      </c>
      <c r="AD80" s="12">
        <v>0</v>
      </c>
      <c r="AE80" s="12">
        <v>0</v>
      </c>
      <c r="AF80" s="12">
        <v>0</v>
      </c>
      <c r="AG80" s="12">
        <v>0</v>
      </c>
      <c r="AH80" s="12">
        <v>0</v>
      </c>
      <c r="AI80" s="12">
        <v>0</v>
      </c>
    </row>
    <row r="81" spans="1:35" x14ac:dyDescent="0.15">
      <c r="B81" s="12" t="s">
        <v>37</v>
      </c>
      <c r="C81" s="12">
        <v>19010.746987464005</v>
      </c>
      <c r="D81" s="12">
        <v>19984.682156372055</v>
      </c>
      <c r="E81" s="12">
        <v>20613.557593371843</v>
      </c>
      <c r="F81" s="12">
        <v>21436.631918460633</v>
      </c>
      <c r="G81" s="12">
        <v>22036.409493120856</v>
      </c>
      <c r="H81" s="12">
        <v>22432.591723770274</v>
      </c>
      <c r="I81" s="12">
        <v>22640.446108941025</v>
      </c>
      <c r="J81" s="12">
        <v>23122.176646764692</v>
      </c>
      <c r="K81" s="12">
        <v>23369.794062290537</v>
      </c>
      <c r="N81" s="12" t="s">
        <v>105</v>
      </c>
      <c r="O81" s="12">
        <v>260.92864474479711</v>
      </c>
      <c r="P81" s="12">
        <v>279.91628332609253</v>
      </c>
      <c r="Q81" s="12">
        <v>328.82857800369737</v>
      </c>
      <c r="R81" s="12">
        <v>393.11852372028233</v>
      </c>
      <c r="S81" s="12">
        <v>494.33046525324511</v>
      </c>
      <c r="T81" s="12">
        <v>585.37234677683216</v>
      </c>
      <c r="U81" s="12">
        <v>437.25987453013272</v>
      </c>
      <c r="V81" s="12">
        <v>593.05428113055279</v>
      </c>
      <c r="W81" s="12">
        <v>678.27124888165395</v>
      </c>
      <c r="Z81" s="12" t="s">
        <v>37</v>
      </c>
      <c r="AA81" s="12">
        <v>7225.9041762244478</v>
      </c>
      <c r="AB81" s="12">
        <v>6399.3407620673697</v>
      </c>
      <c r="AC81" s="12">
        <v>5999.5210804054741</v>
      </c>
      <c r="AD81" s="12">
        <v>6153.5723313716389</v>
      </c>
      <c r="AE81" s="12">
        <v>6277.9405913505179</v>
      </c>
      <c r="AF81" s="12">
        <v>6341.8922206781872</v>
      </c>
      <c r="AG81" s="12">
        <v>6340.4780484765761</v>
      </c>
      <c r="AH81" s="12">
        <v>6503.62367581748</v>
      </c>
      <c r="AI81" s="12">
        <v>6630.5045363272793</v>
      </c>
    </row>
    <row r="82" spans="1:35" x14ac:dyDescent="0.15">
      <c r="B82" s="12" t="s">
        <v>101</v>
      </c>
      <c r="C82" s="12">
        <v>1770.9367251960002</v>
      </c>
      <c r="D82" s="12">
        <v>1751.557803868337</v>
      </c>
      <c r="E82" s="12">
        <v>1835.5851097093469</v>
      </c>
      <c r="F82" s="12">
        <v>1885.8801798309364</v>
      </c>
      <c r="G82" s="12">
        <v>1912.4539100521308</v>
      </c>
      <c r="H82" s="12">
        <v>1914.7629733234173</v>
      </c>
      <c r="I82" s="12">
        <v>1890.5816026581826</v>
      </c>
      <c r="J82" s="12">
        <v>1822.4658162513313</v>
      </c>
      <c r="K82" s="12">
        <v>1744.4044353077929</v>
      </c>
      <c r="N82" s="12" t="s">
        <v>125</v>
      </c>
      <c r="O82" s="12">
        <v>0</v>
      </c>
      <c r="P82" s="12">
        <v>0</v>
      </c>
      <c r="Q82" s="12">
        <v>0</v>
      </c>
      <c r="R82" s="12">
        <v>0</v>
      </c>
      <c r="S82" s="12">
        <v>0</v>
      </c>
      <c r="T82" s="12">
        <v>0</v>
      </c>
      <c r="U82" s="12">
        <v>0</v>
      </c>
      <c r="V82" s="12">
        <v>0</v>
      </c>
      <c r="W82" s="12">
        <v>0</v>
      </c>
      <c r="Z82" s="12" t="s">
        <v>145</v>
      </c>
      <c r="AA82" s="12">
        <v>0</v>
      </c>
      <c r="AB82" s="12">
        <v>0</v>
      </c>
      <c r="AC82" s="12">
        <v>0</v>
      </c>
      <c r="AD82" s="12">
        <v>0</v>
      </c>
      <c r="AE82" s="12">
        <v>0</v>
      </c>
      <c r="AF82" s="12">
        <v>0</v>
      </c>
      <c r="AG82" s="12">
        <v>0</v>
      </c>
      <c r="AH82" s="12">
        <v>0</v>
      </c>
      <c r="AI82" s="12">
        <v>0</v>
      </c>
    </row>
    <row r="83" spans="1:35" x14ac:dyDescent="0.15">
      <c r="B83" s="12" t="s">
        <v>88</v>
      </c>
      <c r="C83" s="12">
        <v>1036.5383014560002</v>
      </c>
      <c r="D83" s="12">
        <v>1379.8826243229241</v>
      </c>
      <c r="E83" s="12">
        <v>1605.3178507247676</v>
      </c>
      <c r="F83" s="12">
        <v>1829.1728190267004</v>
      </c>
      <c r="G83" s="12">
        <v>2019.7642568529027</v>
      </c>
      <c r="H83" s="12">
        <v>2176.0447435784013</v>
      </c>
      <c r="I83" s="12">
        <v>2294.5265594939369</v>
      </c>
      <c r="J83" s="12">
        <v>2254.4299830012828</v>
      </c>
      <c r="K83" s="12">
        <v>2196.8524106989244</v>
      </c>
      <c r="N83" s="12" t="s">
        <v>126</v>
      </c>
      <c r="O83" s="12">
        <v>0</v>
      </c>
      <c r="P83" s="12">
        <v>0</v>
      </c>
      <c r="Q83" s="12">
        <v>0</v>
      </c>
      <c r="R83" s="12">
        <v>0</v>
      </c>
      <c r="S83" s="12">
        <v>0</v>
      </c>
      <c r="T83" s="12">
        <v>0</v>
      </c>
      <c r="U83" s="12">
        <v>0</v>
      </c>
      <c r="V83" s="12">
        <v>0</v>
      </c>
      <c r="W83" s="12">
        <v>0</v>
      </c>
      <c r="Z83" s="12" t="s">
        <v>146</v>
      </c>
      <c r="AA83" s="12">
        <v>0</v>
      </c>
      <c r="AB83" s="12">
        <v>0</v>
      </c>
      <c r="AC83" s="12">
        <v>0</v>
      </c>
      <c r="AD83" s="12">
        <v>0</v>
      </c>
      <c r="AE83" s="12">
        <v>0</v>
      </c>
      <c r="AF83" s="12">
        <v>0</v>
      </c>
      <c r="AG83" s="12">
        <v>0</v>
      </c>
      <c r="AH83" s="12">
        <v>0</v>
      </c>
      <c r="AI83" s="12">
        <v>0</v>
      </c>
    </row>
    <row r="84" spans="1:35" ht="15" x14ac:dyDescent="0.2">
      <c r="B84" s="12" t="s">
        <v>99</v>
      </c>
      <c r="C84" s="12">
        <v>0</v>
      </c>
      <c r="D84" s="12">
        <v>0</v>
      </c>
      <c r="E84" s="12">
        <v>0</v>
      </c>
      <c r="F84" s="12">
        <v>0</v>
      </c>
      <c r="G84" s="12">
        <v>0</v>
      </c>
      <c r="H84" s="12">
        <v>0</v>
      </c>
      <c r="I84" s="12">
        <v>0</v>
      </c>
      <c r="J84" s="12">
        <v>0</v>
      </c>
      <c r="K84" s="12">
        <v>0</v>
      </c>
      <c r="N84" s="13" t="s">
        <v>91</v>
      </c>
      <c r="O84" s="13">
        <v>5945.5852129350405</v>
      </c>
      <c r="P84" s="13">
        <v>5784.6842722681022</v>
      </c>
      <c r="Q84" s="13">
        <v>5770.1257987796989</v>
      </c>
      <c r="R84" s="13">
        <v>5534.677917564999</v>
      </c>
      <c r="S84" s="13">
        <v>5262.1200542531378</v>
      </c>
      <c r="T84" s="13">
        <v>5023.537015884398</v>
      </c>
      <c r="U84" s="13">
        <v>4702.8739189416783</v>
      </c>
      <c r="V84" s="13">
        <v>4884.0956123990572</v>
      </c>
      <c r="W84" s="13">
        <v>5038.9735186011421</v>
      </c>
      <c r="Z84" s="13"/>
      <c r="AA84" s="13">
        <v>7773.0870453688476</v>
      </c>
      <c r="AB84" s="13">
        <v>6700.8810746126319</v>
      </c>
      <c r="AC84" s="13">
        <v>6213.4761518166761</v>
      </c>
      <c r="AD84" s="13">
        <v>6339.7579772551162</v>
      </c>
      <c r="AE84" s="13">
        <v>6455.6677648362365</v>
      </c>
      <c r="AF84" s="13">
        <v>6515.7955973221096</v>
      </c>
      <c r="AG84" s="13">
        <v>6511.1059140616371</v>
      </c>
      <c r="AH84" s="13">
        <v>6635.0705250781093</v>
      </c>
      <c r="AI84" s="13">
        <v>6708.4779123977378</v>
      </c>
    </row>
    <row r="85" spans="1:35" x14ac:dyDescent="0.15">
      <c r="B85" s="12" t="s">
        <v>90</v>
      </c>
      <c r="C85" s="12">
        <v>307.65192552000002</v>
      </c>
      <c r="D85" s="12">
        <v>1004.651326237687</v>
      </c>
      <c r="E85" s="12">
        <v>1420.9223925704694</v>
      </c>
      <c r="F85" s="12">
        <v>1821.2930205575758</v>
      </c>
      <c r="G85" s="12">
        <v>2238.1671772830869</v>
      </c>
      <c r="H85" s="12">
        <v>2609.731216769047</v>
      </c>
      <c r="I85" s="12">
        <v>2978.5665722726067</v>
      </c>
      <c r="J85" s="12">
        <v>3349.6526871498618</v>
      </c>
      <c r="K85" s="12">
        <v>3711.9120026654732</v>
      </c>
    </row>
    <row r="86" spans="1:35" ht="19" x14ac:dyDescent="0.2">
      <c r="B86" s="13" t="s">
        <v>91</v>
      </c>
      <c r="C86" s="13">
        <v>37090.714368000001</v>
      </c>
      <c r="D86" s="13">
        <v>32874.08992121624</v>
      </c>
      <c r="E86" s="13">
        <v>31664.380083113225</v>
      </c>
      <c r="F86" s="13">
        <v>32249.265870845826</v>
      </c>
      <c r="G86" s="13">
        <v>32442.523485806843</v>
      </c>
      <c r="H86" s="13">
        <v>32440.371118458472</v>
      </c>
      <c r="I86" s="13">
        <v>32140.29102971722</v>
      </c>
      <c r="J86" s="13">
        <v>32630.305810964903</v>
      </c>
      <c r="K86" s="13">
        <v>32855.428766200595</v>
      </c>
      <c r="M86" s="26" t="s">
        <v>136</v>
      </c>
      <c r="N86" s="26"/>
      <c r="O86" s="26"/>
      <c r="P86" s="26"/>
      <c r="Q86" s="26"/>
      <c r="R86" s="26"/>
      <c r="S86" s="26"/>
      <c r="T86" s="26"/>
      <c r="U86" s="26"/>
      <c r="V86" s="26"/>
      <c r="W86" s="26"/>
      <c r="Y86" s="26" t="s">
        <v>161</v>
      </c>
      <c r="Z86" s="26"/>
      <c r="AA86" s="26"/>
      <c r="AB86" s="26"/>
      <c r="AC86" s="26"/>
      <c r="AD86" s="26"/>
      <c r="AE86" s="26"/>
      <c r="AF86" s="26"/>
      <c r="AG86" s="26"/>
      <c r="AH86" s="26"/>
      <c r="AI86" s="26"/>
    </row>
    <row r="87" spans="1:35" ht="15" x14ac:dyDescent="0.2">
      <c r="B87" s="13"/>
      <c r="C87" s="13"/>
      <c r="D87" s="13"/>
      <c r="E87" s="13"/>
      <c r="F87" s="13"/>
      <c r="G87" s="13"/>
      <c r="H87" s="13"/>
      <c r="I87" s="13"/>
      <c r="J87" s="13"/>
      <c r="K87" s="13"/>
      <c r="N87" s="12" t="s">
        <v>85</v>
      </c>
      <c r="O87" s="12">
        <v>1016.513178957549</v>
      </c>
      <c r="P87" s="12">
        <v>1087.3656681127782</v>
      </c>
      <c r="Q87" s="12">
        <v>1057.1533288573519</v>
      </c>
      <c r="R87" s="12">
        <v>995.27231368480761</v>
      </c>
      <c r="S87" s="12">
        <v>854.60376291692819</v>
      </c>
      <c r="T87" s="12">
        <v>728.28612157297869</v>
      </c>
      <c r="U87" s="12">
        <v>611.47581491473989</v>
      </c>
      <c r="V87" s="12">
        <v>551.38839631674784</v>
      </c>
      <c r="W87" s="12">
        <v>516.90292963417073</v>
      </c>
      <c r="Z87" s="12" t="s">
        <v>85</v>
      </c>
      <c r="AA87" s="12">
        <v>56.100631891199988</v>
      </c>
      <c r="AB87" s="12">
        <v>2.8035385778601829</v>
      </c>
      <c r="AC87" s="12">
        <v>0</v>
      </c>
      <c r="AD87" s="12">
        <v>0</v>
      </c>
      <c r="AE87" s="12">
        <v>0</v>
      </c>
      <c r="AF87" s="12">
        <v>0</v>
      </c>
      <c r="AG87" s="12">
        <v>0</v>
      </c>
      <c r="AH87" s="12">
        <v>0</v>
      </c>
      <c r="AI87" s="12">
        <v>0</v>
      </c>
    </row>
    <row r="88" spans="1:35" ht="19" x14ac:dyDescent="0.15">
      <c r="A88" s="26" t="s">
        <v>108</v>
      </c>
      <c r="B88" s="26"/>
      <c r="C88" s="26"/>
      <c r="D88" s="26"/>
      <c r="E88" s="26"/>
      <c r="F88" s="26"/>
      <c r="G88" s="26"/>
      <c r="H88" s="26"/>
      <c r="I88" s="26"/>
      <c r="J88" s="26"/>
      <c r="K88" s="26"/>
      <c r="N88" s="12" t="s">
        <v>84</v>
      </c>
      <c r="O88" s="12">
        <v>776.3215403679759</v>
      </c>
      <c r="P88" s="12">
        <v>830.70350990215729</v>
      </c>
      <c r="Q88" s="12">
        <v>779.21577165480801</v>
      </c>
      <c r="R88" s="12">
        <v>698.50289129544012</v>
      </c>
      <c r="S88" s="12">
        <v>562.05549729362986</v>
      </c>
      <c r="T88" s="12">
        <v>419.66356783097939</v>
      </c>
      <c r="U88" s="12">
        <v>294.0162000898938</v>
      </c>
      <c r="V88" s="12">
        <v>211.71628676579928</v>
      </c>
      <c r="W88" s="12">
        <v>187.88069549466493</v>
      </c>
      <c r="Z88" s="12" t="s">
        <v>144</v>
      </c>
      <c r="AA88" s="12">
        <v>839.38884310266189</v>
      </c>
      <c r="AB88" s="12">
        <v>492.25972851722179</v>
      </c>
      <c r="AC88" s="12">
        <v>318.14891389601911</v>
      </c>
      <c r="AD88" s="12">
        <v>258.75891744928788</v>
      </c>
      <c r="AE88" s="12">
        <v>193.70991567850189</v>
      </c>
      <c r="AF88" s="12">
        <v>124.66967911431843</v>
      </c>
      <c r="AG88" s="12">
        <v>52.472473432522143</v>
      </c>
      <c r="AH88" s="12">
        <v>38.671515992761485</v>
      </c>
      <c r="AI88" s="12">
        <v>26.700775332842738</v>
      </c>
    </row>
    <row r="89" spans="1:35" x14ac:dyDescent="0.15">
      <c r="B89" s="12" t="s">
        <v>84</v>
      </c>
      <c r="C89" s="12">
        <v>4720.1042426040003</v>
      </c>
      <c r="D89" s="12">
        <v>4436.8468328880008</v>
      </c>
      <c r="E89" s="12">
        <v>3940.6926947040001</v>
      </c>
      <c r="F89" s="12">
        <v>3382.0876615680008</v>
      </c>
      <c r="G89" s="12">
        <v>2771.4815676000007</v>
      </c>
      <c r="H89" s="12">
        <v>2160.4652509680004</v>
      </c>
      <c r="I89" s="12">
        <v>1565.7069611844004</v>
      </c>
      <c r="J89" s="12">
        <v>1174.2802208883002</v>
      </c>
      <c r="K89" s="12">
        <v>782.85348059220007</v>
      </c>
      <c r="N89" s="12" t="s">
        <v>86</v>
      </c>
      <c r="O89" s="12">
        <v>975.0316035109139</v>
      </c>
      <c r="P89" s="12">
        <v>1096.0940765221189</v>
      </c>
      <c r="Q89" s="12">
        <v>1140.2201791999914</v>
      </c>
      <c r="R89" s="12">
        <v>1156.2991610074644</v>
      </c>
      <c r="S89" s="12">
        <v>1100.9826697035544</v>
      </c>
      <c r="T89" s="12">
        <v>1053.2999738820406</v>
      </c>
      <c r="U89" s="12">
        <v>996.12794073663326</v>
      </c>
      <c r="V89" s="12">
        <v>966.57666325460286</v>
      </c>
      <c r="W89" s="12">
        <v>940.7295965459806</v>
      </c>
      <c r="Z89" s="12" t="s">
        <v>86</v>
      </c>
      <c r="AA89" s="12">
        <v>999.27765924186394</v>
      </c>
      <c r="AB89" s="12">
        <v>764.77010889524763</v>
      </c>
      <c r="AC89" s="12">
        <v>569.88748296758797</v>
      </c>
      <c r="AD89" s="12">
        <v>506.82100923645839</v>
      </c>
      <c r="AE89" s="12">
        <v>436.12030260772235</v>
      </c>
      <c r="AF89" s="12">
        <v>359.41489940984502</v>
      </c>
      <c r="AG89" s="12">
        <v>277.75343451533217</v>
      </c>
      <c r="AH89" s="12">
        <v>253.45254311763961</v>
      </c>
      <c r="AI89" s="12">
        <v>227.20542680499315</v>
      </c>
    </row>
    <row r="90" spans="1:35" x14ac:dyDescent="0.15">
      <c r="B90" s="12" t="s">
        <v>85</v>
      </c>
      <c r="C90" s="12">
        <v>635.39940247200002</v>
      </c>
      <c r="D90" s="12">
        <v>666.35830222455593</v>
      </c>
      <c r="E90" s="12">
        <v>495.66481434946803</v>
      </c>
      <c r="F90" s="12">
        <v>341.64318685057196</v>
      </c>
      <c r="G90" s="12">
        <v>205.25862781080005</v>
      </c>
      <c r="H90" s="12">
        <v>91.7930821068</v>
      </c>
      <c r="I90" s="12">
        <v>0</v>
      </c>
      <c r="J90" s="12">
        <v>0</v>
      </c>
      <c r="K90" s="12">
        <v>0</v>
      </c>
      <c r="N90" s="12" t="s">
        <v>37</v>
      </c>
      <c r="O90" s="12">
        <v>3336.9459492588026</v>
      </c>
      <c r="P90" s="12">
        <v>3554.5536167269192</v>
      </c>
      <c r="Q90" s="12">
        <v>3554.4724084886511</v>
      </c>
      <c r="R90" s="12">
        <v>3469.9059883379941</v>
      </c>
      <c r="S90" s="12">
        <v>3126.9213512448787</v>
      </c>
      <c r="T90" s="12">
        <v>2865.2522590217372</v>
      </c>
      <c r="U90" s="12">
        <v>2616.8047943456263</v>
      </c>
      <c r="V90" s="12">
        <v>2454.3277315118962</v>
      </c>
      <c r="W90" s="12">
        <v>2320.1851731638212</v>
      </c>
      <c r="Z90" s="12" t="s">
        <v>37</v>
      </c>
      <c r="AA90" s="12">
        <v>17250.8531996046</v>
      </c>
      <c r="AB90" s="12">
        <v>20736.285319316052</v>
      </c>
      <c r="AC90" s="12">
        <v>22628.602753394291</v>
      </c>
      <c r="AD90" s="12">
        <v>24603.185220553074</v>
      </c>
      <c r="AE90" s="12">
        <v>26671.019042481756</v>
      </c>
      <c r="AF90" s="12">
        <v>28822.995825777558</v>
      </c>
      <c r="AG90" s="12">
        <v>30984.978202102389</v>
      </c>
      <c r="AH90" s="12">
        <v>33116.124871918277</v>
      </c>
      <c r="AI90" s="12">
        <v>35250.008807431543</v>
      </c>
    </row>
    <row r="91" spans="1:35" x14ac:dyDescent="0.15">
      <c r="B91" s="12" t="s">
        <v>86</v>
      </c>
      <c r="C91" s="12">
        <v>365.92020727199997</v>
      </c>
      <c r="D91" s="12">
        <v>318.85149951633241</v>
      </c>
      <c r="E91" s="12">
        <v>257.95953800701454</v>
      </c>
      <c r="F91" s="12">
        <v>196.66051892470583</v>
      </c>
      <c r="G91" s="12">
        <v>137.23685674668002</v>
      </c>
      <c r="H91" s="12">
        <v>93.000273141150004</v>
      </c>
      <c r="I91" s="12">
        <v>55.2512820456</v>
      </c>
      <c r="J91" s="12">
        <v>1</v>
      </c>
      <c r="K91" s="12">
        <v>0</v>
      </c>
      <c r="N91" s="12" t="s">
        <v>101</v>
      </c>
      <c r="O91" s="12">
        <v>50.659485035725531</v>
      </c>
      <c r="P91" s="12">
        <v>50.114551207258629</v>
      </c>
      <c r="Q91" s="12">
        <v>52.943261698238778</v>
      </c>
      <c r="R91" s="12">
        <v>54.166076598587914</v>
      </c>
      <c r="S91" s="12">
        <v>52.342018563783057</v>
      </c>
      <c r="T91" s="12">
        <v>50.63270420433021</v>
      </c>
      <c r="U91" s="12">
        <v>47.681249356817681</v>
      </c>
      <c r="V91" s="12">
        <v>47.736733738302803</v>
      </c>
      <c r="W91" s="12">
        <v>47.300721079631842</v>
      </c>
      <c r="Z91" s="12" t="s">
        <v>145</v>
      </c>
      <c r="AA91" s="12">
        <v>411.08837261348009</v>
      </c>
      <c r="AB91" s="12">
        <v>439.96950990909716</v>
      </c>
      <c r="AC91" s="12">
        <v>434.20458026487938</v>
      </c>
      <c r="AD91" s="12">
        <v>494.09295237622189</v>
      </c>
      <c r="AE91" s="12">
        <v>544.83259573676094</v>
      </c>
      <c r="AF91" s="12">
        <v>585.25706754765793</v>
      </c>
      <c r="AG91" s="12">
        <v>615.10335174712407</v>
      </c>
      <c r="AH91" s="12">
        <v>654.21611691362057</v>
      </c>
      <c r="AI91" s="12">
        <v>687.85512754703359</v>
      </c>
    </row>
    <row r="92" spans="1:35" x14ac:dyDescent="0.15">
      <c r="B92" s="12" t="s">
        <v>37</v>
      </c>
      <c r="C92" s="12">
        <v>2027.1144149279999</v>
      </c>
      <c r="D92" s="12">
        <v>3142.5624664200004</v>
      </c>
      <c r="E92" s="12">
        <v>3526.1936248104007</v>
      </c>
      <c r="F92" s="12">
        <v>3824.2985452020002</v>
      </c>
      <c r="G92" s="12">
        <v>4055.8921910676013</v>
      </c>
      <c r="H92" s="12">
        <v>4199.3887278887996</v>
      </c>
      <c r="I92" s="12">
        <v>4253.0923509408003</v>
      </c>
      <c r="J92" s="12">
        <v>4313</v>
      </c>
      <c r="K92" s="12">
        <v>4273</v>
      </c>
      <c r="N92" s="12" t="s">
        <v>105</v>
      </c>
      <c r="O92" s="12">
        <v>6.6010328648609118</v>
      </c>
      <c r="P92" s="12">
        <v>2.5081992462958671</v>
      </c>
      <c r="Q92" s="12">
        <v>2.090722666673507</v>
      </c>
      <c r="R92" s="12">
        <v>1.9782166431250228</v>
      </c>
      <c r="S92" s="12">
        <v>1.9099481966364538</v>
      </c>
      <c r="T92" s="12">
        <v>1.7175500801438361</v>
      </c>
      <c r="U92" s="12">
        <v>1.6871687013659251</v>
      </c>
      <c r="V92" s="12">
        <v>1.5248480620468505</v>
      </c>
      <c r="W92" s="12">
        <v>1.4771863976475239</v>
      </c>
      <c r="Z92" s="12" t="s">
        <v>146</v>
      </c>
      <c r="AA92" s="12">
        <v>0</v>
      </c>
      <c r="AB92" s="12">
        <v>0</v>
      </c>
      <c r="AC92" s="12">
        <v>0</v>
      </c>
      <c r="AD92" s="12">
        <v>0</v>
      </c>
      <c r="AE92" s="12">
        <v>0</v>
      </c>
      <c r="AF92" s="12">
        <v>0</v>
      </c>
      <c r="AG92" s="12">
        <v>0</v>
      </c>
      <c r="AH92" s="12">
        <v>0</v>
      </c>
      <c r="AI92" s="12">
        <v>0</v>
      </c>
    </row>
    <row r="93" spans="1:35" ht="15" x14ac:dyDescent="0.2">
      <c r="B93" s="12" t="s">
        <v>101</v>
      </c>
      <c r="C93" s="12">
        <v>132.68760505200001</v>
      </c>
      <c r="D93" s="12">
        <v>124.34003564364002</v>
      </c>
      <c r="E93" s="12">
        <v>120.74043685571999</v>
      </c>
      <c r="F93" s="12">
        <v>114.9946655472</v>
      </c>
      <c r="G93" s="12">
        <v>107.57635849224002</v>
      </c>
      <c r="H93" s="12">
        <v>100.23412726800001</v>
      </c>
      <c r="I93" s="12">
        <v>93.743046525600008</v>
      </c>
      <c r="J93" s="12">
        <v>86</v>
      </c>
      <c r="K93" s="12">
        <v>79</v>
      </c>
      <c r="N93" s="12" t="s">
        <v>125</v>
      </c>
      <c r="O93" s="12">
        <v>0</v>
      </c>
      <c r="P93" s="12">
        <v>0</v>
      </c>
      <c r="Q93" s="12">
        <v>0</v>
      </c>
      <c r="R93" s="12">
        <v>0</v>
      </c>
      <c r="S93" s="12">
        <v>0</v>
      </c>
      <c r="T93" s="12">
        <v>0</v>
      </c>
      <c r="U93" s="12">
        <v>0</v>
      </c>
      <c r="V93" s="12">
        <v>0</v>
      </c>
      <c r="W93" s="12">
        <v>0</v>
      </c>
      <c r="Z93" s="13"/>
      <c r="AA93" s="13">
        <v>19556.708706453806</v>
      </c>
      <c r="AB93" s="13">
        <v>22436.088205215478</v>
      </c>
      <c r="AC93" s="13">
        <v>23950.843730522778</v>
      </c>
      <c r="AD93" s="13">
        <v>25862.858099615041</v>
      </c>
      <c r="AE93" s="13">
        <v>27845.68185650474</v>
      </c>
      <c r="AF93" s="13">
        <v>29892.337471849376</v>
      </c>
      <c r="AG93" s="13">
        <v>31930.307461797365</v>
      </c>
      <c r="AH93" s="13">
        <v>34062.4650479423</v>
      </c>
      <c r="AI93" s="13">
        <v>36191.770137116408</v>
      </c>
    </row>
    <row r="94" spans="1:35" x14ac:dyDescent="0.15">
      <c r="B94" s="12" t="s">
        <v>88</v>
      </c>
      <c r="C94" s="12">
        <v>410.47537924800014</v>
      </c>
      <c r="D94" s="12">
        <v>763.45454611008006</v>
      </c>
      <c r="E94" s="12">
        <v>1018.8894363948</v>
      </c>
      <c r="F94" s="12">
        <v>1262.3342299668002</v>
      </c>
      <c r="G94" s="12">
        <v>1486.1793818195999</v>
      </c>
      <c r="H94" s="12">
        <v>1681.5961616724003</v>
      </c>
      <c r="I94" s="12">
        <v>1839.5669140812004</v>
      </c>
      <c r="J94" s="12">
        <v>2097</v>
      </c>
      <c r="K94" s="12">
        <v>2314</v>
      </c>
      <c r="N94" s="12" t="s">
        <v>126</v>
      </c>
      <c r="O94" s="12">
        <v>0</v>
      </c>
      <c r="P94" s="12">
        <v>0</v>
      </c>
      <c r="Q94" s="12">
        <v>0</v>
      </c>
      <c r="R94" s="12">
        <v>0</v>
      </c>
      <c r="S94" s="12">
        <v>0</v>
      </c>
      <c r="T94" s="12">
        <v>0</v>
      </c>
      <c r="U94" s="12">
        <v>0</v>
      </c>
      <c r="V94" s="12">
        <v>0</v>
      </c>
      <c r="W94" s="12">
        <v>0</v>
      </c>
    </row>
    <row r="95" spans="1:35" ht="19" x14ac:dyDescent="0.2">
      <c r="B95" s="12" t="s">
        <v>99</v>
      </c>
      <c r="C95" s="12">
        <v>0</v>
      </c>
      <c r="D95" s="12">
        <v>0</v>
      </c>
      <c r="E95" s="12">
        <v>0</v>
      </c>
      <c r="F95" s="12">
        <v>0</v>
      </c>
      <c r="G95" s="12">
        <v>0</v>
      </c>
      <c r="H95" s="12">
        <v>0</v>
      </c>
      <c r="I95" s="12">
        <v>0</v>
      </c>
      <c r="J95" s="12">
        <v>0</v>
      </c>
      <c r="K95" s="12">
        <v>0</v>
      </c>
      <c r="N95" s="13" t="s">
        <v>91</v>
      </c>
      <c r="O95" s="13">
        <v>6162.0727899958274</v>
      </c>
      <c r="P95" s="13">
        <v>6621.3396217175286</v>
      </c>
      <c r="Q95" s="13">
        <v>6586.0956725657143</v>
      </c>
      <c r="R95" s="13">
        <v>6376.1246475674188</v>
      </c>
      <c r="S95" s="13">
        <v>5698.8152479194114</v>
      </c>
      <c r="T95" s="13">
        <v>5118.8521765922105</v>
      </c>
      <c r="U95" s="13">
        <v>4567.7931681450773</v>
      </c>
      <c r="V95" s="13">
        <v>4233.2706596493963</v>
      </c>
      <c r="W95" s="13">
        <v>4014.4763023159167</v>
      </c>
      <c r="Y95" s="26" t="s">
        <v>162</v>
      </c>
      <c r="Z95" s="26"/>
      <c r="AA95" s="26"/>
      <c r="AB95" s="26"/>
      <c r="AC95" s="26"/>
      <c r="AD95" s="26"/>
      <c r="AE95" s="26"/>
      <c r="AF95" s="26"/>
      <c r="AG95" s="26"/>
      <c r="AH95" s="26"/>
      <c r="AI95" s="26"/>
    </row>
    <row r="96" spans="1:35" x14ac:dyDescent="0.15">
      <c r="B96" s="12" t="s">
        <v>90</v>
      </c>
      <c r="C96" s="12">
        <v>55.297328472000004</v>
      </c>
      <c r="D96" s="12">
        <v>239.71578908594398</v>
      </c>
      <c r="E96" s="12">
        <v>377.93845833066007</v>
      </c>
      <c r="F96" s="12">
        <v>506.09376885600005</v>
      </c>
      <c r="G96" s="12">
        <v>620.24623404371994</v>
      </c>
      <c r="H96" s="12">
        <v>717.18883815348022</v>
      </c>
      <c r="I96" s="12">
        <v>792.76428179675997</v>
      </c>
      <c r="J96" s="12">
        <v>932</v>
      </c>
      <c r="K96" s="12">
        <v>1045</v>
      </c>
      <c r="Z96" s="12" t="s">
        <v>85</v>
      </c>
      <c r="AA96" s="12">
        <v>1177.1499437468913</v>
      </c>
      <c r="AB96" s="12">
        <v>377.92406526125859</v>
      </c>
      <c r="AC96" s="12">
        <v>159.95330061817384</v>
      </c>
      <c r="AD96" s="12">
        <v>64.525418744246593</v>
      </c>
      <c r="AE96" s="12">
        <v>31.280823243468486</v>
      </c>
      <c r="AF96" s="12">
        <v>22.849918599158585</v>
      </c>
      <c r="AG96" s="12">
        <v>22.712890269699539</v>
      </c>
      <c r="AH96" s="12">
        <v>23.481771767499691</v>
      </c>
      <c r="AI96" s="12">
        <v>23.926559601714622</v>
      </c>
    </row>
    <row r="97" spans="1:35" ht="19" x14ac:dyDescent="0.2">
      <c r="B97" s="13" t="s">
        <v>91</v>
      </c>
      <c r="C97" s="13">
        <v>8346.998580047999</v>
      </c>
      <c r="D97" s="13">
        <v>9692.1294718885529</v>
      </c>
      <c r="E97" s="13">
        <v>9738.0790034520633</v>
      </c>
      <c r="F97" s="13">
        <v>9628.1125769152786</v>
      </c>
      <c r="G97" s="13">
        <v>9383.8712175806413</v>
      </c>
      <c r="H97" s="13">
        <v>9043.6664611986307</v>
      </c>
      <c r="I97" s="13">
        <v>8600.1248365743613</v>
      </c>
      <c r="J97" s="13">
        <v>8603.2802208883004</v>
      </c>
      <c r="K97" s="13">
        <v>8493.853480592199</v>
      </c>
      <c r="M97" s="26" t="s">
        <v>137</v>
      </c>
      <c r="N97" s="26"/>
      <c r="O97" s="26"/>
      <c r="P97" s="26"/>
      <c r="Q97" s="26"/>
      <c r="R97" s="26"/>
      <c r="S97" s="26"/>
      <c r="T97" s="26"/>
      <c r="U97" s="26"/>
      <c r="V97" s="26"/>
      <c r="W97" s="26"/>
      <c r="Z97" s="12" t="s">
        <v>144</v>
      </c>
      <c r="AA97" s="12">
        <v>3209.9593927329388</v>
      </c>
      <c r="AB97" s="12">
        <v>2818.0006819485557</v>
      </c>
      <c r="AC97" s="12">
        <v>2167.0175267040049</v>
      </c>
      <c r="AD97" s="12">
        <v>1503.270459587143</v>
      </c>
      <c r="AE97" s="12">
        <v>1031.9082458031987</v>
      </c>
      <c r="AF97" s="12">
        <v>765.0424073544815</v>
      </c>
      <c r="AG97" s="12">
        <v>591.04856042919698</v>
      </c>
      <c r="AH97" s="12">
        <v>432.72015351044416</v>
      </c>
      <c r="AI97" s="12">
        <v>304.33260464288668</v>
      </c>
    </row>
    <row r="98" spans="1:35" ht="19" x14ac:dyDescent="0.25">
      <c r="A98" s="16"/>
      <c r="B98" s="16"/>
      <c r="N98" s="12" t="s">
        <v>138</v>
      </c>
      <c r="O98" s="12">
        <v>2230.1009269397146</v>
      </c>
      <c r="P98" s="12">
        <v>2125.7360196186214</v>
      </c>
      <c r="Q98" s="12">
        <v>1876.4818682927826</v>
      </c>
      <c r="R98" s="12">
        <v>1616.1512071622758</v>
      </c>
      <c r="S98" s="12">
        <v>1343.0156681753047</v>
      </c>
      <c r="T98" s="12">
        <v>1208.2029158881917</v>
      </c>
      <c r="U98" s="12">
        <v>865.472922850911</v>
      </c>
      <c r="V98" s="12">
        <v>728.75145031952661</v>
      </c>
      <c r="W98" s="12">
        <v>485.29551155780666</v>
      </c>
      <c r="Z98" s="12" t="s">
        <v>86</v>
      </c>
      <c r="AA98" s="12">
        <v>3819.4317448928332</v>
      </c>
      <c r="AB98" s="12">
        <v>4087.6962013934572</v>
      </c>
      <c r="AC98" s="12">
        <v>3242.5303195591687</v>
      </c>
      <c r="AD98" s="12">
        <v>2315.6245433654235</v>
      </c>
      <c r="AE98" s="12">
        <v>1642.4941315453048</v>
      </c>
      <c r="AF98" s="12">
        <v>1201.1510739760297</v>
      </c>
      <c r="AG98" s="12">
        <v>849.87188474615357</v>
      </c>
      <c r="AH98" s="12">
        <v>560.82533120916389</v>
      </c>
      <c r="AI98" s="12">
        <v>378.68466236478207</v>
      </c>
    </row>
    <row r="99" spans="1:35" ht="19" x14ac:dyDescent="0.15">
      <c r="A99" s="26" t="s">
        <v>109</v>
      </c>
      <c r="B99" s="26"/>
      <c r="C99" s="26"/>
      <c r="D99" s="26"/>
      <c r="E99" s="26"/>
      <c r="F99" s="26"/>
      <c r="G99" s="26"/>
      <c r="H99" s="26"/>
      <c r="I99" s="26"/>
      <c r="J99" s="26"/>
      <c r="K99" s="26"/>
      <c r="N99" s="12" t="s">
        <v>26</v>
      </c>
      <c r="O99" s="12">
        <v>1061.0697844663939</v>
      </c>
      <c r="P99" s="12">
        <v>1182.0101763991097</v>
      </c>
      <c r="Q99" s="12">
        <v>1017.0146325748048</v>
      </c>
      <c r="R99" s="12">
        <v>900.5925040755518</v>
      </c>
      <c r="S99" s="12">
        <v>774.70559845693458</v>
      </c>
      <c r="T99" s="12">
        <v>648.96103776238454</v>
      </c>
      <c r="U99" s="12">
        <v>522.46321149189362</v>
      </c>
      <c r="V99" s="12">
        <v>405.93604782593451</v>
      </c>
      <c r="W99" s="12">
        <v>320.77800842652101</v>
      </c>
      <c r="Z99" s="12" t="s">
        <v>37</v>
      </c>
      <c r="AA99" s="12">
        <v>1166.9603508140367</v>
      </c>
      <c r="AB99" s="12">
        <v>3124.6873914789526</v>
      </c>
      <c r="AC99" s="12">
        <v>4702.6740960672068</v>
      </c>
      <c r="AD99" s="12">
        <v>6221.6190354999171</v>
      </c>
      <c r="AE99" s="12">
        <v>7440.2371870044608</v>
      </c>
      <c r="AF99" s="12">
        <v>8313.1499875039935</v>
      </c>
      <c r="AG99" s="12">
        <v>8934.6291645635774</v>
      </c>
      <c r="AH99" s="12">
        <v>9421.6895945909637</v>
      </c>
      <c r="AI99" s="12">
        <v>9810.3058248872258</v>
      </c>
    </row>
    <row r="100" spans="1:35" x14ac:dyDescent="0.15">
      <c r="B100" s="12" t="s">
        <v>84</v>
      </c>
      <c r="C100" s="12">
        <v>1033.346</v>
      </c>
      <c r="D100" s="12">
        <v>582.43304484154021</v>
      </c>
      <c r="E100" s="12">
        <v>413.52667336047296</v>
      </c>
      <c r="F100" s="12">
        <v>284.47916697392691</v>
      </c>
      <c r="G100" s="12">
        <v>215.47025326481779</v>
      </c>
      <c r="H100" s="12">
        <v>151.68590833947215</v>
      </c>
      <c r="I100" s="12">
        <v>90.7571719787597</v>
      </c>
      <c r="J100" s="12">
        <v>54.203293702919346</v>
      </c>
      <c r="K100" s="12">
        <v>14.598272868617316</v>
      </c>
      <c r="N100" s="12" t="s">
        <v>6</v>
      </c>
      <c r="O100" s="12">
        <v>2338.4101620461929</v>
      </c>
      <c r="P100" s="12">
        <v>1486.448853394957</v>
      </c>
      <c r="Q100" s="12">
        <v>1162.2090048784066</v>
      </c>
      <c r="R100" s="12">
        <v>897.39024487790971</v>
      </c>
      <c r="S100" s="12">
        <v>778.1719315129377</v>
      </c>
      <c r="T100" s="12">
        <v>647.05010229236814</v>
      </c>
      <c r="U100" s="12">
        <v>487.60961729012712</v>
      </c>
      <c r="V100" s="12">
        <v>377.8224902635593</v>
      </c>
      <c r="W100" s="12">
        <v>207.92612194625229</v>
      </c>
      <c r="Z100" s="12" t="s">
        <v>145</v>
      </c>
      <c r="AA100" s="12">
        <v>17629.408153690358</v>
      </c>
      <c r="AB100" s="12">
        <v>17732.367823439155</v>
      </c>
      <c r="AC100" s="12">
        <v>17136.7034088279</v>
      </c>
      <c r="AD100" s="12">
        <v>16162.326860182658</v>
      </c>
      <c r="AE100" s="12">
        <v>15039.10663613074</v>
      </c>
      <c r="AF100" s="12">
        <v>13742.683101091292</v>
      </c>
      <c r="AG100" s="12">
        <v>12735.918573202476</v>
      </c>
      <c r="AH100" s="12">
        <v>11739.664129569512</v>
      </c>
      <c r="AI100" s="12">
        <v>10445.254579041939</v>
      </c>
    </row>
    <row r="101" spans="1:35" x14ac:dyDescent="0.15">
      <c r="B101" s="12" t="s">
        <v>85</v>
      </c>
      <c r="C101" s="12">
        <v>9697.148000000001</v>
      </c>
      <c r="D101" s="12">
        <v>5733.6023266979537</v>
      </c>
      <c r="E101" s="12">
        <v>3496.4892297199813</v>
      </c>
      <c r="F101" s="12">
        <v>1272.4154469830535</v>
      </c>
      <c r="G101" s="12">
        <v>82.168286035892777</v>
      </c>
      <c r="H101" s="12">
        <v>40.160433231033878</v>
      </c>
      <c r="I101" s="12">
        <v>18.832441897686685</v>
      </c>
      <c r="J101" s="12">
        <v>16.227800027037812</v>
      </c>
      <c r="K101" s="12">
        <v>7.9112194809746113</v>
      </c>
      <c r="N101" s="12" t="s">
        <v>28</v>
      </c>
      <c r="O101" s="12">
        <v>194.41575097860326</v>
      </c>
      <c r="P101" s="12">
        <v>133.20048915940689</v>
      </c>
      <c r="Q101" s="12">
        <v>122.64894659746955</v>
      </c>
      <c r="R101" s="12">
        <v>98.493149467847886</v>
      </c>
      <c r="S101" s="12">
        <v>69.915817706529495</v>
      </c>
      <c r="T101" s="12">
        <v>29.733493634410511</v>
      </c>
      <c r="U101" s="12">
        <v>28.58075799113324</v>
      </c>
      <c r="V101" s="12">
        <v>27.183653427341326</v>
      </c>
      <c r="W101" s="12">
        <v>22.743816137104837</v>
      </c>
      <c r="Z101" s="12" t="s">
        <v>146</v>
      </c>
      <c r="AA101" s="12">
        <v>0</v>
      </c>
      <c r="AB101" s="12">
        <v>0</v>
      </c>
      <c r="AC101" s="12">
        <v>0</v>
      </c>
      <c r="AD101" s="12">
        <v>0</v>
      </c>
      <c r="AE101" s="12">
        <v>0</v>
      </c>
      <c r="AF101" s="12">
        <v>0</v>
      </c>
      <c r="AG101" s="12">
        <v>0</v>
      </c>
      <c r="AH101" s="12">
        <v>0</v>
      </c>
      <c r="AI101" s="12">
        <v>0</v>
      </c>
    </row>
    <row r="102" spans="1:35" ht="15" x14ac:dyDescent="0.2">
      <c r="B102" s="12" t="s">
        <v>110</v>
      </c>
      <c r="C102" s="12">
        <v>0</v>
      </c>
      <c r="D102" s="12">
        <v>40.534845538317178</v>
      </c>
      <c r="E102" s="12">
        <v>304.4959863426007</v>
      </c>
      <c r="F102" s="12">
        <v>970.13652299558566</v>
      </c>
      <c r="G102" s="12">
        <v>1933.0217148514007</v>
      </c>
      <c r="H102" s="12">
        <v>2279.7372471906265</v>
      </c>
      <c r="I102" s="12">
        <v>1795.6300663941015</v>
      </c>
      <c r="J102" s="12">
        <v>1591.7328442759608</v>
      </c>
      <c r="K102" s="12">
        <v>1485.323003650444</v>
      </c>
      <c r="N102" s="12" t="s">
        <v>8</v>
      </c>
      <c r="O102" s="12">
        <v>260.65242521456832</v>
      </c>
      <c r="P102" s="12">
        <v>294.61142755804804</v>
      </c>
      <c r="Q102" s="12">
        <v>283.27371297645277</v>
      </c>
      <c r="R102" s="12">
        <v>266.92459289305839</v>
      </c>
      <c r="S102" s="12">
        <v>236.1548724441227</v>
      </c>
      <c r="T102" s="12">
        <v>204.8840090521042</v>
      </c>
      <c r="U102" s="12">
        <v>170.96132714449232</v>
      </c>
      <c r="V102" s="12">
        <v>138.66330714883668</v>
      </c>
      <c r="W102" s="12">
        <v>125.42815582380175</v>
      </c>
      <c r="Z102" s="13"/>
      <c r="AA102" s="13">
        <v>27002.90958587706</v>
      </c>
      <c r="AB102" s="13">
        <v>28140.676163521377</v>
      </c>
      <c r="AC102" s="13">
        <v>27408.878651776453</v>
      </c>
      <c r="AD102" s="13">
        <v>26267.36631737939</v>
      </c>
      <c r="AE102" s="13">
        <v>25185.027023727172</v>
      </c>
      <c r="AF102" s="13">
        <v>24044.876488524955</v>
      </c>
      <c r="AG102" s="13">
        <v>23134.181073211104</v>
      </c>
      <c r="AH102" s="13">
        <v>22178.380980647584</v>
      </c>
      <c r="AI102" s="13">
        <v>20962.50423053855</v>
      </c>
    </row>
    <row r="103" spans="1:35" x14ac:dyDescent="0.15">
      <c r="B103" s="12" t="s">
        <v>86</v>
      </c>
      <c r="C103" s="12">
        <v>5154.8270000000002</v>
      </c>
      <c r="D103" s="12">
        <v>7287.9937141385826</v>
      </c>
      <c r="E103" s="12">
        <v>7372.5162215541641</v>
      </c>
      <c r="F103" s="12">
        <v>6863.2945828533875</v>
      </c>
      <c r="G103" s="12">
        <v>4459.0967861335857</v>
      </c>
      <c r="H103" s="12">
        <v>1727.4445126796841</v>
      </c>
      <c r="I103" s="12">
        <v>667.76722756631136</v>
      </c>
      <c r="J103" s="12">
        <v>320.01850198590216</v>
      </c>
      <c r="K103" s="12">
        <v>240.34278990192982</v>
      </c>
    </row>
    <row r="104" spans="1:35" ht="19" x14ac:dyDescent="0.2">
      <c r="B104" s="12" t="s">
        <v>111</v>
      </c>
      <c r="C104" s="12">
        <v>0</v>
      </c>
      <c r="D104" s="12">
        <v>12.397581986264719</v>
      </c>
      <c r="E104" s="12">
        <v>152.43151337840857</v>
      </c>
      <c r="F104" s="12">
        <v>501.01075892467247</v>
      </c>
      <c r="G104" s="12">
        <v>1031.043378597863</v>
      </c>
      <c r="H104" s="12">
        <v>1627.3708987599016</v>
      </c>
      <c r="I104" s="12">
        <v>1733.7358112945678</v>
      </c>
      <c r="J104" s="12">
        <v>1598.9291283067816</v>
      </c>
      <c r="K104" s="12">
        <v>2049.3439553477619</v>
      </c>
      <c r="M104" s="26" t="s">
        <v>139</v>
      </c>
      <c r="N104" s="26"/>
      <c r="O104" s="26"/>
      <c r="P104" s="26"/>
      <c r="Q104" s="26"/>
      <c r="R104" s="26"/>
      <c r="S104" s="26"/>
      <c r="T104" s="26"/>
      <c r="U104" s="26"/>
      <c r="V104" s="26"/>
      <c r="W104" s="26"/>
      <c r="Y104" s="29" t="s">
        <v>163</v>
      </c>
      <c r="Z104" s="27"/>
      <c r="AA104" s="28"/>
      <c r="AB104" s="28"/>
      <c r="AC104" s="28"/>
      <c r="AD104" s="28"/>
      <c r="AE104" s="28"/>
      <c r="AF104" s="28"/>
      <c r="AG104" s="28"/>
      <c r="AH104" s="28"/>
      <c r="AI104" s="28"/>
    </row>
    <row r="105" spans="1:35" x14ac:dyDescent="0.15">
      <c r="B105" s="12" t="s">
        <v>87</v>
      </c>
      <c r="C105" s="12">
        <v>2535.326</v>
      </c>
      <c r="D105" s="12">
        <v>3797.8245369547517</v>
      </c>
      <c r="E105" s="12">
        <v>4753.0901845248936</v>
      </c>
      <c r="F105" s="12">
        <v>5459.8922657168641</v>
      </c>
      <c r="G105" s="12">
        <v>6159.5912754522024</v>
      </c>
      <c r="H105" s="12">
        <v>6694.7276786941375</v>
      </c>
      <c r="I105" s="12">
        <v>7069.3546887434977</v>
      </c>
      <c r="J105" s="12">
        <v>7514.876982674612</v>
      </c>
      <c r="K105" s="12">
        <v>7857.6739637223955</v>
      </c>
      <c r="N105" s="12" t="s">
        <v>138</v>
      </c>
      <c r="O105" s="12">
        <v>4175.3100000000004</v>
      </c>
      <c r="P105" s="12">
        <v>4515.5711824795253</v>
      </c>
      <c r="Q105" s="12">
        <v>4594.6951295645804</v>
      </c>
      <c r="R105" s="12">
        <v>4661.5596583061852</v>
      </c>
      <c r="S105" s="12">
        <v>4882.6020330291394</v>
      </c>
      <c r="T105" s="12">
        <v>5018.1877366409472</v>
      </c>
      <c r="U105" s="12">
        <v>5093.5929055644683</v>
      </c>
      <c r="V105" s="12">
        <v>5024.0576151884925</v>
      </c>
      <c r="W105" s="12">
        <v>4926.7374163654467</v>
      </c>
      <c r="Z105" s="12" t="s">
        <v>85</v>
      </c>
      <c r="AA105" s="12">
        <v>3713.7392998337464</v>
      </c>
      <c r="AB105" s="12">
        <v>1657.533878626449</v>
      </c>
      <c r="AC105" s="12">
        <v>768.18791277034006</v>
      </c>
      <c r="AD105" s="12">
        <v>359.19808597177564</v>
      </c>
      <c r="AE105" s="12">
        <v>172.55468418772247</v>
      </c>
      <c r="AF105" s="12">
        <v>111.31532732592225</v>
      </c>
      <c r="AG105" s="12">
        <v>61.811917064687648</v>
      </c>
      <c r="AH105" s="12">
        <v>33.065313972374852</v>
      </c>
      <c r="AI105" s="12">
        <v>24.079621212623248</v>
      </c>
    </row>
    <row r="106" spans="1:35" x14ac:dyDescent="0.15">
      <c r="B106" s="12" t="s">
        <v>88</v>
      </c>
      <c r="C106" s="12">
        <v>495.94800000000004</v>
      </c>
      <c r="D106" s="12">
        <v>1488.6123878050307</v>
      </c>
      <c r="E106" s="12">
        <v>1937.855435521318</v>
      </c>
      <c r="F106" s="12">
        <v>2483.702083086192</v>
      </c>
      <c r="G106" s="12">
        <v>3076.1374554462427</v>
      </c>
      <c r="H106" s="12">
        <v>3459.5748022474122</v>
      </c>
      <c r="I106" s="12">
        <v>3588.7980043099196</v>
      </c>
      <c r="J106" s="12">
        <v>3304.7802216972177</v>
      </c>
      <c r="K106" s="12">
        <v>2472.1261137525148</v>
      </c>
      <c r="N106" s="12" t="s">
        <v>27</v>
      </c>
      <c r="O106" s="12">
        <v>337.35282213650783</v>
      </c>
      <c r="P106" s="12">
        <v>470.06320451800843</v>
      </c>
      <c r="Q106" s="12">
        <v>500.97983797150084</v>
      </c>
      <c r="R106" s="12">
        <v>522.81357923336418</v>
      </c>
      <c r="S106" s="12">
        <v>538.01930091078907</v>
      </c>
      <c r="T106" s="12">
        <v>548.56663225746274</v>
      </c>
      <c r="U106" s="12">
        <v>552.5500423396926</v>
      </c>
      <c r="V106" s="12">
        <v>549.60497253230562</v>
      </c>
      <c r="W106" s="12">
        <v>540.1497499792498</v>
      </c>
      <c r="Z106" s="12" t="s">
        <v>144</v>
      </c>
      <c r="AA106" s="12">
        <v>9049.6853387027822</v>
      </c>
      <c r="AB106" s="12">
        <v>6142.1242543553017</v>
      </c>
      <c r="AC106" s="12">
        <v>3560.7443280501693</v>
      </c>
      <c r="AD106" s="12">
        <v>2068.4273443579459</v>
      </c>
      <c r="AE106" s="12">
        <v>1349.6458748766017</v>
      </c>
      <c r="AF106" s="12">
        <v>1028.0840677425122</v>
      </c>
      <c r="AG106" s="12">
        <v>803.7958071852936</v>
      </c>
      <c r="AH106" s="12">
        <v>573.34355996269755</v>
      </c>
      <c r="AI106" s="12">
        <v>382.41753456187701</v>
      </c>
    </row>
    <row r="107" spans="1:35" x14ac:dyDescent="0.15">
      <c r="B107" s="12" t="s">
        <v>112</v>
      </c>
      <c r="C107" s="12">
        <v>0</v>
      </c>
      <c r="D107" s="12">
        <v>3.4569764943445489</v>
      </c>
      <c r="E107" s="12">
        <v>12.920088575031652</v>
      </c>
      <c r="F107" s="12">
        <v>69.845187135081972</v>
      </c>
      <c r="G107" s="12">
        <v>253.09722965482851</v>
      </c>
      <c r="H107" s="12">
        <v>715.07668659653336</v>
      </c>
      <c r="I107" s="12">
        <v>1173.7152086759461</v>
      </c>
      <c r="J107" s="12">
        <v>1675.140910649382</v>
      </c>
      <c r="K107" s="12">
        <v>2213.6563171406628</v>
      </c>
      <c r="N107" s="12" t="s">
        <v>10</v>
      </c>
      <c r="O107" s="12">
        <v>168.98606689172081</v>
      </c>
      <c r="P107" s="12">
        <v>210.80187722778857</v>
      </c>
      <c r="Q107" s="12">
        <v>221.51083386767436</v>
      </c>
      <c r="R107" s="12">
        <v>231.21047155300127</v>
      </c>
      <c r="S107" s="12">
        <v>240.06376378679417</v>
      </c>
      <c r="T107" s="12">
        <v>247.66016638638635</v>
      </c>
      <c r="U107" s="12">
        <v>253.48705022347491</v>
      </c>
      <c r="V107" s="12">
        <v>255.12588787434146</v>
      </c>
      <c r="W107" s="12">
        <v>253.81241233024991</v>
      </c>
      <c r="Z107" s="12" t="s">
        <v>86</v>
      </c>
      <c r="AA107" s="12">
        <v>18108.107495279004</v>
      </c>
      <c r="AB107" s="12">
        <v>16581.487326101189</v>
      </c>
      <c r="AC107" s="12">
        <v>14527.596230317227</v>
      </c>
      <c r="AD107" s="12">
        <v>11627.611908224164</v>
      </c>
      <c r="AE107" s="12">
        <v>9355.2174440964391</v>
      </c>
      <c r="AF107" s="12">
        <v>7388.3574400262405</v>
      </c>
      <c r="AG107" s="12">
        <v>5530.196363558387</v>
      </c>
      <c r="AH107" s="12">
        <v>4108.5150493254541</v>
      </c>
      <c r="AI107" s="12">
        <v>3275.3532099115118</v>
      </c>
    </row>
    <row r="108" spans="1:35" x14ac:dyDescent="0.15">
      <c r="B108" s="12" t="s">
        <v>113</v>
      </c>
      <c r="C108" s="12">
        <v>3894.7080000000001</v>
      </c>
      <c r="D108" s="12">
        <v>5159.2504762681683</v>
      </c>
      <c r="E108" s="12">
        <v>5713.7086533450283</v>
      </c>
      <c r="F108" s="12">
        <v>6102.270844518167</v>
      </c>
      <c r="G108" s="12">
        <v>6746.7868103090632</v>
      </c>
      <c r="H108" s="12">
        <v>7362.3572617812524</v>
      </c>
      <c r="I108" s="12">
        <v>7964.9360111745673</v>
      </c>
      <c r="J108" s="12">
        <v>8581.8450144875023</v>
      </c>
      <c r="K108" s="12">
        <v>9194.0300709084968</v>
      </c>
      <c r="N108" s="12" t="s">
        <v>11</v>
      </c>
      <c r="O108" s="12">
        <v>70.077830960749367</v>
      </c>
      <c r="P108" s="12">
        <v>156.41410161009398</v>
      </c>
      <c r="Q108" s="12">
        <v>164.57823415892602</v>
      </c>
      <c r="R108" s="12">
        <v>173.8128452616254</v>
      </c>
      <c r="S108" s="12">
        <v>182.74005379226773</v>
      </c>
      <c r="T108" s="12">
        <v>190.90457271943336</v>
      </c>
      <c r="U108" s="12">
        <v>197.44440558330987</v>
      </c>
      <c r="V108" s="12">
        <v>204.52712936472537</v>
      </c>
      <c r="W108" s="12">
        <v>213.24385675647079</v>
      </c>
      <c r="Z108" s="12" t="s">
        <v>37</v>
      </c>
      <c r="AA108" s="12">
        <v>20426.919965419918</v>
      </c>
      <c r="AB108" s="12">
        <v>26255.279729168549</v>
      </c>
      <c r="AC108" s="12">
        <v>29753.106334502369</v>
      </c>
      <c r="AD108" s="12">
        <v>33259.119387878854</v>
      </c>
      <c r="AE108" s="12">
        <v>36499.286147439292</v>
      </c>
      <c r="AF108" s="12">
        <v>39375.520960042333</v>
      </c>
      <c r="AG108" s="12">
        <v>41890.313971833675</v>
      </c>
      <c r="AH108" s="12">
        <v>44302.437471731901</v>
      </c>
      <c r="AI108" s="12">
        <v>46758.144002297689</v>
      </c>
    </row>
    <row r="109" spans="1:35" x14ac:dyDescent="0.15">
      <c r="B109" s="12" t="s">
        <v>94</v>
      </c>
      <c r="C109" s="12">
        <v>77.376999999999995</v>
      </c>
      <c r="D109" s="12">
        <v>224.70842295503141</v>
      </c>
      <c r="E109" s="12">
        <v>343.1592661154192</v>
      </c>
      <c r="F109" s="12">
        <v>489.16273055268647</v>
      </c>
      <c r="G109" s="12">
        <v>644.88924281322033</v>
      </c>
      <c r="H109" s="12">
        <v>820.32375047994276</v>
      </c>
      <c r="I109" s="12">
        <v>1006.6939361437601</v>
      </c>
      <c r="J109" s="12">
        <v>1190.4754239507513</v>
      </c>
      <c r="K109" s="12">
        <v>1369.6500207175693</v>
      </c>
      <c r="N109" s="12" t="s">
        <v>140</v>
      </c>
      <c r="O109" s="12">
        <v>1670.1409999999994</v>
      </c>
      <c r="P109" s="12">
        <v>1675.1046645416709</v>
      </c>
      <c r="Q109" s="12">
        <v>1662.9129832230658</v>
      </c>
      <c r="R109" s="12">
        <v>1708.0237152079249</v>
      </c>
      <c r="S109" s="12">
        <v>1769.5732626372328</v>
      </c>
      <c r="T109" s="12">
        <v>1778.9635528906899</v>
      </c>
      <c r="U109" s="12">
        <v>1825.4605452134547</v>
      </c>
      <c r="V109" s="12">
        <v>1818.2203032869736</v>
      </c>
      <c r="W109" s="12">
        <v>1779.1842507030296</v>
      </c>
      <c r="Z109" s="12" t="s">
        <v>145</v>
      </c>
      <c r="AA109" s="12">
        <v>32373.527725516786</v>
      </c>
      <c r="AB109" s="12">
        <v>33987.218731997826</v>
      </c>
      <c r="AC109" s="12">
        <v>33969.889503460465</v>
      </c>
      <c r="AD109" s="12">
        <v>33359.295874680669</v>
      </c>
      <c r="AE109" s="12">
        <v>32178.25829465879</v>
      </c>
      <c r="AF109" s="12">
        <v>30579.949582301739</v>
      </c>
      <c r="AG109" s="12">
        <v>29398.840618490769</v>
      </c>
      <c r="AH109" s="12">
        <v>28118.471008719331</v>
      </c>
      <c r="AI109" s="12">
        <v>26293.980919110247</v>
      </c>
    </row>
    <row r="110" spans="1:35" x14ac:dyDescent="0.15">
      <c r="B110" s="12" t="s">
        <v>114</v>
      </c>
      <c r="C110" s="12">
        <v>692.12371787999996</v>
      </c>
      <c r="D110" s="12">
        <v>2564.5870851507511</v>
      </c>
      <c r="E110" s="12">
        <v>3726.0198449096065</v>
      </c>
      <c r="F110" s="12">
        <v>4666.9741084744164</v>
      </c>
      <c r="G110" s="12">
        <v>5470.2247279555813</v>
      </c>
      <c r="H110" s="12">
        <v>6094.0766052582494</v>
      </c>
      <c r="I110" s="12">
        <v>6850.9596911843264</v>
      </c>
      <c r="J110" s="12">
        <v>7356.9770222920852</v>
      </c>
      <c r="K110" s="12">
        <v>7686.0143252748239</v>
      </c>
      <c r="N110" s="12" t="s">
        <v>141</v>
      </c>
      <c r="O110" s="12">
        <v>400.2218530822455</v>
      </c>
      <c r="P110" s="12">
        <v>441.47277325350422</v>
      </c>
      <c r="Q110" s="12">
        <v>460.44980305757571</v>
      </c>
      <c r="R110" s="12">
        <v>472.47871101104107</v>
      </c>
      <c r="S110" s="12">
        <v>483.46187525984527</v>
      </c>
      <c r="T110" s="12">
        <v>491.14878742774687</v>
      </c>
      <c r="U110" s="12">
        <v>497.9387191090081</v>
      </c>
      <c r="V110" s="12">
        <v>504.33785995717193</v>
      </c>
      <c r="W110" s="12">
        <v>510.09861283024463</v>
      </c>
      <c r="Z110" s="12" t="s">
        <v>146</v>
      </c>
      <c r="AA110" s="12">
        <v>4713.6991527853816</v>
      </c>
      <c r="AB110" s="12">
        <v>5063.785702709728</v>
      </c>
      <c r="AC110" s="12">
        <v>4896.3367536566593</v>
      </c>
      <c r="AD110" s="12">
        <v>5052.9128712093097</v>
      </c>
      <c r="AE110" s="12">
        <v>5074.8563522995537</v>
      </c>
      <c r="AF110" s="12">
        <v>4984.5311132765273</v>
      </c>
      <c r="AG110" s="12">
        <v>4884.5085460257196</v>
      </c>
      <c r="AH110" s="12">
        <v>4712.7262836198879</v>
      </c>
      <c r="AI110" s="12">
        <v>4503.2733411070858</v>
      </c>
    </row>
    <row r="111" spans="1:35" ht="15" x14ac:dyDescent="0.2">
      <c r="B111" s="12" t="s">
        <v>115</v>
      </c>
      <c r="C111" s="12">
        <v>25.169518119999996</v>
      </c>
      <c r="D111" s="12">
        <v>221.78047089869935</v>
      </c>
      <c r="E111" s="12">
        <v>457.30766564378109</v>
      </c>
      <c r="F111" s="12">
        <v>748.12934778901342</v>
      </c>
      <c r="G111" s="12">
        <v>1059.7755534910161</v>
      </c>
      <c r="H111" s="12">
        <v>1392.9391652658276</v>
      </c>
      <c r="I111" s="12">
        <v>1801.5070131232471</v>
      </c>
      <c r="J111" s="12">
        <v>2283.6143570850923</v>
      </c>
      <c r="K111" s="12">
        <v>2829.12017484845</v>
      </c>
      <c r="N111" s="12" t="s">
        <v>142</v>
      </c>
      <c r="O111" s="12">
        <v>126.29013428541874</v>
      </c>
      <c r="P111" s="12">
        <v>157.6999730937074</v>
      </c>
      <c r="Q111" s="12">
        <v>170.2768326765775</v>
      </c>
      <c r="R111" s="12">
        <v>178.77314291073739</v>
      </c>
      <c r="S111" s="12">
        <v>177.74473856736552</v>
      </c>
      <c r="T111" s="12">
        <v>177.98139312975937</v>
      </c>
      <c r="U111" s="12">
        <v>174.5874660151826</v>
      </c>
      <c r="V111" s="12">
        <v>171.41755314495919</v>
      </c>
      <c r="W111" s="12">
        <v>167.90353044441747</v>
      </c>
      <c r="Z111" s="13"/>
      <c r="AA111" s="13">
        <v>88385.678977537624</v>
      </c>
      <c r="AB111" s="13">
        <v>89687.42962295904</v>
      </c>
      <c r="AC111" s="13">
        <v>87475.861062757234</v>
      </c>
      <c r="AD111" s="13">
        <v>85726.56547232272</v>
      </c>
      <c r="AE111" s="13">
        <v>84629.818797558401</v>
      </c>
      <c r="AF111" s="13">
        <v>83467.758490715263</v>
      </c>
      <c r="AG111" s="13">
        <v>82569.467224158536</v>
      </c>
      <c r="AH111" s="13">
        <v>81848.55868733165</v>
      </c>
      <c r="AI111" s="13">
        <v>81237.248628201036</v>
      </c>
    </row>
    <row r="112" spans="1:35" ht="15" x14ac:dyDescent="0.2">
      <c r="B112" s="12" t="s">
        <v>96</v>
      </c>
      <c r="C112" s="12">
        <v>189.68899999999999</v>
      </c>
      <c r="D112" s="12">
        <v>948.37857442481572</v>
      </c>
      <c r="E112" s="12">
        <v>1518.9112881261688</v>
      </c>
      <c r="F112" s="12">
        <v>2399.0493281807398</v>
      </c>
      <c r="G112" s="12">
        <v>3489.9328641497059</v>
      </c>
      <c r="H112" s="12">
        <v>4807.212605481679</v>
      </c>
      <c r="I112" s="12">
        <v>6097.3840090974954</v>
      </c>
      <c r="J112" s="12">
        <v>7610.8550656670441</v>
      </c>
      <c r="K112" s="12">
        <v>9192.7869559124338</v>
      </c>
      <c r="Z112" s="13"/>
      <c r="AA112" s="13"/>
      <c r="AB112" s="13"/>
      <c r="AC112" s="13"/>
      <c r="AD112" s="13"/>
      <c r="AE112" s="13"/>
      <c r="AF112" s="13"/>
      <c r="AG112" s="13"/>
      <c r="AH112" s="13"/>
      <c r="AI112" s="13"/>
    </row>
    <row r="113" spans="1:35" ht="19" x14ac:dyDescent="0.15">
      <c r="B113" s="12" t="s">
        <v>97</v>
      </c>
      <c r="C113" s="12">
        <v>8.49</v>
      </c>
      <c r="D113" s="12">
        <v>304.00209550567251</v>
      </c>
      <c r="E113" s="12">
        <v>736.08821555283885</v>
      </c>
      <c r="F113" s="12">
        <v>1455.1666716585403</v>
      </c>
      <c r="G113" s="12">
        <v>2263.4297583263365</v>
      </c>
      <c r="H113" s="12">
        <v>3022.3744127771765</v>
      </c>
      <c r="I113" s="12">
        <v>3895.010035396167</v>
      </c>
      <c r="J113" s="12">
        <v>4657.4793213432431</v>
      </c>
      <c r="K113" s="12">
        <v>5459.9573322180768</v>
      </c>
      <c r="Y113" s="26" t="s">
        <v>164</v>
      </c>
      <c r="Z113" s="26"/>
      <c r="AA113" s="26"/>
      <c r="AB113" s="26"/>
      <c r="AC113" s="26"/>
      <c r="AD113" s="26"/>
      <c r="AE113" s="26"/>
      <c r="AF113" s="26"/>
      <c r="AG113" s="26"/>
      <c r="AH113" s="26"/>
      <c r="AI113" s="26"/>
    </row>
    <row r="114" spans="1:35" x14ac:dyDescent="0.15">
      <c r="B114" s="12" t="s">
        <v>98</v>
      </c>
      <c r="C114" s="12">
        <v>0.999</v>
      </c>
      <c r="D114" s="12">
        <v>7.296959336555731</v>
      </c>
      <c r="E114" s="12">
        <v>20.774265893279839</v>
      </c>
      <c r="F114" s="12">
        <v>59.28755174392596</v>
      </c>
      <c r="G114" s="12">
        <v>130.6697775364936</v>
      </c>
      <c r="H114" s="12">
        <v>286.24051535865544</v>
      </c>
      <c r="I114" s="12">
        <v>565.64155190362624</v>
      </c>
      <c r="J114" s="12">
        <v>843.27760988590558</v>
      </c>
      <c r="K114" s="12">
        <v>1050.0321703794982</v>
      </c>
      <c r="Z114" s="12" t="s">
        <v>148</v>
      </c>
      <c r="AA114" s="12">
        <v>26069.908238317996</v>
      </c>
      <c r="AB114" s="12">
        <v>23588.037267193358</v>
      </c>
      <c r="AC114" s="12">
        <v>21021.755834810392</v>
      </c>
      <c r="AD114" s="12">
        <v>18980.257190364991</v>
      </c>
      <c r="AE114" s="12">
        <v>17406.338681887246</v>
      </c>
      <c r="AF114" s="12">
        <v>15828.326976177144</v>
      </c>
      <c r="AG114" s="12">
        <v>14327.286158442839</v>
      </c>
      <c r="AH114" s="12">
        <v>12989.668167756879</v>
      </c>
      <c r="AI114" s="12">
        <v>11889.384915400879</v>
      </c>
    </row>
    <row r="115" spans="1:35" x14ac:dyDescent="0.15">
      <c r="B115" s="12" t="s">
        <v>90</v>
      </c>
      <c r="C115" s="12">
        <v>13.747999999999999</v>
      </c>
      <c r="D115" s="12">
        <v>0</v>
      </c>
      <c r="E115" s="12">
        <v>0</v>
      </c>
      <c r="F115" s="12">
        <v>0</v>
      </c>
      <c r="G115" s="12">
        <v>0</v>
      </c>
      <c r="H115" s="12">
        <v>0</v>
      </c>
      <c r="I115" s="12">
        <v>0</v>
      </c>
      <c r="J115" s="12">
        <v>0</v>
      </c>
      <c r="K115" s="12">
        <v>0</v>
      </c>
      <c r="Z115" s="12" t="s">
        <v>149</v>
      </c>
      <c r="AA115" s="12">
        <v>19534.576452271682</v>
      </c>
      <c r="AB115" s="12">
        <v>20333.251112223719</v>
      </c>
      <c r="AC115" s="12">
        <v>19804.614467942749</v>
      </c>
      <c r="AD115" s="12">
        <v>19170.169570286434</v>
      </c>
      <c r="AE115" s="12">
        <v>18529.98651293201</v>
      </c>
      <c r="AF115" s="12">
        <v>17803.637704939902</v>
      </c>
      <c r="AG115" s="12">
        <v>17072.818484101972</v>
      </c>
      <c r="AH115" s="12">
        <v>16404.000377382959</v>
      </c>
      <c r="AI115" s="12">
        <v>15817.312541820731</v>
      </c>
    </row>
    <row r="116" spans="1:35" ht="15" x14ac:dyDescent="0.2">
      <c r="A116" s="13"/>
      <c r="B116" s="13" t="s">
        <v>91</v>
      </c>
      <c r="C116" s="13">
        <v>23818.899236000001</v>
      </c>
      <c r="D116" s="13">
        <v>28376.859498996477</v>
      </c>
      <c r="E116" s="13">
        <v>30959.294532562992</v>
      </c>
      <c r="F116" s="13">
        <v>33824.81659758625</v>
      </c>
      <c r="G116" s="13">
        <v>37015.335114018257</v>
      </c>
      <c r="H116" s="13">
        <v>40481.30248414159</v>
      </c>
      <c r="I116" s="13">
        <v>44320.722868883975</v>
      </c>
      <c r="J116" s="13">
        <v>48600.433498031431</v>
      </c>
      <c r="K116" s="13">
        <v>53122.56668612465</v>
      </c>
      <c r="Z116" s="12" t="s">
        <v>150</v>
      </c>
      <c r="AA116" s="12">
        <v>2362.7201428281837</v>
      </c>
      <c r="AB116" s="12">
        <v>3247.2169741076841</v>
      </c>
      <c r="AC116" s="12">
        <v>3916.0267295902627</v>
      </c>
      <c r="AD116" s="12">
        <v>4684.914303453289</v>
      </c>
      <c r="AE116" s="12">
        <v>5400.9021001879901</v>
      </c>
      <c r="AF116" s="12">
        <v>6070.8195769080967</v>
      </c>
      <c r="AG116" s="12">
        <v>6646.8176091324522</v>
      </c>
      <c r="AH116" s="12">
        <v>7192.8864171467649</v>
      </c>
      <c r="AI116" s="12">
        <v>7773.5924560168496</v>
      </c>
    </row>
    <row r="117" spans="1:35" ht="15" x14ac:dyDescent="0.2">
      <c r="B117" s="17"/>
      <c r="Z117" s="12" t="s">
        <v>151</v>
      </c>
      <c r="AA117" s="12">
        <v>3564.6114282369817</v>
      </c>
      <c r="AB117" s="12">
        <v>2405.88202109538</v>
      </c>
      <c r="AC117" s="12">
        <v>2302.8860925760932</v>
      </c>
      <c r="AD117" s="12">
        <v>2312.78767852909</v>
      </c>
      <c r="AE117" s="12">
        <v>2364.7254965728771</v>
      </c>
      <c r="AF117" s="12">
        <v>2410.2735913493943</v>
      </c>
      <c r="AG117" s="12">
        <v>2439.8537564300332</v>
      </c>
      <c r="AH117" s="12">
        <v>2429.629135080399</v>
      </c>
      <c r="AI117" s="12">
        <v>2389.016306517362</v>
      </c>
    </row>
    <row r="118" spans="1:35" ht="19" x14ac:dyDescent="0.15">
      <c r="A118" s="26" t="s">
        <v>116</v>
      </c>
      <c r="B118" s="26"/>
      <c r="C118" s="26"/>
      <c r="D118" s="26"/>
      <c r="E118" s="26"/>
      <c r="F118" s="26"/>
      <c r="G118" s="26"/>
      <c r="H118" s="26"/>
      <c r="I118" s="26"/>
      <c r="J118" s="26"/>
      <c r="K118" s="26"/>
      <c r="Z118" s="12" t="s">
        <v>152</v>
      </c>
      <c r="AA118" s="12">
        <v>9850.953130005717</v>
      </c>
      <c r="AB118" s="12">
        <v>11972.36608481752</v>
      </c>
      <c r="AC118" s="12">
        <v>13021.699286061274</v>
      </c>
      <c r="AD118" s="12">
        <v>14311.070412309524</v>
      </c>
      <c r="AE118" s="12">
        <v>15742.838982251093</v>
      </c>
      <c r="AF118" s="12">
        <v>17309.824152815781</v>
      </c>
      <c r="AG118" s="12">
        <v>18948.510142840125</v>
      </c>
      <c r="AH118" s="12">
        <v>20653.993609317058</v>
      </c>
      <c r="AI118" s="12">
        <v>22405.438177906668</v>
      </c>
    </row>
    <row r="119" spans="1:35" x14ac:dyDescent="0.15">
      <c r="B119" s="12" t="s">
        <v>84</v>
      </c>
      <c r="C119" s="12">
        <v>442.34508278658268</v>
      </c>
      <c r="D119" s="12">
        <v>411.14520964027207</v>
      </c>
      <c r="E119" s="12">
        <v>331.02827878410483</v>
      </c>
      <c r="F119" s="12">
        <v>268.96965329296444</v>
      </c>
      <c r="G119" s="12">
        <v>213.56470202353984</v>
      </c>
      <c r="H119" s="12">
        <v>190.03840641082587</v>
      </c>
      <c r="I119" s="12">
        <v>182.1913170976384</v>
      </c>
      <c r="J119" s="12">
        <v>152.63290019485376</v>
      </c>
      <c r="K119" s="12">
        <v>160.94156421877361</v>
      </c>
      <c r="Z119" s="12" t="s">
        <v>153</v>
      </c>
      <c r="AA119" s="12">
        <v>27002.90958587706</v>
      </c>
      <c r="AB119" s="12">
        <v>28140.676163521377</v>
      </c>
      <c r="AC119" s="12">
        <v>27408.878651776453</v>
      </c>
      <c r="AD119" s="12">
        <v>26267.36631737939</v>
      </c>
      <c r="AE119" s="12">
        <v>25185.027023727172</v>
      </c>
      <c r="AF119" s="12">
        <v>24044.876488524955</v>
      </c>
      <c r="AG119" s="12">
        <v>23134.181073211104</v>
      </c>
      <c r="AH119" s="12">
        <v>22178.380980647584</v>
      </c>
      <c r="AI119" s="12">
        <v>20962.50423053855</v>
      </c>
    </row>
    <row r="120" spans="1:35" ht="15" x14ac:dyDescent="0.2">
      <c r="B120" s="12" t="s">
        <v>85</v>
      </c>
      <c r="C120" s="12">
        <v>1760.3680667874487</v>
      </c>
      <c r="D120" s="12">
        <v>1732.8839863861322</v>
      </c>
      <c r="E120" s="12">
        <v>1391.7185375682607</v>
      </c>
      <c r="F120" s="12">
        <v>792.67047797498844</v>
      </c>
      <c r="G120" s="12">
        <v>393.32514395902331</v>
      </c>
      <c r="H120" s="12">
        <v>136.36691304310267</v>
      </c>
      <c r="I120" s="12">
        <v>111.88398436425018</v>
      </c>
      <c r="J120" s="12">
        <v>89.969241210995634</v>
      </c>
      <c r="K120" s="12">
        <v>21.716469080241009</v>
      </c>
      <c r="Z120" s="13" t="s">
        <v>91</v>
      </c>
      <c r="AA120" s="13">
        <v>88385.678977537624</v>
      </c>
      <c r="AB120" s="13">
        <v>89687.42962295904</v>
      </c>
      <c r="AC120" s="13">
        <v>87475.861062757234</v>
      </c>
      <c r="AD120" s="13">
        <v>85726.56547232272</v>
      </c>
      <c r="AE120" s="13">
        <v>84629.818797558386</v>
      </c>
      <c r="AF120" s="13">
        <v>83467.758490715278</v>
      </c>
      <c r="AG120" s="13">
        <v>82569.467224158521</v>
      </c>
      <c r="AH120" s="13">
        <v>81848.55868733165</v>
      </c>
      <c r="AI120" s="13">
        <v>81237.24862820105</v>
      </c>
    </row>
    <row r="121" spans="1:35" x14ac:dyDescent="0.15">
      <c r="B121" s="12" t="s">
        <v>110</v>
      </c>
      <c r="C121" s="12">
        <v>0</v>
      </c>
      <c r="D121" s="12">
        <v>5.8037707251626749</v>
      </c>
      <c r="E121" s="12">
        <v>42.307733443615199</v>
      </c>
      <c r="F121" s="12">
        <v>137.12237673639899</v>
      </c>
      <c r="G121" s="12">
        <v>266.66270406879693</v>
      </c>
      <c r="H121" s="12">
        <v>345.99520366438639</v>
      </c>
      <c r="I121" s="12">
        <v>283.90468885114706</v>
      </c>
      <c r="J121" s="12">
        <v>241.0643582102245</v>
      </c>
      <c r="K121" s="12">
        <v>263.79436387210882</v>
      </c>
    </row>
    <row r="122" spans="1:35" ht="19" x14ac:dyDescent="0.15">
      <c r="B122" s="12" t="s">
        <v>86</v>
      </c>
      <c r="C122" s="12">
        <v>1638.6833129472773</v>
      </c>
      <c r="D122" s="12">
        <v>1986.8982877647538</v>
      </c>
      <c r="E122" s="12">
        <v>2004.0463369479228</v>
      </c>
      <c r="F122" s="12">
        <v>1929.1321870077982</v>
      </c>
      <c r="G122" s="12">
        <v>1784.9965311941819</v>
      </c>
      <c r="H122" s="12">
        <v>1817.7308914488913</v>
      </c>
      <c r="I122" s="12">
        <v>1632.518596584137</v>
      </c>
      <c r="J122" s="12">
        <v>1199.109387832076</v>
      </c>
      <c r="K122" s="12">
        <v>1250.7570811058636</v>
      </c>
      <c r="Y122" s="26" t="s">
        <v>165</v>
      </c>
      <c r="Z122" s="26"/>
      <c r="AA122" s="26"/>
      <c r="AB122" s="26"/>
      <c r="AC122" s="26"/>
      <c r="AD122" s="26"/>
      <c r="AE122" s="26"/>
      <c r="AF122" s="26"/>
      <c r="AG122" s="26"/>
      <c r="AH122" s="26"/>
      <c r="AI122" s="26"/>
    </row>
    <row r="123" spans="1:35" x14ac:dyDescent="0.15">
      <c r="B123" s="12" t="s">
        <v>111</v>
      </c>
      <c r="C123" s="12">
        <v>0</v>
      </c>
      <c r="D123" s="12">
        <v>1.7701245852722651</v>
      </c>
      <c r="E123" s="12">
        <v>21.700085846574652</v>
      </c>
      <c r="F123" s="12">
        <v>72.486296742580237</v>
      </c>
      <c r="G123" s="12">
        <v>145.73235723367094</v>
      </c>
      <c r="H123" s="12">
        <v>224.63400497370054</v>
      </c>
      <c r="I123" s="12">
        <v>285.93236709488298</v>
      </c>
      <c r="J123" s="12">
        <v>334.32082812928832</v>
      </c>
      <c r="K123" s="12">
        <v>383.0136954130399</v>
      </c>
      <c r="Z123" s="12" t="s">
        <v>85</v>
      </c>
      <c r="AA123" s="12">
        <v>351.35167592225099</v>
      </c>
      <c r="AB123" s="12">
        <v>156.81695970941826</v>
      </c>
      <c r="AC123" s="12">
        <v>72.677182964124</v>
      </c>
      <c r="AD123" s="12">
        <v>33.983228036469335</v>
      </c>
      <c r="AE123" s="12">
        <v>16.325157094442559</v>
      </c>
      <c r="AF123" s="12">
        <v>10.531387276847248</v>
      </c>
      <c r="AG123" s="12">
        <v>5.8479389368062078</v>
      </c>
      <c r="AH123" s="12">
        <v>3.1282630634868234</v>
      </c>
      <c r="AI123" s="12">
        <v>2.2781392514565879</v>
      </c>
    </row>
    <row r="124" spans="1:35" x14ac:dyDescent="0.15">
      <c r="B124" s="12" t="s">
        <v>87</v>
      </c>
      <c r="C124" s="12">
        <v>398.27599999996119</v>
      </c>
      <c r="D124" s="12">
        <v>535.7415229625002</v>
      </c>
      <c r="E124" s="12">
        <v>655.77058377660831</v>
      </c>
      <c r="F124" s="12">
        <v>750.25765723057623</v>
      </c>
      <c r="G124" s="12">
        <v>841.27880379851717</v>
      </c>
      <c r="H124" s="12">
        <v>912.12714804933876</v>
      </c>
      <c r="I124" s="12">
        <v>965.18721530781954</v>
      </c>
      <c r="J124" s="12">
        <v>1018.8308866427565</v>
      </c>
      <c r="K124" s="12">
        <v>1062.3414195615587</v>
      </c>
      <c r="Z124" s="12" t="s">
        <v>144</v>
      </c>
      <c r="AA124" s="12">
        <v>604.4107462753675</v>
      </c>
      <c r="AB124" s="12">
        <v>404.3076151967033</v>
      </c>
      <c r="AC124" s="12">
        <v>231.30148171696356</v>
      </c>
      <c r="AD124" s="12">
        <v>133.36680392215325</v>
      </c>
      <c r="AE124" s="12">
        <v>86.951369607608569</v>
      </c>
      <c r="AF124" s="12">
        <v>66.499738848177387</v>
      </c>
      <c r="AG124" s="12">
        <v>52.243677373495117</v>
      </c>
      <c r="AH124" s="12">
        <v>37.329085904648409</v>
      </c>
      <c r="AI124" s="12">
        <v>24.806377852320693</v>
      </c>
    </row>
    <row r="125" spans="1:35" x14ac:dyDescent="0.15">
      <c r="B125" s="12" t="s">
        <v>88</v>
      </c>
      <c r="C125" s="12">
        <v>130.90315065412221</v>
      </c>
      <c r="D125" s="12">
        <v>339.88436781678109</v>
      </c>
      <c r="E125" s="12">
        <v>407.94020208538598</v>
      </c>
      <c r="F125" s="12">
        <v>534.18832695305287</v>
      </c>
      <c r="G125" s="12">
        <v>707.31303378636301</v>
      </c>
      <c r="H125" s="12">
        <v>940.52164430883943</v>
      </c>
      <c r="I125" s="12">
        <v>1126.4947325418148</v>
      </c>
      <c r="J125" s="12">
        <v>1329.9973718599138</v>
      </c>
      <c r="K125" s="12">
        <v>1512.0323248176342</v>
      </c>
      <c r="Z125" s="12" t="s">
        <v>86</v>
      </c>
      <c r="AA125" s="12">
        <v>1015.9571818333781</v>
      </c>
      <c r="AB125" s="12">
        <v>930.30600457963976</v>
      </c>
      <c r="AC125" s="12">
        <v>815.07223926157099</v>
      </c>
      <c r="AD125" s="12">
        <v>652.36832887210755</v>
      </c>
      <c r="AE125" s="12">
        <v>524.87541022277514</v>
      </c>
      <c r="AF125" s="12">
        <v>414.5245330084162</v>
      </c>
      <c r="AG125" s="12">
        <v>310.27221999707967</v>
      </c>
      <c r="AH125" s="12">
        <v>230.50864769390952</v>
      </c>
      <c r="AI125" s="12">
        <v>183.76401937740636</v>
      </c>
    </row>
    <row r="126" spans="1:35" x14ac:dyDescent="0.15">
      <c r="B126" s="12" t="s">
        <v>112</v>
      </c>
      <c r="C126" s="12">
        <v>0</v>
      </c>
      <c r="D126" s="12">
        <v>0.62264256674459195</v>
      </c>
      <c r="E126" s="12">
        <v>1.7351723192051325</v>
      </c>
      <c r="F126" s="12">
        <v>9.3802299787015944</v>
      </c>
      <c r="G126" s="12">
        <v>33.990951744409692</v>
      </c>
      <c r="H126" s="12">
        <v>99.675024209872902</v>
      </c>
      <c r="I126" s="12">
        <v>162.22484843324102</v>
      </c>
      <c r="J126" s="12">
        <v>227.88012931173137</v>
      </c>
      <c r="K126" s="12">
        <v>306.93643643130338</v>
      </c>
      <c r="Z126" s="12" t="s">
        <v>37</v>
      </c>
      <c r="AA126" s="12">
        <v>0</v>
      </c>
      <c r="AB126" s="12">
        <v>0</v>
      </c>
      <c r="AC126" s="12">
        <v>0</v>
      </c>
      <c r="AD126" s="12">
        <v>0</v>
      </c>
      <c r="AE126" s="12">
        <v>0</v>
      </c>
      <c r="AF126" s="12">
        <v>0</v>
      </c>
      <c r="AG126" s="12">
        <v>0</v>
      </c>
      <c r="AH126" s="12">
        <v>0</v>
      </c>
      <c r="AI126" s="12">
        <v>0</v>
      </c>
    </row>
    <row r="127" spans="1:35" x14ac:dyDescent="0.15">
      <c r="B127" s="12" t="s">
        <v>113</v>
      </c>
      <c r="C127" s="12">
        <v>1044.0240328563759</v>
      </c>
      <c r="D127" s="12">
        <v>1414.4699686343704</v>
      </c>
      <c r="E127" s="12">
        <v>1576.5783991066323</v>
      </c>
      <c r="F127" s="12">
        <v>1690.2813099302648</v>
      </c>
      <c r="G127" s="12">
        <v>1863.3158178265594</v>
      </c>
      <c r="H127" s="12">
        <v>2030.9344822948644</v>
      </c>
      <c r="I127" s="12">
        <v>2193.1921598591589</v>
      </c>
      <c r="J127" s="12">
        <v>2372.0858944870211</v>
      </c>
      <c r="K127" s="12">
        <v>2607.3858274329127</v>
      </c>
      <c r="Z127" s="12" t="s">
        <v>145</v>
      </c>
      <c r="AA127" s="12">
        <v>0</v>
      </c>
      <c r="AB127" s="12">
        <v>0</v>
      </c>
      <c r="AC127" s="12">
        <v>0</v>
      </c>
      <c r="AD127" s="12">
        <v>0</v>
      </c>
      <c r="AE127" s="12">
        <v>0</v>
      </c>
      <c r="AF127" s="12">
        <v>0</v>
      </c>
      <c r="AG127" s="12">
        <v>0</v>
      </c>
      <c r="AH127" s="12">
        <v>0</v>
      </c>
      <c r="AI127" s="12">
        <v>0</v>
      </c>
    </row>
    <row r="128" spans="1:35" x14ac:dyDescent="0.15">
      <c r="B128" s="12" t="s">
        <v>94</v>
      </c>
      <c r="C128" s="12">
        <v>12.308314743538201</v>
      </c>
      <c r="D128" s="12">
        <v>34.67982901181125</v>
      </c>
      <c r="E128" s="12">
        <v>50.32522711431087</v>
      </c>
      <c r="F128" s="12">
        <v>69.704243160839894</v>
      </c>
      <c r="G128" s="12">
        <v>90.944845927328146</v>
      </c>
      <c r="H128" s="12">
        <v>121.30262588940374</v>
      </c>
      <c r="I128" s="12">
        <v>145.1760884609233</v>
      </c>
      <c r="J128" s="12">
        <v>170.25314778850594</v>
      </c>
      <c r="K128" s="12">
        <v>212.8844884413989</v>
      </c>
      <c r="Z128" s="12" t="s">
        <v>146</v>
      </c>
      <c r="AA128" s="12">
        <v>0</v>
      </c>
      <c r="AB128" s="12">
        <v>0</v>
      </c>
      <c r="AC128" s="12">
        <v>0</v>
      </c>
      <c r="AD128" s="12">
        <v>0</v>
      </c>
      <c r="AE128" s="12">
        <v>0</v>
      </c>
      <c r="AF128" s="12">
        <v>0</v>
      </c>
      <c r="AG128" s="12">
        <v>0</v>
      </c>
      <c r="AH128" s="12">
        <v>0</v>
      </c>
      <c r="AI128" s="12">
        <v>0</v>
      </c>
    </row>
    <row r="129" spans="1:35" ht="15" x14ac:dyDescent="0.2">
      <c r="B129" s="12" t="s">
        <v>114</v>
      </c>
      <c r="C129" s="12">
        <v>340.80495537458751</v>
      </c>
      <c r="D129" s="12">
        <v>1155.1114527496584</v>
      </c>
      <c r="E129" s="12">
        <v>1659.7192613891732</v>
      </c>
      <c r="F129" s="12">
        <v>2073.0673310436641</v>
      </c>
      <c r="G129" s="12">
        <v>2426.3844278391516</v>
      </c>
      <c r="H129" s="12">
        <v>2687.9427020035037</v>
      </c>
      <c r="I129" s="12">
        <v>3036.8571260878175</v>
      </c>
      <c r="J129" s="12">
        <v>3275.2988181691894</v>
      </c>
      <c r="K129" s="12">
        <v>3477.0564194873409</v>
      </c>
      <c r="Z129" s="13"/>
      <c r="AA129" s="13">
        <v>1971.7196040309964</v>
      </c>
      <c r="AB129" s="13">
        <v>1491.4305794857614</v>
      </c>
      <c r="AC129" s="13">
        <v>1119.0509039426586</v>
      </c>
      <c r="AD129" s="13">
        <v>819.71836083073015</v>
      </c>
      <c r="AE129" s="13">
        <v>628.15193692482626</v>
      </c>
      <c r="AF129" s="13">
        <v>491.55565913344083</v>
      </c>
      <c r="AG129" s="13">
        <v>368.36383630738101</v>
      </c>
      <c r="AH129" s="13">
        <v>270.96599666204474</v>
      </c>
      <c r="AI129" s="13">
        <v>210.84853648118363</v>
      </c>
    </row>
    <row r="130" spans="1:35" ht="15" x14ac:dyDescent="0.2">
      <c r="B130" s="12" t="s">
        <v>115</v>
      </c>
      <c r="C130" s="12">
        <v>8.7631800000000002</v>
      </c>
      <c r="D130" s="12">
        <v>62.39119618010043</v>
      </c>
      <c r="E130" s="12">
        <v>121.52503904078114</v>
      </c>
      <c r="F130" s="12">
        <v>193.44893121370706</v>
      </c>
      <c r="G130" s="12">
        <v>267.30382937040144</v>
      </c>
      <c r="H130" s="12">
        <v>341.99749719722951</v>
      </c>
      <c r="I130" s="12">
        <v>436.82448975406021</v>
      </c>
      <c r="J130" s="12">
        <v>555.86988063487161</v>
      </c>
      <c r="K130" s="12">
        <v>690.1809148467122</v>
      </c>
      <c r="Z130" s="13"/>
      <c r="AA130" s="13"/>
      <c r="AB130" s="13"/>
      <c r="AC130" s="13"/>
      <c r="AD130" s="13"/>
      <c r="AE130" s="13"/>
      <c r="AF130" s="13"/>
      <c r="AG130" s="13"/>
      <c r="AH130" s="13"/>
      <c r="AI130" s="13"/>
    </row>
    <row r="131" spans="1:35" ht="19" x14ac:dyDescent="0.15">
      <c r="B131" s="12" t="s">
        <v>96</v>
      </c>
      <c r="C131" s="12">
        <v>177.99678700200658</v>
      </c>
      <c r="D131" s="12">
        <v>752.95093805125327</v>
      </c>
      <c r="E131" s="12">
        <v>1162.33799605746</v>
      </c>
      <c r="F131" s="12">
        <v>1771.2562459937669</v>
      </c>
      <c r="G131" s="12">
        <v>2540.3906783841362</v>
      </c>
      <c r="H131" s="12">
        <v>3480.7180174474261</v>
      </c>
      <c r="I131" s="12">
        <v>4424.1306688407958</v>
      </c>
      <c r="J131" s="12">
        <v>5550.1550504998295</v>
      </c>
      <c r="K131" s="12">
        <v>6697.0570240831321</v>
      </c>
      <c r="N131" s="26" t="s">
        <v>191</v>
      </c>
      <c r="O131" s="26"/>
      <c r="P131" s="26"/>
      <c r="Q131" s="26"/>
      <c r="R131" s="26"/>
      <c r="S131" s="26"/>
      <c r="Y131" s="26" t="s">
        <v>166</v>
      </c>
      <c r="Z131" s="26"/>
      <c r="AA131" s="26"/>
      <c r="AB131" s="26"/>
      <c r="AC131" s="26"/>
      <c r="AD131" s="26"/>
      <c r="AE131" s="26"/>
      <c r="AF131" s="26"/>
      <c r="AG131" s="26"/>
      <c r="AH131" s="26"/>
      <c r="AI131" s="26"/>
    </row>
    <row r="132" spans="1:35" ht="19" x14ac:dyDescent="0.15">
      <c r="B132" s="12" t="s">
        <v>97</v>
      </c>
      <c r="C132" s="12">
        <v>7.4322450585597988</v>
      </c>
      <c r="D132" s="12">
        <v>96.426160413322577</v>
      </c>
      <c r="E132" s="12">
        <v>203.11129953948691</v>
      </c>
      <c r="F132" s="12">
        <v>373.04736991259136</v>
      </c>
      <c r="G132" s="12">
        <v>565.14171815073132</v>
      </c>
      <c r="H132" s="12">
        <v>745.80572226564232</v>
      </c>
      <c r="I132" s="12">
        <v>939.15719961818252</v>
      </c>
      <c r="J132" s="12">
        <v>1128.4563333754509</v>
      </c>
      <c r="K132" s="12">
        <v>1276.7891871589641</v>
      </c>
      <c r="N132" s="26"/>
      <c r="O132" s="90">
        <v>2010</v>
      </c>
      <c r="P132" s="90">
        <v>2020</v>
      </c>
      <c r="Q132" s="90">
        <v>2030</v>
      </c>
      <c r="R132" s="90">
        <v>2040</v>
      </c>
      <c r="S132" s="90">
        <v>2050</v>
      </c>
      <c r="Z132" s="12" t="s">
        <v>148</v>
      </c>
      <c r="AA132" s="12">
        <v>966.54674501995248</v>
      </c>
      <c r="AB132" s="12">
        <v>727.85464235417749</v>
      </c>
      <c r="AC132" s="12">
        <v>556.0155940964006</v>
      </c>
      <c r="AD132" s="12">
        <v>414.4602675714093</v>
      </c>
      <c r="AE132" s="12">
        <v>324.99309585981325</v>
      </c>
      <c r="AF132" s="12">
        <v>255.56757215301531</v>
      </c>
      <c r="AG132" s="12">
        <v>189.44695234375584</v>
      </c>
      <c r="AH132" s="12">
        <v>139.68633141684418</v>
      </c>
      <c r="AI132" s="12">
        <v>108.38996047860222</v>
      </c>
    </row>
    <row r="133" spans="1:35" x14ac:dyDescent="0.15">
      <c r="B133" s="12" t="s">
        <v>98</v>
      </c>
      <c r="C133" s="12">
        <v>0.53652000000000011</v>
      </c>
      <c r="D133" s="12">
        <v>2.5168314907359264</v>
      </c>
      <c r="E133" s="12">
        <v>6.9099857107981491</v>
      </c>
      <c r="F133" s="12">
        <v>19.381115844225388</v>
      </c>
      <c r="G133" s="12">
        <v>42.391867599642559</v>
      </c>
      <c r="H133" s="12">
        <v>92.237369937229573</v>
      </c>
      <c r="I133" s="12">
        <v>181.58086918544387</v>
      </c>
      <c r="J133" s="12">
        <v>269.89954753962672</v>
      </c>
      <c r="K133" s="12">
        <v>335.29781962298489</v>
      </c>
      <c r="N133" s="12" t="s">
        <v>18</v>
      </c>
      <c r="O133" s="12">
        <v>37633</v>
      </c>
      <c r="P133" s="12">
        <v>43908</v>
      </c>
      <c r="Q133" s="12">
        <v>52124</v>
      </c>
      <c r="R133" s="12">
        <v>57449</v>
      </c>
      <c r="S133" s="12">
        <v>62514</v>
      </c>
      <c r="Z133" s="12" t="s">
        <v>149</v>
      </c>
      <c r="AA133" s="12">
        <v>437.72712425988658</v>
      </c>
      <c r="AB133" s="12">
        <v>299.06973285834727</v>
      </c>
      <c r="AC133" s="12">
        <v>213.92323228765702</v>
      </c>
      <c r="AD133" s="12">
        <v>161.038453260566</v>
      </c>
      <c r="AE133" s="12">
        <v>130.18835834336701</v>
      </c>
      <c r="AF133" s="12">
        <v>105.68353414728389</v>
      </c>
      <c r="AG133" s="12">
        <v>79.543480200801142</v>
      </c>
      <c r="AH133" s="12">
        <v>60.852722106183478</v>
      </c>
      <c r="AI133" s="12">
        <v>54.149593019339015</v>
      </c>
    </row>
    <row r="134" spans="1:35" x14ac:dyDescent="0.15">
      <c r="B134" s="12" t="s">
        <v>90</v>
      </c>
      <c r="C134" s="12">
        <v>0</v>
      </c>
      <c r="D134" s="12">
        <v>0</v>
      </c>
      <c r="E134" s="12">
        <v>0</v>
      </c>
      <c r="F134" s="12">
        <v>0</v>
      </c>
      <c r="G134" s="12">
        <v>0</v>
      </c>
      <c r="H134" s="12">
        <v>0</v>
      </c>
      <c r="I134" s="12">
        <v>0</v>
      </c>
      <c r="J134" s="12">
        <v>0</v>
      </c>
      <c r="K134" s="12">
        <v>0</v>
      </c>
      <c r="Z134" s="12" t="s">
        <v>150</v>
      </c>
      <c r="AA134" s="12">
        <v>0</v>
      </c>
      <c r="AB134" s="12">
        <v>0</v>
      </c>
      <c r="AC134" s="12">
        <v>0</v>
      </c>
      <c r="AD134" s="12">
        <v>0</v>
      </c>
      <c r="AE134" s="12">
        <v>0</v>
      </c>
      <c r="AF134" s="12">
        <v>0</v>
      </c>
      <c r="AG134" s="12">
        <v>0</v>
      </c>
      <c r="AH134" s="12">
        <v>0</v>
      </c>
      <c r="AI134" s="12">
        <v>0</v>
      </c>
    </row>
    <row r="135" spans="1:35" ht="15" x14ac:dyDescent="0.2">
      <c r="A135" s="13"/>
      <c r="B135" s="13" t="s">
        <v>91</v>
      </c>
      <c r="C135" s="13">
        <v>5962.4416482104598</v>
      </c>
      <c r="D135" s="13">
        <v>8533.2962889788705</v>
      </c>
      <c r="E135" s="13">
        <v>9636.754138730319</v>
      </c>
      <c r="F135" s="13">
        <v>10684.39375301612</v>
      </c>
      <c r="G135" s="13">
        <v>12182.737412906454</v>
      </c>
      <c r="H135" s="13">
        <v>14168.027653144258</v>
      </c>
      <c r="I135" s="13">
        <v>16107.256352081315</v>
      </c>
      <c r="J135" s="13">
        <v>17915.823775886336</v>
      </c>
      <c r="K135" s="13">
        <v>20258.18503557397</v>
      </c>
      <c r="O135" s="90">
        <v>2011</v>
      </c>
      <c r="P135" s="90">
        <v>2012</v>
      </c>
      <c r="Q135" s="90">
        <v>2013</v>
      </c>
      <c r="R135" s="90">
        <v>2014</v>
      </c>
      <c r="S135" s="90">
        <v>2015</v>
      </c>
      <c r="Z135" s="12" t="s">
        <v>151</v>
      </c>
      <c r="AA135" s="12">
        <v>39.327783790589287</v>
      </c>
      <c r="AB135" s="12">
        <v>21.67266719162814</v>
      </c>
      <c r="AC135" s="12">
        <v>15.377635638551615</v>
      </c>
      <c r="AD135" s="12">
        <v>13.381758163712314</v>
      </c>
      <c r="AE135" s="12">
        <v>12.773820685373755</v>
      </c>
      <c r="AF135" s="12">
        <v>12.498992170203969</v>
      </c>
      <c r="AG135" s="12">
        <v>12.263570708768214</v>
      </c>
      <c r="AH135" s="12">
        <v>9.4475056862790545</v>
      </c>
      <c r="AI135" s="12">
        <v>5.6041960529872759</v>
      </c>
    </row>
    <row r="136" spans="1:35" ht="15" x14ac:dyDescent="0.2">
      <c r="B136" s="17"/>
      <c r="O136" s="12">
        <f>+$O133-($O133-$P133)/10*(O135-$O132)</f>
        <v>38260.5</v>
      </c>
      <c r="P136" s="12">
        <f>+$O133-($O133-$P133)/10*(P135-$O132)</f>
        <v>38888</v>
      </c>
      <c r="Q136" s="12">
        <f>+$O133-($O133-$P133)/10*(Q135-$O132)</f>
        <v>39515.5</v>
      </c>
      <c r="R136" s="12">
        <f>+$O133-($O133-$P133)/10*(R135-$O132)</f>
        <v>40143</v>
      </c>
      <c r="S136" s="12">
        <f>+$O133-($O133-$P133)/10*(S135-$O132)</f>
        <v>40770.5</v>
      </c>
      <c r="Z136" s="12" t="s">
        <v>152</v>
      </c>
      <c r="AA136" s="12">
        <v>0</v>
      </c>
      <c r="AB136" s="12">
        <v>0</v>
      </c>
      <c r="AC136" s="12">
        <v>0</v>
      </c>
      <c r="AD136" s="12">
        <v>0</v>
      </c>
      <c r="AE136" s="12">
        <v>0</v>
      </c>
      <c r="AF136" s="12">
        <v>0</v>
      </c>
      <c r="AG136" s="12">
        <v>0</v>
      </c>
      <c r="AH136" s="12">
        <v>0</v>
      </c>
      <c r="AI136" s="12">
        <v>0</v>
      </c>
    </row>
    <row r="137" spans="1:35" ht="19" x14ac:dyDescent="0.15">
      <c r="A137" s="26" t="s">
        <v>117</v>
      </c>
      <c r="B137" s="26"/>
      <c r="C137" s="26"/>
      <c r="D137" s="26"/>
      <c r="E137" s="26"/>
      <c r="F137" s="26"/>
      <c r="G137" s="26"/>
      <c r="H137" s="26"/>
      <c r="I137" s="26"/>
      <c r="J137" s="26"/>
      <c r="K137" s="26"/>
      <c r="O137" s="90">
        <v>2016</v>
      </c>
      <c r="P137" s="90">
        <v>2017</v>
      </c>
      <c r="Q137" s="90">
        <v>2018</v>
      </c>
      <c r="R137" s="90">
        <v>2019</v>
      </c>
      <c r="S137" s="90">
        <v>2020</v>
      </c>
      <c r="Z137" s="12" t="s">
        <v>153</v>
      </c>
      <c r="AA137" s="12">
        <v>528.11795096056801</v>
      </c>
      <c r="AB137" s="12">
        <v>442.83353708160848</v>
      </c>
      <c r="AC137" s="12">
        <v>333.73444192004933</v>
      </c>
      <c r="AD137" s="12">
        <v>230.83788183504248</v>
      </c>
      <c r="AE137" s="12">
        <v>160.19666203627216</v>
      </c>
      <c r="AF137" s="12">
        <v>117.80556066293769</v>
      </c>
      <c r="AG137" s="12">
        <v>87.109833054055798</v>
      </c>
      <c r="AH137" s="12">
        <v>60.979437452738068</v>
      </c>
      <c r="AI137" s="12">
        <v>42.704786930255118</v>
      </c>
    </row>
    <row r="138" spans="1:35" ht="15" x14ac:dyDescent="0.2">
      <c r="B138" s="18" t="s">
        <v>118</v>
      </c>
      <c r="C138" s="12">
        <v>8346.0621655155301</v>
      </c>
      <c r="D138" s="12">
        <v>6980.0299244955286</v>
      </c>
      <c r="E138" s="12">
        <v>6018.0493382227842</v>
      </c>
      <c r="F138" s="12">
        <v>5251.3196533144628</v>
      </c>
      <c r="G138" s="12">
        <v>4600.7551198740875</v>
      </c>
      <c r="H138" s="12">
        <v>4014.9883285108426</v>
      </c>
      <c r="I138" s="12">
        <v>3230.5533914542521</v>
      </c>
      <c r="J138" s="12">
        <v>2714.7669443002574</v>
      </c>
      <c r="K138" s="12">
        <v>2091.0231750576386</v>
      </c>
      <c r="O138" s="12">
        <f>+$O136-($O136-$P133)/10*(O137-$O132)</f>
        <v>41649</v>
      </c>
      <c r="P138" s="12">
        <f>+$O136-($O136-$P133)/10*(P137-$O132)</f>
        <v>42213.75</v>
      </c>
      <c r="Q138" s="12">
        <f>+$O136-($O136-$P133)/10*(Q137-$O132)</f>
        <v>42778.5</v>
      </c>
      <c r="R138" s="12">
        <f>+$O136-($O136-$P133)/10*(R137-$O132)</f>
        <v>43343.25</v>
      </c>
      <c r="S138" s="12">
        <f>+$O136-($O136-$P133)/10*(S137-$O132)</f>
        <v>43908</v>
      </c>
      <c r="Z138" s="13"/>
      <c r="AA138" s="13">
        <v>1971.7196040309964</v>
      </c>
      <c r="AB138" s="13">
        <v>1491.4305794857614</v>
      </c>
      <c r="AC138" s="13">
        <v>1119.0509039426586</v>
      </c>
      <c r="AD138" s="13">
        <v>819.71836083073015</v>
      </c>
      <c r="AE138" s="13">
        <v>628.15193692482615</v>
      </c>
      <c r="AF138" s="13">
        <v>491.55565913344083</v>
      </c>
      <c r="AG138" s="13">
        <v>368.36383630738101</v>
      </c>
      <c r="AH138" s="13">
        <v>270.96599666204474</v>
      </c>
      <c r="AI138" s="13">
        <v>210.84853648118363</v>
      </c>
    </row>
    <row r="139" spans="1:35" ht="29" x14ac:dyDescent="0.2">
      <c r="B139" s="18" t="s">
        <v>119</v>
      </c>
      <c r="C139" s="12">
        <v>3295.5354450000004</v>
      </c>
      <c r="D139" s="12">
        <v>2464.2192378898408</v>
      </c>
      <c r="E139" s="12">
        <v>1855.2761990103613</v>
      </c>
      <c r="F139" s="12">
        <v>1435.3988343445005</v>
      </c>
      <c r="G139" s="12">
        <v>1113.0733056100305</v>
      </c>
      <c r="H139" s="12">
        <v>858.87194953710491</v>
      </c>
      <c r="I139" s="12">
        <v>619.34849355191034</v>
      </c>
      <c r="J139" s="12">
        <v>475.40954052360007</v>
      </c>
      <c r="K139" s="12">
        <v>372.07325486438452</v>
      </c>
      <c r="Z139" s="13"/>
      <c r="AA139" s="13"/>
      <c r="AB139" s="13"/>
      <c r="AC139" s="13"/>
      <c r="AD139" s="13"/>
      <c r="AE139" s="13"/>
      <c r="AF139" s="13"/>
      <c r="AG139" s="13"/>
      <c r="AH139" s="13"/>
      <c r="AI139" s="13"/>
    </row>
    <row r="140" spans="1:35" ht="19" x14ac:dyDescent="0.15">
      <c r="B140" s="18" t="s">
        <v>120</v>
      </c>
      <c r="C140" s="12">
        <v>7407.6321980000002</v>
      </c>
      <c r="D140" s="12">
        <v>6895.3344393646566</v>
      </c>
      <c r="E140" s="12">
        <v>6072.0525608642292</v>
      </c>
      <c r="F140" s="12">
        <v>5093.7393393613493</v>
      </c>
      <c r="G140" s="12">
        <v>4040.4734502426327</v>
      </c>
      <c r="H140" s="12">
        <v>3164.1426217281146</v>
      </c>
      <c r="I140" s="12">
        <v>2452.1163408562152</v>
      </c>
      <c r="J140" s="12">
        <v>1781.9953328802692</v>
      </c>
      <c r="K140" s="12">
        <v>1400.9403802729269</v>
      </c>
      <c r="Y140" s="26" t="s">
        <v>167</v>
      </c>
      <c r="Z140" s="26"/>
      <c r="AA140" s="26"/>
      <c r="AB140" s="26"/>
      <c r="AC140" s="26"/>
      <c r="AD140" s="26"/>
      <c r="AE140" s="26"/>
      <c r="AF140" s="26"/>
      <c r="AG140" s="26"/>
      <c r="AH140" s="26"/>
      <c r="AI140" s="26"/>
    </row>
    <row r="141" spans="1:35" ht="14" x14ac:dyDescent="0.15">
      <c r="B141" s="18" t="s">
        <v>29</v>
      </c>
      <c r="C141" s="12">
        <v>13625.004647</v>
      </c>
      <c r="D141" s="12">
        <v>9369.4364035276667</v>
      </c>
      <c r="E141" s="12">
        <v>7083.1994249231311</v>
      </c>
      <c r="F141" s="12">
        <v>4758.6490241959691</v>
      </c>
      <c r="G141" s="12">
        <v>2661.9039102911465</v>
      </c>
      <c r="H141" s="12">
        <v>823.65980003171899</v>
      </c>
      <c r="I141" s="12">
        <v>-355.66926433015539</v>
      </c>
      <c r="J141" s="12">
        <v>-1189.020977350287</v>
      </c>
      <c r="K141" s="12">
        <v>-1743.8363466395458</v>
      </c>
      <c r="Z141" s="12" t="s">
        <v>85</v>
      </c>
      <c r="AA141" s="12">
        <v>1726.2507203754501</v>
      </c>
      <c r="AB141" s="12">
        <v>1173.294440996304</v>
      </c>
      <c r="AC141" s="12">
        <v>569.36743968942653</v>
      </c>
      <c r="AD141" s="12">
        <v>287.04900169355085</v>
      </c>
      <c r="AE141" s="12">
        <v>141.19949243817672</v>
      </c>
      <c r="AF141" s="12">
        <v>88.46540872676367</v>
      </c>
      <c r="AG141" s="12">
        <v>39.099026794988113</v>
      </c>
      <c r="AH141" s="12">
        <v>9.58354220487516</v>
      </c>
      <c r="AI141" s="12">
        <v>0.15306161090862763</v>
      </c>
    </row>
    <row r="142" spans="1:35" ht="14" x14ac:dyDescent="0.15">
      <c r="B142" s="18" t="s">
        <v>121</v>
      </c>
      <c r="C142" s="12">
        <v>1579.6700180000003</v>
      </c>
      <c r="D142" s="12">
        <v>1447.3992553375358</v>
      </c>
      <c r="E142" s="12">
        <v>1039.4155714076192</v>
      </c>
      <c r="F142" s="12">
        <v>541.74676058643399</v>
      </c>
      <c r="G142" s="12">
        <v>-147.95168616030844</v>
      </c>
      <c r="H142" s="12">
        <v>-821.4931103360359</v>
      </c>
      <c r="I142" s="12">
        <v>-1219.9971442934182</v>
      </c>
      <c r="J142" s="12">
        <v>-1989.5620830287112</v>
      </c>
      <c r="K142" s="12">
        <v>-2156.7903330785875</v>
      </c>
      <c r="Z142" s="12" t="s">
        <v>144</v>
      </c>
      <c r="AA142" s="12">
        <v>3148.2664391676126</v>
      </c>
      <c r="AB142" s="12">
        <v>1715.1469718802962</v>
      </c>
      <c r="AC142" s="12">
        <v>617.3775418441237</v>
      </c>
      <c r="AD142" s="12">
        <v>227.69541738046379</v>
      </c>
      <c r="AE142" s="12">
        <v>95.601830924092965</v>
      </c>
      <c r="AF142" s="12">
        <v>57.793185084156271</v>
      </c>
      <c r="AG142" s="12">
        <v>27.098051606298789</v>
      </c>
      <c r="AH142" s="12">
        <v>6.3171470295587815</v>
      </c>
      <c r="AI142" s="12">
        <v>8.4322094093024283E-2</v>
      </c>
    </row>
    <row r="143" spans="1:35" ht="16" x14ac:dyDescent="0.2">
      <c r="B143" s="19" t="s">
        <v>91</v>
      </c>
      <c r="C143" s="13">
        <v>34253.904473515526</v>
      </c>
      <c r="D143" s="13">
        <v>27156.419260615228</v>
      </c>
      <c r="E143" s="13">
        <v>22067.993094428126</v>
      </c>
      <c r="F143" s="13">
        <v>17080.853611802715</v>
      </c>
      <c r="G143" s="13">
        <v>12268.25409985759</v>
      </c>
      <c r="H143" s="13">
        <v>8040.169589471745</v>
      </c>
      <c r="I143" s="13">
        <v>4726.3518172388031</v>
      </c>
      <c r="J143" s="13">
        <v>1793.5887573251284</v>
      </c>
      <c r="K143" s="13">
        <v>-36.589869523183552</v>
      </c>
      <c r="Z143" s="12" t="s">
        <v>86</v>
      </c>
      <c r="AA143" s="12">
        <v>10415.64117558263</v>
      </c>
      <c r="AB143" s="12">
        <v>8890.2915919298266</v>
      </c>
      <c r="AC143" s="12">
        <v>8200.4416622699191</v>
      </c>
      <c r="AD143" s="12">
        <v>6630.8251305270333</v>
      </c>
      <c r="AE143" s="12">
        <v>5442.3970918965724</v>
      </c>
      <c r="AF143" s="12">
        <v>4338.7732726850099</v>
      </c>
      <c r="AG143" s="12">
        <v>3279.4527417693939</v>
      </c>
      <c r="AH143" s="12">
        <v>2466.2840661403093</v>
      </c>
      <c r="AI143" s="12">
        <v>1931.5535143816458</v>
      </c>
    </row>
    <row r="144" spans="1:35" x14ac:dyDescent="0.15">
      <c r="Z144" s="12" t="s">
        <v>37</v>
      </c>
      <c r="AA144" s="12">
        <v>2016.8751476379548</v>
      </c>
      <c r="AB144" s="12">
        <v>2372.4691274181137</v>
      </c>
      <c r="AC144" s="12">
        <v>2318.5119711481143</v>
      </c>
      <c r="AD144" s="12">
        <v>2252.9021803208861</v>
      </c>
      <c r="AE144" s="12">
        <v>2127.9732737725581</v>
      </c>
      <c r="AF144" s="12">
        <v>1954.0983016722769</v>
      </c>
      <c r="AG144" s="12">
        <v>1788.0323219071629</v>
      </c>
      <c r="AH144" s="12">
        <v>1651.607364604437</v>
      </c>
      <c r="AI144" s="12">
        <v>1577.3374202114744</v>
      </c>
    </row>
    <row r="145" spans="1:35" ht="19" x14ac:dyDescent="0.15">
      <c r="A145" s="26" t="s">
        <v>122</v>
      </c>
      <c r="B145" s="26"/>
      <c r="C145" s="26"/>
      <c r="D145" s="26"/>
      <c r="E145" s="26"/>
      <c r="F145" s="26"/>
      <c r="G145" s="26"/>
      <c r="H145" s="26"/>
      <c r="I145" s="26"/>
      <c r="J145" s="26"/>
      <c r="K145" s="26"/>
      <c r="Z145" s="12" t="s">
        <v>145</v>
      </c>
      <c r="AA145" s="12">
        <v>5059.2900140807687</v>
      </c>
      <c r="AB145" s="12">
        <v>5350.7272494959052</v>
      </c>
      <c r="AC145" s="12">
        <v>5392.8421597313127</v>
      </c>
      <c r="AD145" s="12">
        <v>5542.2608603830922</v>
      </c>
      <c r="AE145" s="12">
        <v>5575.4958389571566</v>
      </c>
      <c r="AF145" s="12">
        <v>5491.0296374491409</v>
      </c>
      <c r="AG145" s="12">
        <v>5428.8980089227171</v>
      </c>
      <c r="AH145" s="12">
        <v>5286.3878662841016</v>
      </c>
      <c r="AI145" s="12">
        <v>5028.974378283162</v>
      </c>
    </row>
    <row r="146" spans="1:35" ht="14" x14ac:dyDescent="0.15">
      <c r="B146" s="18" t="s">
        <v>118</v>
      </c>
      <c r="C146" s="12">
        <v>0</v>
      </c>
      <c r="D146" s="12">
        <v>776.03570476715527</v>
      </c>
      <c r="E146" s="12">
        <v>1353.9948810557501</v>
      </c>
      <c r="F146" s="12">
        <v>1919.3425488817088</v>
      </c>
      <c r="G146" s="12">
        <v>2442.3964121566337</v>
      </c>
      <c r="H146" s="12">
        <v>2826.9914478920264</v>
      </c>
      <c r="I146" s="12">
        <v>3435.1961529008104</v>
      </c>
      <c r="J146" s="12">
        <v>3751.4094435281904</v>
      </c>
      <c r="K146" s="12">
        <v>4155.0164189065417</v>
      </c>
      <c r="Z146" s="12" t="s">
        <v>146</v>
      </c>
      <c r="AA146" s="12">
        <v>3703.584741473579</v>
      </c>
      <c r="AB146" s="12">
        <v>4086.1078854729144</v>
      </c>
      <c r="AC146" s="12">
        <v>3923.2150601274966</v>
      </c>
      <c r="AD146" s="12">
        <v>4039.5246000599659</v>
      </c>
      <c r="AE146" s="12">
        <v>4023.6711538986906</v>
      </c>
      <c r="AF146" s="12">
        <v>3898.1671705597992</v>
      </c>
      <c r="AG146" s="12">
        <v>3764.7060074422793</v>
      </c>
      <c r="AH146" s="12">
        <v>3569.4881814935975</v>
      </c>
      <c r="AI146" s="12">
        <v>3351.2822188195955</v>
      </c>
    </row>
    <row r="147" spans="1:35" ht="15" x14ac:dyDescent="0.2">
      <c r="B147" s="18" t="s">
        <v>29</v>
      </c>
      <c r="C147" s="12">
        <v>0</v>
      </c>
      <c r="D147" s="12">
        <v>42.541734104881002</v>
      </c>
      <c r="E147" s="12">
        <v>349.20373936982844</v>
      </c>
      <c r="F147" s="12">
        <v>1145.3645746963141</v>
      </c>
      <c r="G147" s="12">
        <v>2307.6515488165214</v>
      </c>
      <c r="H147" s="12">
        <v>3313.1807467519188</v>
      </c>
      <c r="I147" s="12">
        <v>3383.4505186357051</v>
      </c>
      <c r="J147" s="12">
        <v>3702.3890404245608</v>
      </c>
      <c r="K147" s="12">
        <v>4472.3080521099018</v>
      </c>
      <c r="Z147" s="13"/>
      <c r="AA147" s="13">
        <v>26069.908238317996</v>
      </c>
      <c r="AB147" s="13">
        <v>23588.037267193358</v>
      </c>
      <c r="AC147" s="13">
        <v>21021.755834810392</v>
      </c>
      <c r="AD147" s="13">
        <v>18980.257190364991</v>
      </c>
      <c r="AE147" s="13">
        <v>17406.338681887246</v>
      </c>
      <c r="AF147" s="13">
        <v>15828.326976177144</v>
      </c>
      <c r="AG147" s="13">
        <v>14327.286158442839</v>
      </c>
      <c r="AH147" s="13">
        <v>12989.668167756879</v>
      </c>
      <c r="AI147" s="13">
        <v>11889.384915400879</v>
      </c>
    </row>
    <row r="148" spans="1:35" ht="14" x14ac:dyDescent="0.15">
      <c r="B148" s="18" t="s">
        <v>121</v>
      </c>
      <c r="C148" s="12">
        <v>0</v>
      </c>
      <c r="D148" s="12">
        <v>92.746617844842532</v>
      </c>
      <c r="E148" s="12">
        <v>322.71705008094762</v>
      </c>
      <c r="F148" s="12">
        <v>604.6697183218007</v>
      </c>
      <c r="G148" s="12">
        <v>1080.0003431585446</v>
      </c>
      <c r="H148" s="12">
        <v>1527.5639806099837</v>
      </c>
      <c r="I148" s="12">
        <v>1794.7924329821574</v>
      </c>
      <c r="J148" s="12">
        <v>2464.4658808600693</v>
      </c>
      <c r="K148" s="12">
        <v>2620.1742590495824</v>
      </c>
    </row>
    <row r="149" spans="1:35" ht="19" x14ac:dyDescent="0.2">
      <c r="B149" s="19" t="s">
        <v>91</v>
      </c>
      <c r="C149" s="13">
        <v>0</v>
      </c>
      <c r="D149" s="13">
        <v>911.32405671687877</v>
      </c>
      <c r="E149" s="13">
        <v>2025.9156705065261</v>
      </c>
      <c r="F149" s="13">
        <v>3669.3768418998238</v>
      </c>
      <c r="G149" s="13">
        <v>5830.0483041317002</v>
      </c>
      <c r="H149" s="13">
        <v>7667.7361752539282</v>
      </c>
      <c r="I149" s="13">
        <v>8613.439104518673</v>
      </c>
      <c r="J149" s="13">
        <v>9918.2643648128196</v>
      </c>
      <c r="K149" s="13">
        <v>11247.498730066025</v>
      </c>
      <c r="Y149" s="26" t="s">
        <v>168</v>
      </c>
      <c r="Z149" s="26"/>
      <c r="AA149" s="26"/>
      <c r="AB149" s="26"/>
      <c r="AC149" s="26"/>
      <c r="AD149" s="26"/>
      <c r="AE149" s="26"/>
      <c r="AF149" s="26"/>
      <c r="AG149" s="26"/>
      <c r="AH149" s="26"/>
      <c r="AI149" s="26"/>
    </row>
    <row r="150" spans="1:35" x14ac:dyDescent="0.15">
      <c r="Z150" s="12" t="s">
        <v>85</v>
      </c>
      <c r="AA150" s="12">
        <v>810.33863571140466</v>
      </c>
      <c r="AB150" s="12">
        <v>106.31537236888641</v>
      </c>
      <c r="AC150" s="12">
        <v>38.867172462739767</v>
      </c>
      <c r="AD150" s="12">
        <v>7.62366553397817</v>
      </c>
      <c r="AE150" s="12">
        <v>7.4368506077263113E-2</v>
      </c>
      <c r="AF150" s="12">
        <v>0</v>
      </c>
      <c r="AG150" s="12">
        <v>0</v>
      </c>
      <c r="AH150" s="12">
        <v>0</v>
      </c>
      <c r="AI150" s="12">
        <v>0</v>
      </c>
    </row>
    <row r="151" spans="1:35" ht="19" x14ac:dyDescent="0.15">
      <c r="A151" s="26" t="s">
        <v>123</v>
      </c>
      <c r="B151" s="26"/>
      <c r="C151" s="26"/>
      <c r="D151" s="26"/>
      <c r="E151" s="26"/>
      <c r="F151" s="26"/>
      <c r="G151" s="26"/>
      <c r="H151" s="26"/>
      <c r="I151" s="26"/>
      <c r="J151" s="26"/>
      <c r="K151" s="26"/>
      <c r="Z151" s="12" t="s">
        <v>144</v>
      </c>
      <c r="AA151" s="12">
        <v>2144.2766376578311</v>
      </c>
      <c r="AB151" s="12">
        <v>1307.4362879811874</v>
      </c>
      <c r="AC151" s="12">
        <v>562.39418809083838</v>
      </c>
      <c r="AD151" s="12">
        <v>151.27582150686209</v>
      </c>
      <c r="AE151" s="12">
        <v>44.408624663591439</v>
      </c>
      <c r="AF151" s="12">
        <v>31.345098659951958</v>
      </c>
      <c r="AG151" s="12">
        <v>15.021329564736792</v>
      </c>
      <c r="AH151" s="12">
        <v>2.8594101620653998</v>
      </c>
      <c r="AI151" s="12">
        <v>2.7231754438799622E-2</v>
      </c>
    </row>
    <row r="152" spans="1:35" x14ac:dyDescent="0.15">
      <c r="B152" s="12" t="s">
        <v>118</v>
      </c>
      <c r="C152" s="12">
        <v>0</v>
      </c>
      <c r="D152" s="12">
        <v>12.091986894602917</v>
      </c>
      <c r="E152" s="12">
        <v>28.226285490693378</v>
      </c>
      <c r="F152" s="12">
        <v>48.278228672841848</v>
      </c>
      <c r="G152" s="12">
        <v>91.011961456652841</v>
      </c>
      <c r="H152" s="12">
        <v>147.64983851738373</v>
      </c>
      <c r="I152" s="12">
        <v>198.0160359023171</v>
      </c>
      <c r="J152" s="12">
        <v>207.31641045015942</v>
      </c>
      <c r="K152" s="12">
        <v>306.31227741931792</v>
      </c>
      <c r="Z152" s="12" t="s">
        <v>86</v>
      </c>
      <c r="AA152" s="12">
        <v>3873.0345748035402</v>
      </c>
      <c r="AB152" s="12">
        <v>3603.499532777907</v>
      </c>
      <c r="AC152" s="12">
        <v>3084.6242484881386</v>
      </c>
      <c r="AD152" s="12">
        <v>2681.1622343317067</v>
      </c>
      <c r="AE152" s="12">
        <v>2270.326220654561</v>
      </c>
      <c r="AF152" s="12">
        <v>1848.4330933652011</v>
      </c>
      <c r="AG152" s="12">
        <v>1400.8717370428399</v>
      </c>
      <c r="AH152" s="12">
        <v>1081.4056519759813</v>
      </c>
      <c r="AI152" s="12">
        <v>965.1150331650839</v>
      </c>
    </row>
    <row r="153" spans="1:35" x14ac:dyDescent="0.15">
      <c r="B153" s="12" t="s">
        <v>29</v>
      </c>
      <c r="C153" s="12">
        <v>0</v>
      </c>
      <c r="D153" s="12">
        <v>0</v>
      </c>
      <c r="E153" s="12">
        <v>1.9336858677877706</v>
      </c>
      <c r="F153" s="12">
        <v>15.007792616388034</v>
      </c>
      <c r="G153" s="12">
        <v>120.01858671762866</v>
      </c>
      <c r="H153" s="12">
        <v>569.54406496595925</v>
      </c>
      <c r="I153" s="12">
        <v>1053.2378206219153</v>
      </c>
      <c r="J153" s="12">
        <v>1615.1562368191833</v>
      </c>
      <c r="K153" s="12">
        <v>2100.142347861085</v>
      </c>
      <c r="Z153" s="12" t="s">
        <v>37</v>
      </c>
      <c r="AA153" s="12">
        <v>2011.9826350415033</v>
      </c>
      <c r="AB153" s="12">
        <v>3434.1984427961879</v>
      </c>
      <c r="AC153" s="12">
        <v>3705.263230470674</v>
      </c>
      <c r="AD153" s="12">
        <v>3662.0114236497193</v>
      </c>
      <c r="AE153" s="12">
        <v>3600.3362811361726</v>
      </c>
      <c r="AF153" s="12">
        <v>3491.2587264369358</v>
      </c>
      <c r="AG153" s="12">
        <v>3303.0988425457008</v>
      </c>
      <c r="AH153" s="12">
        <v>3084.0782002533938</v>
      </c>
      <c r="AI153" s="12">
        <v>2880.4271928292574</v>
      </c>
    </row>
    <row r="154" spans="1:35" x14ac:dyDescent="0.15">
      <c r="B154" s="12" t="s">
        <v>121</v>
      </c>
      <c r="C154" s="12">
        <v>0</v>
      </c>
      <c r="D154" s="12">
        <v>72.657224997448367</v>
      </c>
      <c r="E154" s="12">
        <v>278.72646273149604</v>
      </c>
      <c r="F154" s="12">
        <v>529.63062046613948</v>
      </c>
      <c r="G154" s="12">
        <v>982.5288293525507</v>
      </c>
      <c r="H154" s="12">
        <v>1421.6439074874154</v>
      </c>
      <c r="I154" s="12">
        <v>1676.4049467220389</v>
      </c>
      <c r="J154" s="12">
        <v>2358.2853624403069</v>
      </c>
      <c r="K154" s="12">
        <v>2513.01700117159</v>
      </c>
      <c r="Z154" s="12" t="s">
        <v>145</v>
      </c>
      <c r="AA154" s="12">
        <v>9684.8295577456029</v>
      </c>
      <c r="AB154" s="12">
        <v>10904.12365906274</v>
      </c>
      <c r="AC154" s="12">
        <v>11440.343934901195</v>
      </c>
      <c r="AD154" s="12">
        <v>11654.708154114825</v>
      </c>
      <c r="AE154" s="12">
        <v>11563.655819570748</v>
      </c>
      <c r="AF154" s="12">
        <v>11346.236843761082</v>
      </c>
      <c r="AG154" s="12">
        <v>11234.024036365254</v>
      </c>
      <c r="AH154" s="12">
        <v>11092.419012865226</v>
      </c>
      <c r="AI154" s="12">
        <v>10819.751961784459</v>
      </c>
    </row>
    <row r="155" spans="1:35" ht="15" x14ac:dyDescent="0.2">
      <c r="B155" s="13" t="s">
        <v>91</v>
      </c>
      <c r="C155" s="13">
        <v>0</v>
      </c>
      <c r="D155" s="13">
        <v>84.749211892051278</v>
      </c>
      <c r="E155" s="13">
        <v>308.88643408997717</v>
      </c>
      <c r="F155" s="13">
        <v>592.91664175536937</v>
      </c>
      <c r="G155" s="13">
        <v>1193.5593775268321</v>
      </c>
      <c r="H155" s="13">
        <v>2138.8378109707583</v>
      </c>
      <c r="I155" s="13">
        <v>2927.6588032462714</v>
      </c>
      <c r="J155" s="13">
        <v>4180.7580097096497</v>
      </c>
      <c r="K155" s="13">
        <v>4919.471626451993</v>
      </c>
      <c r="N155" s="449" t="s">
        <v>411</v>
      </c>
      <c r="O155" s="449"/>
      <c r="P155" s="449"/>
      <c r="Z155" s="12" t="s">
        <v>146</v>
      </c>
      <c r="AA155" s="12">
        <v>1010.1144113118023</v>
      </c>
      <c r="AB155" s="12">
        <v>977.67781723681333</v>
      </c>
      <c r="AC155" s="12">
        <v>973.12169352916237</v>
      </c>
      <c r="AD155" s="12">
        <v>1013.3882711493441</v>
      </c>
      <c r="AE155" s="12">
        <v>1051.1851984008626</v>
      </c>
      <c r="AF155" s="12">
        <v>1086.3639427167277</v>
      </c>
      <c r="AG155" s="12">
        <v>1119.8025385834399</v>
      </c>
      <c r="AH155" s="12">
        <v>1143.2381021262904</v>
      </c>
      <c r="AI155" s="12">
        <v>1151.9911222874903</v>
      </c>
    </row>
    <row r="156" spans="1:35" ht="15" x14ac:dyDescent="0.2">
      <c r="Z156" s="13"/>
      <c r="AA156" s="13">
        <v>19534.576452271682</v>
      </c>
      <c r="AB156" s="13">
        <v>20333.251112223719</v>
      </c>
      <c r="AC156" s="13">
        <v>19804.614467942749</v>
      </c>
      <c r="AD156" s="13">
        <v>19170.169570286434</v>
      </c>
      <c r="AE156" s="13">
        <v>18529.98651293201</v>
      </c>
      <c r="AF156" s="13">
        <v>17803.637704939902</v>
      </c>
      <c r="AG156" s="13">
        <v>17072.818484101972</v>
      </c>
      <c r="AH156" s="13">
        <v>16404.000377382959</v>
      </c>
      <c r="AI156" s="13">
        <v>15817.312541820731</v>
      </c>
    </row>
    <row r="157" spans="1:35" ht="19" x14ac:dyDescent="0.15">
      <c r="N157" s="26" t="s">
        <v>412</v>
      </c>
      <c r="O157" s="26"/>
      <c r="P157" s="26"/>
      <c r="Q157" s="26"/>
      <c r="R157" s="26"/>
      <c r="S157" s="26"/>
    </row>
    <row r="158" spans="1:35" ht="19" x14ac:dyDescent="0.15">
      <c r="N158" s="26"/>
      <c r="O158" s="90">
        <v>2010</v>
      </c>
      <c r="P158" s="90">
        <v>2020</v>
      </c>
      <c r="Q158" s="90">
        <v>2030</v>
      </c>
      <c r="R158" s="90">
        <v>2040</v>
      </c>
      <c r="S158" s="90">
        <v>2050</v>
      </c>
      <c r="Y158" s="26" t="s">
        <v>169</v>
      </c>
      <c r="Z158" s="26"/>
      <c r="AA158" s="26"/>
      <c r="AB158" s="26"/>
      <c r="AC158" s="26"/>
      <c r="AD158" s="26"/>
      <c r="AE158" s="26"/>
      <c r="AF158" s="26"/>
      <c r="AG158" s="26"/>
      <c r="AH158" s="26"/>
      <c r="AI158" s="26"/>
    </row>
    <row r="159" spans="1:35" ht="29" x14ac:dyDescent="0.15">
      <c r="A159" s="9"/>
      <c r="B159" s="9"/>
      <c r="C159" s="9"/>
      <c r="D159" s="9" t="s">
        <v>187</v>
      </c>
      <c r="E159" s="9"/>
      <c r="F159" s="9"/>
      <c r="G159" s="9"/>
      <c r="H159" s="9"/>
      <c r="I159" s="9"/>
      <c r="J159" s="9"/>
      <c r="K159" s="9"/>
      <c r="N159" s="12" t="s">
        <v>18</v>
      </c>
      <c r="O159" s="12">
        <f>1886*89</f>
        <v>167854</v>
      </c>
      <c r="S159" s="12">
        <f>3159*93</f>
        <v>293787</v>
      </c>
      <c r="Z159" s="12" t="s">
        <v>85</v>
      </c>
      <c r="AA159" s="12">
        <v>0</v>
      </c>
      <c r="AB159" s="12">
        <v>0</v>
      </c>
      <c r="AC159" s="12">
        <v>0</v>
      </c>
      <c r="AD159" s="12">
        <v>0</v>
      </c>
      <c r="AE159" s="12">
        <v>0</v>
      </c>
      <c r="AF159" s="12">
        <v>0</v>
      </c>
      <c r="AG159" s="12">
        <v>0</v>
      </c>
      <c r="AH159" s="12">
        <v>0</v>
      </c>
      <c r="AI159" s="12">
        <v>0</v>
      </c>
    </row>
    <row r="160" spans="1:35" ht="19" x14ac:dyDescent="0.15">
      <c r="A160" s="32"/>
      <c r="B160" s="32"/>
      <c r="C160" s="33">
        <v>2014</v>
      </c>
      <c r="D160" s="33">
        <v>2025</v>
      </c>
      <c r="E160" s="33">
        <v>2030</v>
      </c>
      <c r="F160" s="33">
        <v>2035</v>
      </c>
      <c r="G160" s="33">
        <v>2040</v>
      </c>
      <c r="H160" s="33">
        <v>2045</v>
      </c>
      <c r="I160" s="33">
        <v>2050</v>
      </c>
      <c r="J160" s="33">
        <v>2055</v>
      </c>
      <c r="K160" s="33">
        <v>2060</v>
      </c>
      <c r="Z160" s="12" t="s">
        <v>144</v>
      </c>
      <c r="AA160" s="12">
        <v>0</v>
      </c>
      <c r="AB160" s="12">
        <v>0</v>
      </c>
      <c r="AC160" s="12">
        <v>0</v>
      </c>
      <c r="AD160" s="12">
        <v>0</v>
      </c>
      <c r="AE160" s="12">
        <v>0</v>
      </c>
      <c r="AF160" s="12">
        <v>0</v>
      </c>
      <c r="AG160" s="12">
        <v>0</v>
      </c>
      <c r="AH160" s="12">
        <v>0</v>
      </c>
      <c r="AI160" s="12">
        <v>0</v>
      </c>
    </row>
    <row r="161" spans="1:35" ht="15" x14ac:dyDescent="0.2">
      <c r="A161" s="10"/>
      <c r="B161" s="10"/>
      <c r="C161" s="11"/>
      <c r="D161" s="11"/>
      <c r="E161" s="11"/>
      <c r="F161" s="11"/>
      <c r="G161" s="11"/>
      <c r="H161" s="11"/>
      <c r="I161" s="11"/>
      <c r="J161" s="11"/>
      <c r="K161" s="11"/>
      <c r="Z161" s="12" t="s">
        <v>86</v>
      </c>
      <c r="AA161" s="12">
        <v>0</v>
      </c>
      <c r="AB161" s="12">
        <v>0</v>
      </c>
      <c r="AC161" s="12">
        <v>0</v>
      </c>
      <c r="AD161" s="12">
        <v>0</v>
      </c>
      <c r="AE161" s="12">
        <v>0</v>
      </c>
      <c r="AF161" s="12">
        <v>0</v>
      </c>
      <c r="AG161" s="12">
        <v>0</v>
      </c>
      <c r="AH161" s="12">
        <v>0</v>
      </c>
      <c r="AI161" s="12">
        <v>0</v>
      </c>
    </row>
    <row r="162" spans="1:35" ht="19" x14ac:dyDescent="0.15">
      <c r="A162" s="26" t="s">
        <v>83</v>
      </c>
      <c r="B162" s="26"/>
      <c r="C162" s="26"/>
      <c r="D162" s="26"/>
      <c r="E162" s="26"/>
      <c r="F162" s="26"/>
      <c r="G162" s="26"/>
      <c r="H162" s="26"/>
      <c r="I162" s="26"/>
      <c r="J162" s="26"/>
      <c r="K162" s="26"/>
      <c r="Z162" s="12" t="s">
        <v>37</v>
      </c>
      <c r="AA162" s="12">
        <v>2362.720142828126</v>
      </c>
      <c r="AB162" s="12">
        <v>3247.2169741076577</v>
      </c>
      <c r="AC162" s="12">
        <v>3916.0267295902077</v>
      </c>
      <c r="AD162" s="12">
        <v>4684.9143034531971</v>
      </c>
      <c r="AE162" s="12">
        <v>5400.9021001878464</v>
      </c>
      <c r="AF162" s="12">
        <v>6070.8195769078757</v>
      </c>
      <c r="AG162" s="12">
        <v>6646.8176091321329</v>
      </c>
      <c r="AH162" s="12">
        <v>7192.8864171462728</v>
      </c>
      <c r="AI162" s="12">
        <v>7773.5924560161629</v>
      </c>
    </row>
    <row r="163" spans="1:35" x14ac:dyDescent="0.15">
      <c r="B163" s="12" t="s">
        <v>84</v>
      </c>
      <c r="C163" s="12">
        <v>85895.804657664004</v>
      </c>
      <c r="D163" s="12">
        <v>63815.887076750092</v>
      </c>
      <c r="E163" s="12">
        <v>51730.894564419119</v>
      </c>
      <c r="F163" s="12">
        <v>41557.721194572732</v>
      </c>
      <c r="G163" s="12">
        <v>33624.637458073877</v>
      </c>
      <c r="H163" s="12">
        <v>27200.477527099261</v>
      </c>
      <c r="I163" s="12">
        <v>22495.771637209145</v>
      </c>
      <c r="J163" s="12">
        <v>18947.656063244904</v>
      </c>
      <c r="K163" s="12">
        <v>17155.750321796244</v>
      </c>
      <c r="Z163" s="12" t="s">
        <v>145</v>
      </c>
      <c r="AA163" s="12">
        <v>5.7700681175143181E-11</v>
      </c>
      <c r="AB163" s="12">
        <v>2.6408453922345795E-11</v>
      </c>
      <c r="AC163" s="12">
        <v>5.5173384896608573E-11</v>
      </c>
      <c r="AD163" s="12">
        <v>9.1935748822184295E-11</v>
      </c>
      <c r="AE163" s="12">
        <v>1.4336313211508211E-10</v>
      </c>
      <c r="AF163" s="12">
        <v>2.2069737913716132E-10</v>
      </c>
      <c r="AG163" s="12">
        <v>3.1959326678886487E-10</v>
      </c>
      <c r="AH163" s="12">
        <v>4.922840419144116E-10</v>
      </c>
      <c r="AI163" s="12">
        <v>6.8633812626901733E-10</v>
      </c>
    </row>
    <row r="164" spans="1:35" x14ac:dyDescent="0.15">
      <c r="B164" s="12" t="s">
        <v>85</v>
      </c>
      <c r="C164" s="12">
        <v>42210.812797524006</v>
      </c>
      <c r="D164" s="12">
        <v>17091.180442884979</v>
      </c>
      <c r="E164" s="12">
        <v>10631.071001723783</v>
      </c>
      <c r="F164" s="12">
        <v>5910.7035248753627</v>
      </c>
      <c r="G164" s="12">
        <v>6476.9959902237924</v>
      </c>
      <c r="H164" s="12">
        <v>7103.9510620205074</v>
      </c>
      <c r="I164" s="12">
        <v>6910.3241256410383</v>
      </c>
      <c r="J164" s="12">
        <v>6174.3021694292083</v>
      </c>
      <c r="K164" s="12">
        <v>5395.4989894791443</v>
      </c>
      <c r="Z164" s="12" t="s">
        <v>146</v>
      </c>
      <c r="AA164" s="12">
        <v>0</v>
      </c>
      <c r="AB164" s="12">
        <v>0</v>
      </c>
      <c r="AC164" s="12">
        <v>0</v>
      </c>
      <c r="AD164" s="12">
        <v>0</v>
      </c>
      <c r="AE164" s="12">
        <v>0</v>
      </c>
      <c r="AF164" s="12">
        <v>0</v>
      </c>
      <c r="AG164" s="12">
        <v>0</v>
      </c>
      <c r="AH164" s="12">
        <v>0</v>
      </c>
      <c r="AI164" s="12">
        <v>0</v>
      </c>
    </row>
    <row r="165" spans="1:35" ht="15" x14ac:dyDescent="0.2">
      <c r="B165" s="12" t="s">
        <v>86</v>
      </c>
      <c r="C165" s="12">
        <v>56309.36055382801</v>
      </c>
      <c r="D165" s="12">
        <v>54941.121087224899</v>
      </c>
      <c r="E165" s="12">
        <v>47722.099607892786</v>
      </c>
      <c r="F165" s="12">
        <v>42064.75771911745</v>
      </c>
      <c r="G165" s="12">
        <v>32815.614230348772</v>
      </c>
      <c r="H165" s="12">
        <v>26143.895013815101</v>
      </c>
      <c r="I165" s="12">
        <v>20607.666834722055</v>
      </c>
      <c r="J165" s="12">
        <v>15878.543658663473</v>
      </c>
      <c r="K165" s="12">
        <v>14288.612209817564</v>
      </c>
      <c r="Z165" s="13"/>
      <c r="AA165" s="13">
        <v>2362.7201428281837</v>
      </c>
      <c r="AB165" s="13">
        <v>3247.2169741076841</v>
      </c>
      <c r="AC165" s="13">
        <v>3916.0267295902627</v>
      </c>
      <c r="AD165" s="13">
        <v>4684.914303453289</v>
      </c>
      <c r="AE165" s="13">
        <v>5400.9021001879901</v>
      </c>
      <c r="AF165" s="13">
        <v>6070.8195769080967</v>
      </c>
      <c r="AG165" s="13">
        <v>6646.8176091324522</v>
      </c>
      <c r="AH165" s="13">
        <v>7192.8864171467649</v>
      </c>
      <c r="AI165" s="13">
        <v>7773.5924560168496</v>
      </c>
    </row>
    <row r="166" spans="1:35" x14ac:dyDescent="0.15">
      <c r="B166" s="12" t="s">
        <v>87</v>
      </c>
      <c r="C166" s="12">
        <v>21615.325039691998</v>
      </c>
      <c r="D166" s="12">
        <v>21922.655985601155</v>
      </c>
      <c r="E166" s="12">
        <v>25036.679867108418</v>
      </c>
      <c r="F166" s="12">
        <v>25822.085942241058</v>
      </c>
      <c r="G166" s="12">
        <v>28031.622712429504</v>
      </c>
      <c r="H166" s="12">
        <v>29317.329114870488</v>
      </c>
      <c r="I166" s="12">
        <v>29065.6630756058</v>
      </c>
      <c r="J166" s="12">
        <v>30172.9836748544</v>
      </c>
      <c r="K166" s="12">
        <v>30594.973717123117</v>
      </c>
    </row>
    <row r="167" spans="1:35" ht="19" x14ac:dyDescent="0.15">
      <c r="B167" s="12" t="s">
        <v>88</v>
      </c>
      <c r="C167" s="12">
        <v>12637.359203652</v>
      </c>
      <c r="D167" s="12">
        <v>22228.383370854426</v>
      </c>
      <c r="E167" s="12">
        <v>25060.518406882358</v>
      </c>
      <c r="F167" s="12">
        <v>29031.546441869497</v>
      </c>
      <c r="G167" s="12">
        <v>32476.758888600601</v>
      </c>
      <c r="H167" s="12">
        <v>34818.61711561658</v>
      </c>
      <c r="I167" s="12">
        <v>36838.828633871963</v>
      </c>
      <c r="J167" s="12">
        <v>39709.065008232792</v>
      </c>
      <c r="K167" s="12">
        <v>40436.418854781929</v>
      </c>
      <c r="Y167" s="26" t="s">
        <v>170</v>
      </c>
      <c r="Z167" s="26"/>
      <c r="AA167" s="26"/>
      <c r="AB167" s="26"/>
      <c r="AC167" s="26"/>
      <c r="AD167" s="26"/>
      <c r="AE167" s="26"/>
      <c r="AF167" s="26"/>
      <c r="AG167" s="26"/>
      <c r="AH167" s="26"/>
      <c r="AI167" s="26"/>
    </row>
    <row r="168" spans="1:35" x14ac:dyDescent="0.15">
      <c r="B168" s="12" t="s">
        <v>89</v>
      </c>
      <c r="C168" s="12">
        <v>5051.0466247679997</v>
      </c>
      <c r="D168" s="12">
        <v>5901.6875465164158</v>
      </c>
      <c r="E168" s="12">
        <v>6088.4272541495593</v>
      </c>
      <c r="F168" s="12">
        <v>6096.773874045748</v>
      </c>
      <c r="G168" s="12">
        <v>6313.2727920554689</v>
      </c>
      <c r="H168" s="12">
        <v>6468.4169451586431</v>
      </c>
      <c r="I168" s="12">
        <v>6614.3148480181735</v>
      </c>
      <c r="J168" s="12">
        <v>6772.68627639841</v>
      </c>
      <c r="K168" s="12">
        <v>6866.6580813645796</v>
      </c>
      <c r="Z168" s="12" t="s">
        <v>85</v>
      </c>
      <c r="AA168" s="12">
        <v>0</v>
      </c>
      <c r="AB168" s="12">
        <v>0</v>
      </c>
      <c r="AC168" s="12">
        <v>0</v>
      </c>
      <c r="AD168" s="12">
        <v>0</v>
      </c>
      <c r="AE168" s="12">
        <v>0</v>
      </c>
      <c r="AF168" s="12">
        <v>0</v>
      </c>
      <c r="AG168" s="12">
        <v>0</v>
      </c>
      <c r="AH168" s="12">
        <v>0</v>
      </c>
      <c r="AI168" s="12">
        <v>0</v>
      </c>
    </row>
    <row r="169" spans="1:35" x14ac:dyDescent="0.15">
      <c r="B169" s="12" t="s">
        <v>90</v>
      </c>
      <c r="C169" s="12">
        <v>4166.2995677999988</v>
      </c>
      <c r="D169" s="12">
        <v>11641.75875061467</v>
      </c>
      <c r="E169" s="12">
        <v>17307.976774149851</v>
      </c>
      <c r="F169" s="12">
        <v>23788.23954883204</v>
      </c>
      <c r="G169" s="12">
        <v>31231.054027552796</v>
      </c>
      <c r="H169" s="12">
        <v>38586.509310889451</v>
      </c>
      <c r="I169" s="12">
        <v>46369.803692127069</v>
      </c>
      <c r="J169" s="12">
        <v>53798.382222535169</v>
      </c>
      <c r="K169" s="12">
        <v>60080.107874967405</v>
      </c>
      <c r="Z169" s="12" t="s">
        <v>144</v>
      </c>
      <c r="AA169" s="12">
        <v>547.1828691444</v>
      </c>
      <c r="AB169" s="12">
        <v>301.54031254526222</v>
      </c>
      <c r="AC169" s="12">
        <v>213.95507141120217</v>
      </c>
      <c r="AD169" s="12">
        <v>186.18564588347695</v>
      </c>
      <c r="AE169" s="12">
        <v>177.72717348571868</v>
      </c>
      <c r="AF169" s="12">
        <v>173.90337664392248</v>
      </c>
      <c r="AG169" s="12">
        <v>170.6278655850611</v>
      </c>
      <c r="AH169" s="12">
        <v>131.44684926062919</v>
      </c>
      <c r="AI169" s="12">
        <v>77.973376070458471</v>
      </c>
    </row>
    <row r="170" spans="1:35" ht="15" x14ac:dyDescent="0.2">
      <c r="B170" s="13" t="s">
        <v>91</v>
      </c>
      <c r="C170" s="13">
        <v>227886.00844492801</v>
      </c>
      <c r="D170" s="13">
        <v>197542.67426044666</v>
      </c>
      <c r="E170" s="13">
        <v>183577.66747632588</v>
      </c>
      <c r="F170" s="13">
        <v>174271.82824555389</v>
      </c>
      <c r="G170" s="13">
        <v>170969.95609928481</v>
      </c>
      <c r="H170" s="13">
        <v>169639.19608947003</v>
      </c>
      <c r="I170" s="13">
        <v>168902.37284719525</v>
      </c>
      <c r="J170" s="13">
        <v>171453.61907335836</v>
      </c>
      <c r="K170" s="13">
        <v>174818.02004932996</v>
      </c>
      <c r="Z170" s="12" t="s">
        <v>86</v>
      </c>
      <c r="AA170" s="12">
        <v>0</v>
      </c>
      <c r="AB170" s="12">
        <v>0</v>
      </c>
      <c r="AC170" s="12">
        <v>0</v>
      </c>
      <c r="AD170" s="12">
        <v>0</v>
      </c>
      <c r="AE170" s="12">
        <v>0</v>
      </c>
      <c r="AF170" s="12">
        <v>0</v>
      </c>
      <c r="AG170" s="12">
        <v>0</v>
      </c>
      <c r="AH170" s="12">
        <v>0</v>
      </c>
      <c r="AI170" s="12">
        <v>0</v>
      </c>
    </row>
    <row r="171" spans="1:35" x14ac:dyDescent="0.15">
      <c r="B171" t="s">
        <v>92</v>
      </c>
      <c r="C171" s="12">
        <v>0</v>
      </c>
      <c r="D171" s="12">
        <v>18160.405326083037</v>
      </c>
      <c r="E171" s="12">
        <v>19868.186406318644</v>
      </c>
      <c r="F171" s="12">
        <v>22678.451420806701</v>
      </c>
      <c r="G171" s="12">
        <v>25097.094942569693</v>
      </c>
      <c r="H171" s="12">
        <v>26647.064032402872</v>
      </c>
      <c r="I171" s="12">
        <v>29239.057404600338</v>
      </c>
      <c r="J171" s="12">
        <v>30799.399095523229</v>
      </c>
      <c r="K171" s="12">
        <v>31931.459274834502</v>
      </c>
      <c r="Z171" s="12" t="s">
        <v>37</v>
      </c>
      <c r="AA171" s="12">
        <v>12868.3816890983</v>
      </c>
      <c r="AB171" s="12">
        <v>14076.707793367637</v>
      </c>
      <c r="AC171" s="12">
        <v>15110.630307226165</v>
      </c>
      <c r="AD171" s="12">
        <v>16437.672444955137</v>
      </c>
      <c r="AE171" s="12">
        <v>17929.837305338253</v>
      </c>
      <c r="AF171" s="12">
        <v>19546.194367521253</v>
      </c>
      <c r="AG171" s="12">
        <v>21217.736033685098</v>
      </c>
      <c r="AH171" s="12">
        <v>22952.175895136828</v>
      </c>
      <c r="AI171" s="12">
        <v>24716.481108353571</v>
      </c>
    </row>
    <row r="172" spans="1:35" x14ac:dyDescent="0.15">
      <c r="Z172" s="12" t="s">
        <v>145</v>
      </c>
      <c r="AA172" s="12">
        <v>0</v>
      </c>
      <c r="AB172" s="12">
        <v>0</v>
      </c>
      <c r="AC172" s="12">
        <v>0</v>
      </c>
      <c r="AD172" s="12">
        <v>0</v>
      </c>
      <c r="AE172" s="12">
        <v>0</v>
      </c>
      <c r="AF172" s="12">
        <v>0</v>
      </c>
      <c r="AG172" s="12">
        <v>0</v>
      </c>
      <c r="AH172" s="12">
        <v>0</v>
      </c>
      <c r="AI172" s="12">
        <v>0</v>
      </c>
    </row>
    <row r="173" spans="1:35" ht="19" x14ac:dyDescent="0.15">
      <c r="A173" s="26" t="s">
        <v>93</v>
      </c>
      <c r="B173" s="26"/>
      <c r="C173" s="26"/>
      <c r="D173" s="26"/>
      <c r="E173" s="26"/>
      <c r="F173" s="26"/>
      <c r="G173" s="26"/>
      <c r="H173" s="26"/>
      <c r="I173" s="26"/>
      <c r="J173" s="26"/>
      <c r="K173" s="26"/>
      <c r="Z173" s="12" t="s">
        <v>146</v>
      </c>
      <c r="AA173" s="12">
        <v>0</v>
      </c>
      <c r="AB173" s="12">
        <v>0</v>
      </c>
      <c r="AC173" s="12">
        <v>0</v>
      </c>
      <c r="AD173" s="12">
        <v>0</v>
      </c>
      <c r="AE173" s="12">
        <v>0</v>
      </c>
      <c r="AF173" s="12">
        <v>0</v>
      </c>
      <c r="AG173" s="12">
        <v>0</v>
      </c>
      <c r="AH173" s="12">
        <v>0</v>
      </c>
      <c r="AI173" s="12">
        <v>0</v>
      </c>
    </row>
    <row r="174" spans="1:35" ht="15" x14ac:dyDescent="0.2">
      <c r="B174" s="12" t="s">
        <v>84</v>
      </c>
      <c r="C174" s="12">
        <v>2746.5554956679998</v>
      </c>
      <c r="D174" s="12">
        <v>444.08978072794162</v>
      </c>
      <c r="E174" s="12">
        <v>376.8585909299361</v>
      </c>
      <c r="F174" s="12">
        <v>193.79445535212852</v>
      </c>
      <c r="G174" s="12">
        <v>164.31105499809209</v>
      </c>
      <c r="H174" s="12">
        <v>156.73710141184281</v>
      </c>
      <c r="I174" s="12">
        <v>48.04366296765685</v>
      </c>
      <c r="J174" s="12">
        <v>35.531795162276836</v>
      </c>
      <c r="K174" s="12">
        <v>22.601252052820076</v>
      </c>
      <c r="Z174" s="13"/>
      <c r="AA174" s="13">
        <v>13415.564558242701</v>
      </c>
      <c r="AB174" s="13">
        <v>14378.2481059129</v>
      </c>
      <c r="AC174" s="13">
        <v>15324.585378637368</v>
      </c>
      <c r="AD174" s="13">
        <v>16623.858090838614</v>
      </c>
      <c r="AE174" s="13">
        <v>18107.564478823973</v>
      </c>
      <c r="AF174" s="13">
        <v>19720.097744165178</v>
      </c>
      <c r="AG174" s="13">
        <v>21388.36389927016</v>
      </c>
      <c r="AH174" s="13">
        <v>23083.622744397457</v>
      </c>
      <c r="AI174" s="13">
        <v>24794.45448442403</v>
      </c>
    </row>
    <row r="175" spans="1:35" x14ac:dyDescent="0.15">
      <c r="B175" s="12" t="s">
        <v>85</v>
      </c>
      <c r="C175" s="12">
        <v>33476.33387426399</v>
      </c>
      <c r="D175" s="12">
        <v>11538.788344541626</v>
      </c>
      <c r="E175" s="12">
        <v>6404.089202943831</v>
      </c>
      <c r="F175" s="12">
        <v>2173.9464583385666</v>
      </c>
      <c r="G175" s="12">
        <v>2924.1687083184229</v>
      </c>
      <c r="H175" s="12">
        <v>3774.7381123310015</v>
      </c>
      <c r="I175" s="12">
        <v>3794.0678777833054</v>
      </c>
      <c r="J175" s="12">
        <v>3189.8974659695659</v>
      </c>
      <c r="K175" s="12">
        <v>2596.4784405395899</v>
      </c>
    </row>
    <row r="176" spans="1:35" ht="19" x14ac:dyDescent="0.15">
      <c r="B176" s="12" t="s">
        <v>86</v>
      </c>
      <c r="C176" s="12">
        <v>19948.067005860001</v>
      </c>
      <c r="D176" s="12">
        <v>23147.778526920727</v>
      </c>
      <c r="E176" s="12">
        <v>20428.172820506796</v>
      </c>
      <c r="F176" s="12">
        <v>18681.294745777548</v>
      </c>
      <c r="G176" s="12">
        <v>12912.252440187338</v>
      </c>
      <c r="H176" s="12">
        <v>9200.9082946947019</v>
      </c>
      <c r="I176" s="12">
        <v>5889.7206417047037</v>
      </c>
      <c r="J176" s="12">
        <v>2945.3233145092181</v>
      </c>
      <c r="K176" s="12">
        <v>2474.8762056610653</v>
      </c>
      <c r="Y176" s="26" t="s">
        <v>171</v>
      </c>
      <c r="Z176" s="26"/>
      <c r="AA176" s="26"/>
      <c r="AB176" s="26"/>
      <c r="AC176" s="26"/>
      <c r="AD176" s="26"/>
      <c r="AE176" s="26"/>
      <c r="AF176" s="26"/>
      <c r="AG176" s="26"/>
      <c r="AH176" s="26"/>
      <c r="AI176" s="26"/>
    </row>
    <row r="177" spans="1:35" x14ac:dyDescent="0.15">
      <c r="B177" s="12" t="s">
        <v>87</v>
      </c>
      <c r="C177" s="12">
        <v>21615.325039691998</v>
      </c>
      <c r="D177" s="12">
        <v>21922.655985601174</v>
      </c>
      <c r="E177" s="12">
        <v>25036.679867108433</v>
      </c>
      <c r="F177" s="12">
        <v>25822.085942241065</v>
      </c>
      <c r="G177" s="12">
        <v>28031.622712429467</v>
      </c>
      <c r="H177" s="12">
        <v>29317.329114870434</v>
      </c>
      <c r="I177" s="12">
        <v>29065.6630756058</v>
      </c>
      <c r="J177" s="12">
        <v>30172.983674854444</v>
      </c>
      <c r="K177" s="12">
        <v>30594.973717123081</v>
      </c>
      <c r="Z177" s="12" t="s">
        <v>85</v>
      </c>
      <c r="AA177" s="12">
        <v>0</v>
      </c>
      <c r="AB177" s="12">
        <v>0</v>
      </c>
      <c r="AC177" s="12">
        <v>0</v>
      </c>
      <c r="AD177" s="12">
        <v>0</v>
      </c>
      <c r="AE177" s="12">
        <v>0</v>
      </c>
      <c r="AF177" s="12">
        <v>0</v>
      </c>
      <c r="AG177" s="12">
        <v>0</v>
      </c>
      <c r="AH177" s="12">
        <v>0</v>
      </c>
      <c r="AI177" s="12">
        <v>0</v>
      </c>
    </row>
    <row r="178" spans="1:35" x14ac:dyDescent="0.15">
      <c r="B178" s="12" t="s">
        <v>88</v>
      </c>
      <c r="C178" s="12">
        <v>4189.8439710720013</v>
      </c>
      <c r="D178" s="12">
        <v>9167.7004895004047</v>
      </c>
      <c r="E178" s="12">
        <v>9868.8962838051175</v>
      </c>
      <c r="F178" s="12">
        <v>10797.419382569538</v>
      </c>
      <c r="G178" s="12">
        <v>10758.75743610015</v>
      </c>
      <c r="H178" s="12">
        <v>10925.784111363237</v>
      </c>
      <c r="I178" s="12">
        <v>12031.479819358936</v>
      </c>
      <c r="J178" s="12">
        <v>12387.193531865081</v>
      </c>
      <c r="K178" s="12">
        <v>12885.065573729309</v>
      </c>
      <c r="Z178" s="12" t="s">
        <v>144</v>
      </c>
      <c r="AA178" s="12">
        <v>547.1828691444</v>
      </c>
      <c r="AB178" s="12">
        <v>301.54031254526222</v>
      </c>
      <c r="AC178" s="12">
        <v>213.95507141120217</v>
      </c>
      <c r="AD178" s="12">
        <v>186.18564588347695</v>
      </c>
      <c r="AE178" s="12">
        <v>177.72717348571868</v>
      </c>
      <c r="AF178" s="12">
        <v>173.90337664392248</v>
      </c>
      <c r="AG178" s="12">
        <v>170.6278655850611</v>
      </c>
      <c r="AH178" s="12">
        <v>131.44684926062919</v>
      </c>
      <c r="AI178" s="12">
        <v>77.973376070458471</v>
      </c>
    </row>
    <row r="179" spans="1:35" x14ac:dyDescent="0.15">
      <c r="B179" s="12" t="s">
        <v>89</v>
      </c>
      <c r="C179" s="12">
        <v>5051.0466247679997</v>
      </c>
      <c r="D179" s="12">
        <v>6259.5757907409115</v>
      </c>
      <c r="E179" s="12">
        <v>6471.2586833172227</v>
      </c>
      <c r="F179" s="12">
        <v>6498.3092832017301</v>
      </c>
      <c r="G179" s="12">
        <v>6732.7576472431338</v>
      </c>
      <c r="H179" s="12">
        <v>7457.1112638708164</v>
      </c>
      <c r="I179" s="12">
        <v>8237.8662955227046</v>
      </c>
      <c r="J179" s="12">
        <v>8665.6637155763747</v>
      </c>
      <c r="K179" s="12">
        <v>8922.3045712701969</v>
      </c>
      <c r="Z179" s="12" t="s">
        <v>86</v>
      </c>
      <c r="AA179" s="12">
        <v>0</v>
      </c>
      <c r="AB179" s="12">
        <v>0</v>
      </c>
      <c r="AC179" s="12">
        <v>0</v>
      </c>
      <c r="AD179" s="12">
        <v>0</v>
      </c>
      <c r="AE179" s="12">
        <v>0</v>
      </c>
      <c r="AF179" s="12">
        <v>0</v>
      </c>
      <c r="AG179" s="12">
        <v>0</v>
      </c>
      <c r="AH179" s="12">
        <v>0</v>
      </c>
      <c r="AI179" s="12">
        <v>0</v>
      </c>
    </row>
    <row r="180" spans="1:35" x14ac:dyDescent="0.15">
      <c r="B180" s="12" t="s">
        <v>94</v>
      </c>
      <c r="C180" s="12">
        <v>1263.0632732640001</v>
      </c>
      <c r="D180" s="12">
        <v>3809.3147045126166</v>
      </c>
      <c r="E180" s="12">
        <v>5620.3006907752679</v>
      </c>
      <c r="F180" s="12">
        <v>7644.4756221939697</v>
      </c>
      <c r="G180" s="12">
        <v>10095.576260233016</v>
      </c>
      <c r="H180" s="12">
        <v>12974.679887664963</v>
      </c>
      <c r="I180" s="12">
        <v>15747.140688672824</v>
      </c>
      <c r="J180" s="12">
        <v>18452.671344894312</v>
      </c>
      <c r="K180" s="12">
        <v>20767.214140723598</v>
      </c>
      <c r="Z180" s="12" t="s">
        <v>37</v>
      </c>
      <c r="AA180" s="12">
        <v>3017.428559092582</v>
      </c>
      <c r="AB180" s="12">
        <v>2104.3417085501178</v>
      </c>
      <c r="AC180" s="12">
        <v>2088.9310211648913</v>
      </c>
      <c r="AD180" s="12">
        <v>2126.6020326456132</v>
      </c>
      <c r="AE180" s="12">
        <v>2186.9983230871585</v>
      </c>
      <c r="AF180" s="12">
        <v>2236.3702147054719</v>
      </c>
      <c r="AG180" s="12">
        <v>2269.2258908449721</v>
      </c>
      <c r="AH180" s="12">
        <v>2298.1822858197697</v>
      </c>
      <c r="AI180" s="12">
        <v>2311.0429304469035</v>
      </c>
    </row>
    <row r="181" spans="1:35" x14ac:dyDescent="0.15">
      <c r="B181" s="12" t="s">
        <v>95</v>
      </c>
      <c r="C181" s="12">
        <v>1755.8394839999999</v>
      </c>
      <c r="D181" s="12">
        <v>4604.5714597574424</v>
      </c>
      <c r="E181" s="12">
        <v>6420.0287746677723</v>
      </c>
      <c r="F181" s="12">
        <v>7937.5523321730398</v>
      </c>
      <c r="G181" s="12">
        <v>9400.0654134026136</v>
      </c>
      <c r="H181" s="12">
        <v>10682.820375738051</v>
      </c>
      <c r="I181" s="12">
        <v>12158.958832208413</v>
      </c>
      <c r="J181" s="12">
        <v>13387.100342794163</v>
      </c>
      <c r="K181" s="12">
        <v>14440.182654905821</v>
      </c>
      <c r="Z181" s="12" t="s">
        <v>145</v>
      </c>
      <c r="AA181" s="12">
        <v>0</v>
      </c>
      <c r="AB181" s="12">
        <v>0</v>
      </c>
      <c r="AC181" s="12">
        <v>0</v>
      </c>
      <c r="AD181" s="12">
        <v>0</v>
      </c>
      <c r="AE181" s="12">
        <v>0</v>
      </c>
      <c r="AF181" s="12">
        <v>0</v>
      </c>
      <c r="AG181" s="12">
        <v>0</v>
      </c>
      <c r="AH181" s="12">
        <v>0</v>
      </c>
      <c r="AI181" s="12">
        <v>0</v>
      </c>
    </row>
    <row r="182" spans="1:35" x14ac:dyDescent="0.15">
      <c r="B182" s="12" t="s">
        <v>96</v>
      </c>
      <c r="C182" s="12">
        <v>530.05499272800012</v>
      </c>
      <c r="D182" s="12">
        <v>1305.3849192783041</v>
      </c>
      <c r="E182" s="12">
        <v>1795.2058506458334</v>
      </c>
      <c r="F182" s="12">
        <v>2479.9603754458926</v>
      </c>
      <c r="G182" s="12">
        <v>3670.534952163955</v>
      </c>
      <c r="H182" s="12">
        <v>4812.3921208746397</v>
      </c>
      <c r="I182" s="12">
        <v>5593.0301142580201</v>
      </c>
      <c r="J182" s="12">
        <v>6446.858838357115</v>
      </c>
      <c r="K182" s="12">
        <v>7050.3027836894298</v>
      </c>
      <c r="Z182" s="12" t="s">
        <v>146</v>
      </c>
      <c r="AA182" s="12">
        <v>0</v>
      </c>
      <c r="AB182" s="12">
        <v>0</v>
      </c>
      <c r="AC182" s="12">
        <v>0</v>
      </c>
      <c r="AD182" s="12">
        <v>0</v>
      </c>
      <c r="AE182" s="12">
        <v>0</v>
      </c>
      <c r="AF182" s="12">
        <v>0</v>
      </c>
      <c r="AG182" s="12">
        <v>0</v>
      </c>
      <c r="AH182" s="12">
        <v>0</v>
      </c>
      <c r="AI182" s="12">
        <v>0</v>
      </c>
    </row>
    <row r="183" spans="1:35" ht="15" x14ac:dyDescent="0.2">
      <c r="B183" s="12" t="s">
        <v>97</v>
      </c>
      <c r="C183" s="12">
        <v>113.72018688</v>
      </c>
      <c r="D183" s="12">
        <v>546.88860866287064</v>
      </c>
      <c r="E183" s="12">
        <v>1292.8604942733095</v>
      </c>
      <c r="F183" s="12">
        <v>2701.0228034996885</v>
      </c>
      <c r="G183" s="12">
        <v>4169.3926807953203</v>
      </c>
      <c r="H183" s="12">
        <v>5319.4946331419333</v>
      </c>
      <c r="I183" s="12">
        <v>7035.8638189293642</v>
      </c>
      <c r="J183" s="12">
        <v>8699.3018914218956</v>
      </c>
      <c r="K183" s="12">
        <v>9981.052055676977</v>
      </c>
      <c r="Z183" s="13"/>
      <c r="AA183" s="13">
        <v>3564.6114282369817</v>
      </c>
      <c r="AB183" s="13">
        <v>2405.88202109538</v>
      </c>
      <c r="AC183" s="13">
        <v>2302.8860925760932</v>
      </c>
      <c r="AD183" s="13">
        <v>2312.78767852909</v>
      </c>
      <c r="AE183" s="13">
        <v>2364.7254965728771</v>
      </c>
      <c r="AF183" s="13">
        <v>2410.2735913493943</v>
      </c>
      <c r="AG183" s="13">
        <v>2439.8537564300332</v>
      </c>
      <c r="AH183" s="13">
        <v>2429.629135080399</v>
      </c>
      <c r="AI183" s="13">
        <v>2389.016306517362</v>
      </c>
    </row>
    <row r="184" spans="1:35" x14ac:dyDescent="0.15">
      <c r="B184" s="12" t="s">
        <v>98</v>
      </c>
      <c r="C184" s="12">
        <v>3.5682421679999998</v>
      </c>
      <c r="D184" s="12">
        <v>24.595115629420867</v>
      </c>
      <c r="E184" s="12">
        <v>67.249311862905486</v>
      </c>
      <c r="F184" s="12">
        <v>173.56184858419593</v>
      </c>
      <c r="G184" s="12">
        <v>356.21169939892712</v>
      </c>
      <c r="H184" s="12">
        <v>692.19217972089712</v>
      </c>
      <c r="I184" s="12">
        <v>1209.2776538267829</v>
      </c>
      <c r="J184" s="12">
        <v>1756.4515659076128</v>
      </c>
      <c r="K184" s="12">
        <v>2135.4082420131813</v>
      </c>
    </row>
    <row r="185" spans="1:35" ht="19" x14ac:dyDescent="0.15">
      <c r="B185" s="12" t="s">
        <v>99</v>
      </c>
      <c r="C185" s="12">
        <v>0</v>
      </c>
      <c r="D185" s="12">
        <v>0</v>
      </c>
      <c r="E185" s="12">
        <v>0</v>
      </c>
      <c r="F185" s="12">
        <v>0</v>
      </c>
      <c r="G185" s="12">
        <v>0</v>
      </c>
      <c r="H185" s="12">
        <v>0</v>
      </c>
      <c r="I185" s="12">
        <v>0</v>
      </c>
      <c r="J185" s="12">
        <v>0</v>
      </c>
      <c r="K185" s="12">
        <v>0</v>
      </c>
      <c r="Y185" s="26" t="s">
        <v>172</v>
      </c>
      <c r="Z185" s="26"/>
      <c r="AA185" s="26"/>
      <c r="AB185" s="26"/>
      <c r="AC185" s="26"/>
      <c r="AD185" s="26"/>
      <c r="AE185" s="26"/>
      <c r="AF185" s="26"/>
      <c r="AG185" s="26"/>
      <c r="AH185" s="26"/>
      <c r="AI185" s="26"/>
    </row>
    <row r="186" spans="1:35" x14ac:dyDescent="0.15">
      <c r="B186" s="12" t="s">
        <v>90</v>
      </c>
      <c r="C186" s="12">
        <v>10.725241823999999</v>
      </c>
      <c r="D186" s="12">
        <v>0</v>
      </c>
      <c r="E186" s="12">
        <v>0</v>
      </c>
      <c r="F186" s="12">
        <v>0</v>
      </c>
      <c r="G186" s="12">
        <v>0</v>
      </c>
      <c r="H186" s="12">
        <v>0</v>
      </c>
      <c r="I186" s="12">
        <v>0</v>
      </c>
      <c r="J186" s="12">
        <v>0</v>
      </c>
      <c r="K186" s="12">
        <v>0</v>
      </c>
      <c r="Z186" s="12" t="s">
        <v>85</v>
      </c>
      <c r="AA186" s="12">
        <v>0</v>
      </c>
      <c r="AB186" s="12">
        <v>0</v>
      </c>
      <c r="AC186" s="12">
        <v>0</v>
      </c>
      <c r="AD186" s="12">
        <v>0</v>
      </c>
      <c r="AE186" s="12">
        <v>0</v>
      </c>
      <c r="AF186" s="12">
        <v>0</v>
      </c>
      <c r="AG186" s="12">
        <v>0</v>
      </c>
      <c r="AH186" s="12">
        <v>0</v>
      </c>
      <c r="AI186" s="12">
        <v>0</v>
      </c>
    </row>
    <row r="187" spans="1:35" ht="15" x14ac:dyDescent="0.2">
      <c r="A187" s="13"/>
      <c r="B187" s="13" t="s">
        <v>91</v>
      </c>
      <c r="C187" s="13">
        <v>90704.143432187964</v>
      </c>
      <c r="D187" s="13">
        <v>82771.343725873434</v>
      </c>
      <c r="E187" s="13">
        <v>83781.600570836425</v>
      </c>
      <c r="F187" s="13">
        <v>85103.423249377374</v>
      </c>
      <c r="G187" s="13">
        <v>89215.65100527044</v>
      </c>
      <c r="H187" s="13">
        <v>95314.187195682505</v>
      </c>
      <c r="I187" s="13">
        <v>100811.11248083851</v>
      </c>
      <c r="J187" s="13">
        <v>106138.97748131206</v>
      </c>
      <c r="K187" s="13">
        <v>111870.45963738505</v>
      </c>
      <c r="Z187" s="12" t="s">
        <v>144</v>
      </c>
      <c r="AA187" s="12">
        <v>0</v>
      </c>
      <c r="AB187" s="12">
        <v>0</v>
      </c>
      <c r="AC187" s="12">
        <v>0</v>
      </c>
      <c r="AD187" s="12">
        <v>0</v>
      </c>
      <c r="AE187" s="12">
        <v>0</v>
      </c>
      <c r="AF187" s="12">
        <v>0</v>
      </c>
      <c r="AG187" s="12">
        <v>0</v>
      </c>
      <c r="AH187" s="12">
        <v>0</v>
      </c>
      <c r="AI187" s="12">
        <v>0</v>
      </c>
    </row>
    <row r="188" spans="1:35" x14ac:dyDescent="0.15">
      <c r="Z188" s="12" t="s">
        <v>86</v>
      </c>
      <c r="AA188" s="12">
        <v>0</v>
      </c>
      <c r="AB188" s="12">
        <v>0</v>
      </c>
      <c r="AC188" s="12">
        <v>0</v>
      </c>
      <c r="AD188" s="12">
        <v>0</v>
      </c>
      <c r="AE188" s="12">
        <v>0</v>
      </c>
      <c r="AF188" s="12">
        <v>0</v>
      </c>
      <c r="AG188" s="12">
        <v>0</v>
      </c>
      <c r="AH188" s="12">
        <v>0</v>
      </c>
      <c r="AI188" s="12">
        <v>0</v>
      </c>
    </row>
    <row r="189" spans="1:35" ht="19" x14ac:dyDescent="0.15">
      <c r="A189" s="26" t="s">
        <v>100</v>
      </c>
      <c r="B189" s="26"/>
      <c r="C189" s="26"/>
      <c r="D189" s="26"/>
      <c r="E189" s="26"/>
      <c r="F189" s="26"/>
      <c r="G189" s="26"/>
      <c r="H189" s="26"/>
      <c r="I189" s="26"/>
      <c r="J189" s="26"/>
      <c r="K189" s="26"/>
      <c r="Z189" s="12" t="s">
        <v>37</v>
      </c>
      <c r="AA189" s="12">
        <v>9850.953130005717</v>
      </c>
      <c r="AB189" s="12">
        <v>11972.36608481752</v>
      </c>
      <c r="AC189" s="12">
        <v>13021.699286061274</v>
      </c>
      <c r="AD189" s="12">
        <v>14311.070412309524</v>
      </c>
      <c r="AE189" s="12">
        <v>15742.838982251093</v>
      </c>
      <c r="AF189" s="12">
        <v>17309.824152815781</v>
      </c>
      <c r="AG189" s="12">
        <v>18948.510142840125</v>
      </c>
      <c r="AH189" s="12">
        <v>20653.993609317058</v>
      </c>
      <c r="AI189" s="12">
        <v>22405.438177906668</v>
      </c>
    </row>
    <row r="190" spans="1:35" x14ac:dyDescent="0.15">
      <c r="B190" s="12" t="s">
        <v>84</v>
      </c>
      <c r="C190" s="12">
        <v>78687.09835660801</v>
      </c>
      <c r="D190" s="12">
        <v>61283.234985807379</v>
      </c>
      <c r="E190" s="12">
        <v>50876.848911458503</v>
      </c>
      <c r="F190" s="12">
        <v>41773.688095746715</v>
      </c>
      <c r="G190" s="12">
        <v>34312.802159378545</v>
      </c>
      <c r="H190" s="12">
        <v>28203.996282249977</v>
      </c>
      <c r="I190" s="12">
        <v>23707.234749277359</v>
      </c>
      <c r="J190" s="12">
        <v>20124.790556109114</v>
      </c>
      <c r="K190" s="12">
        <v>18139.681897907027</v>
      </c>
      <c r="Z190" s="12" t="s">
        <v>145</v>
      </c>
      <c r="AA190" s="12">
        <v>0</v>
      </c>
      <c r="AB190" s="12">
        <v>0</v>
      </c>
      <c r="AC190" s="12">
        <v>0</v>
      </c>
      <c r="AD190" s="12">
        <v>0</v>
      </c>
      <c r="AE190" s="12">
        <v>0</v>
      </c>
      <c r="AF190" s="12">
        <v>0</v>
      </c>
      <c r="AG190" s="12">
        <v>0</v>
      </c>
      <c r="AH190" s="12">
        <v>0</v>
      </c>
      <c r="AI190" s="12">
        <v>0</v>
      </c>
    </row>
    <row r="191" spans="1:35" x14ac:dyDescent="0.15">
      <c r="B191" s="12" t="s">
        <v>85</v>
      </c>
      <c r="C191" s="12">
        <v>8078.9675571000007</v>
      </c>
      <c r="D191" s="12">
        <v>5661.1404607508302</v>
      </c>
      <c r="E191" s="12">
        <v>4399.080604753517</v>
      </c>
      <c r="F191" s="12">
        <v>3867.0540705160506</v>
      </c>
      <c r="G191" s="12">
        <v>3567.8980577605757</v>
      </c>
      <c r="H191" s="12">
        <v>3268.0683607996079</v>
      </c>
      <c r="I191" s="12">
        <v>2985.5895779936091</v>
      </c>
      <c r="J191" s="12">
        <v>2832.0857878564407</v>
      </c>
      <c r="K191" s="12">
        <v>2638.326428830751</v>
      </c>
      <c r="Z191" s="12" t="s">
        <v>146</v>
      </c>
      <c r="AA191" s="12">
        <v>0</v>
      </c>
      <c r="AB191" s="12">
        <v>0</v>
      </c>
      <c r="AC191" s="12">
        <v>0</v>
      </c>
      <c r="AD191" s="12">
        <v>0</v>
      </c>
      <c r="AE191" s="12">
        <v>0</v>
      </c>
      <c r="AF191" s="12">
        <v>0</v>
      </c>
      <c r="AG191" s="12">
        <v>0</v>
      </c>
      <c r="AH191" s="12">
        <v>0</v>
      </c>
      <c r="AI191" s="12">
        <v>0</v>
      </c>
    </row>
    <row r="192" spans="1:35" ht="15" x14ac:dyDescent="0.2">
      <c r="B192" s="12" t="s">
        <v>86</v>
      </c>
      <c r="C192" s="12">
        <v>29896.000897751997</v>
      </c>
      <c r="D192" s="12">
        <v>25649.561776437604</v>
      </c>
      <c r="E192" s="12">
        <v>22590.621764483662</v>
      </c>
      <c r="F192" s="12">
        <v>19799.299037382283</v>
      </c>
      <c r="G192" s="12">
        <v>17317.579258403264</v>
      </c>
      <c r="H192" s="12">
        <v>15273.671851995747</v>
      </c>
      <c r="I192" s="12">
        <v>13682.928199213997</v>
      </c>
      <c r="J192" s="12">
        <v>12496.154479039646</v>
      </c>
      <c r="K192" s="12">
        <v>11564.025865410056</v>
      </c>
      <c r="Z192" s="13"/>
      <c r="AA192" s="13">
        <v>9850.953130005717</v>
      </c>
      <c r="AB192" s="13">
        <v>11972.36608481752</v>
      </c>
      <c r="AC192" s="13">
        <v>13021.699286061274</v>
      </c>
      <c r="AD192" s="13">
        <v>14311.070412309524</v>
      </c>
      <c r="AE192" s="13">
        <v>15742.838982251093</v>
      </c>
      <c r="AF192" s="13">
        <v>17309.824152815781</v>
      </c>
      <c r="AG192" s="13">
        <v>18948.510142840125</v>
      </c>
      <c r="AH192" s="13">
        <v>20653.993609317058</v>
      </c>
      <c r="AI192" s="13">
        <v>22405.438177906668</v>
      </c>
    </row>
    <row r="193" spans="1:35" x14ac:dyDescent="0.15">
      <c r="B193" s="12" t="s">
        <v>37</v>
      </c>
      <c r="C193" s="12">
        <v>33598.114572240003</v>
      </c>
      <c r="D193" s="12">
        <v>32041.267588120267</v>
      </c>
      <c r="E193" s="12">
        <v>32903.675500494559</v>
      </c>
      <c r="F193" s="12">
        <v>34034.821358223169</v>
      </c>
      <c r="G193" s="12">
        <v>35425.624587178922</v>
      </c>
      <c r="H193" s="12">
        <v>37184.725815615857</v>
      </c>
      <c r="I193" s="12">
        <v>38950.767770106497</v>
      </c>
      <c r="J193" s="12">
        <v>40820.638690408319</v>
      </c>
      <c r="K193" s="12">
        <v>42444.976709501207</v>
      </c>
    </row>
    <row r="194" spans="1:35" ht="19" x14ac:dyDescent="0.15">
      <c r="B194" s="12" t="s">
        <v>101</v>
      </c>
      <c r="C194" s="12">
        <v>2403.2070808200006</v>
      </c>
      <c r="D194" s="12">
        <v>3248.464438776884</v>
      </c>
      <c r="E194" s="12">
        <v>3055.0048698778924</v>
      </c>
      <c r="F194" s="12">
        <v>2971.0012867160194</v>
      </c>
      <c r="G194" s="12">
        <v>2880.1838837669288</v>
      </c>
      <c r="H194" s="12">
        <v>2943.4537175911346</v>
      </c>
      <c r="I194" s="12">
        <v>2745.780928024682</v>
      </c>
      <c r="J194" s="12">
        <v>2739.7018568117378</v>
      </c>
      <c r="K194" s="12">
        <v>2786.3078459274102</v>
      </c>
      <c r="Y194" s="26" t="s">
        <v>173</v>
      </c>
      <c r="Z194" s="26"/>
      <c r="AA194" s="26"/>
      <c r="AB194" s="26"/>
      <c r="AC194" s="26"/>
      <c r="AD194" s="26"/>
      <c r="AE194" s="26"/>
      <c r="AF194" s="26"/>
      <c r="AG194" s="26"/>
      <c r="AH194" s="26"/>
      <c r="AI194" s="26"/>
    </row>
    <row r="195" spans="1:35" x14ac:dyDescent="0.15">
      <c r="B195" s="12" t="s">
        <v>88</v>
      </c>
      <c r="C195" s="12">
        <v>8381.695135932001</v>
      </c>
      <c r="D195" s="12">
        <v>10287.230382536109</v>
      </c>
      <c r="E195" s="12">
        <v>11375.944714102718</v>
      </c>
      <c r="F195" s="12">
        <v>13092.047298142401</v>
      </c>
      <c r="G195" s="12">
        <v>14800.274745291761</v>
      </c>
      <c r="H195" s="12">
        <v>15858.71823143371</v>
      </c>
      <c r="I195" s="12">
        <v>16447.608109157394</v>
      </c>
      <c r="J195" s="12">
        <v>17459.440238064708</v>
      </c>
      <c r="K195" s="12">
        <v>18084.731691625711</v>
      </c>
      <c r="Z195" s="12" t="s">
        <v>85</v>
      </c>
      <c r="AA195" s="12">
        <v>1177.1499437468913</v>
      </c>
      <c r="AB195" s="12">
        <v>377.92406526125859</v>
      </c>
      <c r="AC195" s="12">
        <v>159.95330061817384</v>
      </c>
      <c r="AD195" s="12">
        <v>64.525418744246593</v>
      </c>
      <c r="AE195" s="12">
        <v>31.280823243468486</v>
      </c>
      <c r="AF195" s="12">
        <v>22.849918599158585</v>
      </c>
      <c r="AG195" s="12">
        <v>22.712890269699539</v>
      </c>
      <c r="AH195" s="12">
        <v>23.481771767499691</v>
      </c>
      <c r="AI195" s="12">
        <v>23.926559601714622</v>
      </c>
    </row>
    <row r="196" spans="1:35" x14ac:dyDescent="0.15">
      <c r="B196" s="12" t="s">
        <v>99</v>
      </c>
      <c r="C196" s="12">
        <v>0</v>
      </c>
      <c r="D196" s="12">
        <v>40.561401933027703</v>
      </c>
      <c r="E196" s="12">
        <v>82.637167470720698</v>
      </c>
      <c r="F196" s="12">
        <v>122.13720665717211</v>
      </c>
      <c r="G196" s="12">
        <v>150.94650961681376</v>
      </c>
      <c r="H196" s="12">
        <v>177.14376695293132</v>
      </c>
      <c r="I196" s="12">
        <v>202.50872352984493</v>
      </c>
      <c r="J196" s="12">
        <v>220.57035937322843</v>
      </c>
      <c r="K196" s="12">
        <v>227.83757975416935</v>
      </c>
      <c r="Z196" s="12" t="s">
        <v>144</v>
      </c>
      <c r="AA196" s="12">
        <v>3209.9593927329388</v>
      </c>
      <c r="AB196" s="12">
        <v>2818.0006819485557</v>
      </c>
      <c r="AC196" s="12">
        <v>2167.0175267040049</v>
      </c>
      <c r="AD196" s="12">
        <v>1503.270459587143</v>
      </c>
      <c r="AE196" s="12">
        <v>1031.9082458031987</v>
      </c>
      <c r="AF196" s="12">
        <v>765.0424073544815</v>
      </c>
      <c r="AG196" s="12">
        <v>591.04856042919698</v>
      </c>
      <c r="AH196" s="12">
        <v>432.72015351044416</v>
      </c>
      <c r="AI196" s="12">
        <v>304.33260464288668</v>
      </c>
    </row>
    <row r="197" spans="1:35" x14ac:dyDescent="0.15">
      <c r="B197" s="12" t="s">
        <v>90</v>
      </c>
      <c r="C197" s="12">
        <v>423.83051762400004</v>
      </c>
      <c r="D197" s="12">
        <v>1215.5168948075191</v>
      </c>
      <c r="E197" s="12">
        <v>1944.3549648383978</v>
      </c>
      <c r="F197" s="12">
        <v>2640.2094625605005</v>
      </c>
      <c r="G197" s="12">
        <v>3253.8651924272381</v>
      </c>
      <c r="H197" s="12">
        <v>3724.1195942049153</v>
      </c>
      <c r="I197" s="12">
        <v>4107.0690786504292</v>
      </c>
      <c r="J197" s="12">
        <v>4504.1123485362905</v>
      </c>
      <c r="K197" s="12">
        <v>4901.042080801707</v>
      </c>
      <c r="Z197" s="12" t="s">
        <v>86</v>
      </c>
      <c r="AA197" s="12">
        <v>3819.4317448928332</v>
      </c>
      <c r="AB197" s="12">
        <v>4087.6962013934572</v>
      </c>
      <c r="AC197" s="12">
        <v>3242.5303195591687</v>
      </c>
      <c r="AD197" s="12">
        <v>2315.6245433654235</v>
      </c>
      <c r="AE197" s="12">
        <v>1642.4941315453048</v>
      </c>
      <c r="AF197" s="12">
        <v>1201.1510739760297</v>
      </c>
      <c r="AG197" s="12">
        <v>849.87188474615357</v>
      </c>
      <c r="AH197" s="12">
        <v>560.82533120916389</v>
      </c>
      <c r="AI197" s="12">
        <v>378.68466236478207</v>
      </c>
    </row>
    <row r="198" spans="1:35" ht="15" x14ac:dyDescent="0.2">
      <c r="B198" s="13" t="s">
        <v>91</v>
      </c>
      <c r="C198" s="13">
        <v>161468.91411807603</v>
      </c>
      <c r="D198" s="13">
        <v>139426.9779291696</v>
      </c>
      <c r="E198" s="13">
        <v>127228.16849747997</v>
      </c>
      <c r="F198" s="13">
        <v>118300.25781594431</v>
      </c>
      <c r="G198" s="13">
        <v>111709.17439382405</v>
      </c>
      <c r="H198" s="13">
        <v>106633.89762084387</v>
      </c>
      <c r="I198" s="13">
        <v>102829.48713595381</v>
      </c>
      <c r="J198" s="13">
        <v>101197.49431619949</v>
      </c>
      <c r="K198" s="13">
        <v>100786.93009975804</v>
      </c>
      <c r="Z198" s="12" t="s">
        <v>37</v>
      </c>
      <c r="AA198" s="12">
        <v>1166.9603508140367</v>
      </c>
      <c r="AB198" s="12">
        <v>3124.6873914789526</v>
      </c>
      <c r="AC198" s="12">
        <v>4702.6740960672068</v>
      </c>
      <c r="AD198" s="12">
        <v>6221.6190354999171</v>
      </c>
      <c r="AE198" s="12">
        <v>7440.2371870044608</v>
      </c>
      <c r="AF198" s="12">
        <v>8313.1499875039935</v>
      </c>
      <c r="AG198" s="12">
        <v>8934.6291645635774</v>
      </c>
      <c r="AH198" s="12">
        <v>9421.6895945909637</v>
      </c>
      <c r="AI198" s="12">
        <v>9810.3058248872258</v>
      </c>
    </row>
    <row r="199" spans="1:35" x14ac:dyDescent="0.15">
      <c r="Z199" s="12" t="s">
        <v>145</v>
      </c>
      <c r="AA199" s="12">
        <v>17629.408153690358</v>
      </c>
      <c r="AB199" s="12">
        <v>17732.367823439155</v>
      </c>
      <c r="AC199" s="12">
        <v>17136.7034088279</v>
      </c>
      <c r="AD199" s="12">
        <v>16162.326860182658</v>
      </c>
      <c r="AE199" s="12">
        <v>15039.10663613074</v>
      </c>
      <c r="AF199" s="12">
        <v>13742.683101091292</v>
      </c>
      <c r="AG199" s="12">
        <v>12735.918573202476</v>
      </c>
      <c r="AH199" s="12">
        <v>11739.664129569512</v>
      </c>
      <c r="AI199" s="12">
        <v>10445.254579041939</v>
      </c>
    </row>
    <row r="200" spans="1:35" ht="19" x14ac:dyDescent="0.15">
      <c r="A200" s="26" t="s">
        <v>102</v>
      </c>
      <c r="B200" s="26"/>
      <c r="C200" s="26"/>
      <c r="D200" s="26"/>
      <c r="E200" s="26"/>
      <c r="F200" s="26"/>
      <c r="G200" s="26"/>
      <c r="H200" s="26"/>
      <c r="I200" s="26"/>
      <c r="J200" s="26"/>
      <c r="K200" s="26"/>
      <c r="Z200" s="12" t="s">
        <v>146</v>
      </c>
      <c r="AA200" s="12">
        <v>0</v>
      </c>
      <c r="AB200" s="12">
        <v>0</v>
      </c>
      <c r="AC200" s="12">
        <v>0</v>
      </c>
      <c r="AD200" s="12">
        <v>0</v>
      </c>
      <c r="AE200" s="12">
        <v>0</v>
      </c>
      <c r="AF200" s="12">
        <v>0</v>
      </c>
      <c r="AG200" s="12">
        <v>0</v>
      </c>
      <c r="AH200" s="12">
        <v>0</v>
      </c>
      <c r="AI200" s="12">
        <v>0</v>
      </c>
    </row>
    <row r="201" spans="1:35" ht="15" x14ac:dyDescent="0.2">
      <c r="B201" s="12" t="s">
        <v>84</v>
      </c>
      <c r="C201" s="12">
        <v>4066.4386272239994</v>
      </c>
      <c r="D201" s="12">
        <v>3457.3139857074984</v>
      </c>
      <c r="E201" s="12">
        <v>3004.0678884534791</v>
      </c>
      <c r="F201" s="12">
        <v>2687.499435569368</v>
      </c>
      <c r="G201" s="12">
        <v>2360.7622104808311</v>
      </c>
      <c r="H201" s="12">
        <v>2035.8572288589937</v>
      </c>
      <c r="I201" s="12">
        <v>1705.1227338835579</v>
      </c>
      <c r="J201" s="12">
        <v>1417.0488752613262</v>
      </c>
      <c r="K201" s="12">
        <v>1143.2608438822456</v>
      </c>
      <c r="Z201" s="13"/>
      <c r="AA201" s="13">
        <v>27002.90958587706</v>
      </c>
      <c r="AB201" s="13">
        <v>28140.676163521377</v>
      </c>
      <c r="AC201" s="13">
        <v>27408.878651776453</v>
      </c>
      <c r="AD201" s="13">
        <v>26267.36631737939</v>
      </c>
      <c r="AE201" s="13">
        <v>25185.027023727172</v>
      </c>
      <c r="AF201" s="13">
        <v>24044.876488524955</v>
      </c>
      <c r="AG201" s="13">
        <v>23134.181073211104</v>
      </c>
      <c r="AH201" s="13">
        <v>22178.380980647584</v>
      </c>
      <c r="AI201" s="13">
        <v>20962.50423053855</v>
      </c>
    </row>
    <row r="202" spans="1:35" x14ac:dyDescent="0.15">
      <c r="B202" s="12" t="s">
        <v>85</v>
      </c>
      <c r="C202" s="12">
        <v>7164.9432716400006</v>
      </c>
      <c r="D202" s="12">
        <v>5188.7168005623917</v>
      </c>
      <c r="E202" s="12">
        <v>4093.8044808142249</v>
      </c>
      <c r="F202" s="12">
        <v>3628.4479130392697</v>
      </c>
      <c r="G202" s="12">
        <v>3370.6387789980977</v>
      </c>
      <c r="H202" s="12">
        <v>3106.9697594644458</v>
      </c>
      <c r="I202" s="12">
        <v>2859.9673649131259</v>
      </c>
      <c r="J202" s="12">
        <v>2713.1626150167385</v>
      </c>
      <c r="K202" s="12">
        <v>2522.2158217275733</v>
      </c>
    </row>
    <row r="203" spans="1:35" ht="15" x14ac:dyDescent="0.2">
      <c r="B203" s="12" t="s">
        <v>86</v>
      </c>
      <c r="C203" s="12">
        <v>11245.295347020001</v>
      </c>
      <c r="D203" s="12">
        <v>10405.175098449272</v>
      </c>
      <c r="E203" s="12">
        <v>9248.0321940333051</v>
      </c>
      <c r="F203" s="12">
        <v>8278.272237476298</v>
      </c>
      <c r="G203" s="12">
        <v>7284.3485570283665</v>
      </c>
      <c r="H203" s="12">
        <v>6579.5947602074148</v>
      </c>
      <c r="I203" s="12">
        <v>6302.9060632021237</v>
      </c>
      <c r="J203" s="12">
        <v>6033.0215211419991</v>
      </c>
      <c r="K203" s="12">
        <v>5805.0104294431749</v>
      </c>
      <c r="Y203" s="29" t="s">
        <v>174</v>
      </c>
      <c r="Z203" s="27"/>
      <c r="AA203" s="28"/>
      <c r="AB203" s="28"/>
      <c r="AC203" s="28"/>
      <c r="AD203" s="28"/>
      <c r="AE203" s="28"/>
      <c r="AF203" s="28"/>
      <c r="AG203" s="28"/>
      <c r="AH203" s="28"/>
      <c r="AI203" s="28"/>
    </row>
    <row r="204" spans="1:35" x14ac:dyDescent="0.15">
      <c r="B204" s="12" t="s">
        <v>37</v>
      </c>
      <c r="C204" s="12">
        <v>10508.946001008002</v>
      </c>
      <c r="D204" s="12">
        <v>10381.288133212918</v>
      </c>
      <c r="E204" s="12">
        <v>10037.425185676997</v>
      </c>
      <c r="F204" s="12">
        <v>9615.9365607883628</v>
      </c>
      <c r="G204" s="12">
        <v>9558.0367323427436</v>
      </c>
      <c r="H204" s="12">
        <v>9611.4932505677098</v>
      </c>
      <c r="I204" s="12">
        <v>9560.4960258074643</v>
      </c>
      <c r="J204" s="12">
        <v>9736.0025988707912</v>
      </c>
      <c r="K204" s="12">
        <v>10026.890918262865</v>
      </c>
      <c r="Z204" s="12" t="s">
        <v>85</v>
      </c>
      <c r="AA204" s="12">
        <v>2019.2347748120001</v>
      </c>
      <c r="AB204" s="12">
        <v>1062.3008854097923</v>
      </c>
      <c r="AC204" s="12">
        <v>510.14862926809593</v>
      </c>
      <c r="AD204" s="12">
        <v>343.40024284904734</v>
      </c>
      <c r="AE204" s="12">
        <v>163.35771355588221</v>
      </c>
      <c r="AF204" s="12">
        <v>80.221695899015387</v>
      </c>
      <c r="AG204" s="12">
        <v>0</v>
      </c>
      <c r="AH204" s="12">
        <v>0</v>
      </c>
      <c r="AI204" s="12">
        <v>0</v>
      </c>
    </row>
    <row r="205" spans="1:35" x14ac:dyDescent="0.15">
      <c r="B205" s="12" t="s">
        <v>101</v>
      </c>
      <c r="C205" s="12">
        <v>1020.7067546160001</v>
      </c>
      <c r="D205" s="12">
        <v>2162.868308197611</v>
      </c>
      <c r="E205" s="12">
        <v>1973.0471731411637</v>
      </c>
      <c r="F205" s="12">
        <v>1867.1366075317244</v>
      </c>
      <c r="G205" s="12">
        <v>1764.8588048046329</v>
      </c>
      <c r="H205" s="12">
        <v>1836.149356575271</v>
      </c>
      <c r="I205" s="12">
        <v>1639.7025193717845</v>
      </c>
      <c r="J205" s="12">
        <v>1660.435375981981</v>
      </c>
      <c r="K205" s="12">
        <v>1737.2660336476879</v>
      </c>
      <c r="Z205" s="12" t="s">
        <v>144</v>
      </c>
      <c r="AA205" s="12">
        <v>4151.6781477284303</v>
      </c>
      <c r="AB205" s="12">
        <v>2121.2826458329155</v>
      </c>
      <c r="AC205" s="12">
        <v>1125.723936174348</v>
      </c>
      <c r="AD205" s="12">
        <v>880.22113112642739</v>
      </c>
      <c r="AE205" s="12">
        <v>600.9326472673938</v>
      </c>
      <c r="AF205" s="12">
        <v>330.15116084814088</v>
      </c>
      <c r="AG205" s="12">
        <v>52.472473432522143</v>
      </c>
      <c r="AH205" s="12">
        <v>38.671515992761485</v>
      </c>
      <c r="AI205" s="12">
        <v>26.700775332842738</v>
      </c>
    </row>
    <row r="206" spans="1:35" x14ac:dyDescent="0.15">
      <c r="B206" s="12" t="s">
        <v>88</v>
      </c>
      <c r="C206" s="12">
        <v>3115.7903506320008</v>
      </c>
      <c r="D206" s="12">
        <v>3521.2332816303001</v>
      </c>
      <c r="E206" s="12">
        <v>3677.207142652107</v>
      </c>
      <c r="F206" s="12">
        <v>4006.1078396315006</v>
      </c>
      <c r="G206" s="12">
        <v>4283.3991208189191</v>
      </c>
      <c r="H206" s="12">
        <v>4534.8879675997969</v>
      </c>
      <c r="I206" s="12">
        <v>5160.4043642999441</v>
      </c>
      <c r="J206" s="12">
        <v>5802.158871303448</v>
      </c>
      <c r="K206" s="12">
        <v>6450.4083481878579</v>
      </c>
      <c r="Z206" s="12" t="s">
        <v>86</v>
      </c>
      <c r="AA206" s="12">
        <v>7721.7996973479994</v>
      </c>
      <c r="AB206" s="12">
        <v>5569.7324791725314</v>
      </c>
      <c r="AC206" s="12">
        <v>4553.1245712943537</v>
      </c>
      <c r="AD206" s="12">
        <v>4052.6665589945078</v>
      </c>
      <c r="AE206" s="12">
        <v>3471.4382876745876</v>
      </c>
      <c r="AF206" s="12">
        <v>2896.8676042701768</v>
      </c>
      <c r="AG206" s="12">
        <v>2283.6977129189472</v>
      </c>
      <c r="AH206" s="12">
        <v>2042.9091618049777</v>
      </c>
      <c r="AI206" s="12">
        <v>1805.7650799050241</v>
      </c>
    </row>
    <row r="207" spans="1:35" x14ac:dyDescent="0.15">
      <c r="B207" s="12" t="s">
        <v>99</v>
      </c>
      <c r="C207" s="12">
        <v>0</v>
      </c>
      <c r="D207" s="12">
        <v>0</v>
      </c>
      <c r="E207" s="12">
        <v>0</v>
      </c>
      <c r="F207" s="12">
        <v>0</v>
      </c>
      <c r="G207" s="12">
        <v>0</v>
      </c>
      <c r="H207" s="12">
        <v>0</v>
      </c>
      <c r="I207" s="12">
        <v>0</v>
      </c>
      <c r="J207" s="12">
        <v>0</v>
      </c>
      <c r="K207" s="12">
        <v>0</v>
      </c>
      <c r="Z207" s="12" t="s">
        <v>37</v>
      </c>
      <c r="AA207" s="12">
        <v>17800.654137950361</v>
      </c>
      <c r="AB207" s="12">
        <v>19984.682156372055</v>
      </c>
      <c r="AC207" s="12">
        <v>20613.557593371843</v>
      </c>
      <c r="AD207" s="12">
        <v>21436.631918460633</v>
      </c>
      <c r="AE207" s="12">
        <v>22036.409493120856</v>
      </c>
      <c r="AF207" s="12">
        <v>22432.591723770274</v>
      </c>
      <c r="AG207" s="12">
        <v>22640.446108941025</v>
      </c>
      <c r="AH207" s="12">
        <v>23122.176646764692</v>
      </c>
      <c r="AI207" s="12">
        <v>23369.794062290537</v>
      </c>
    </row>
    <row r="208" spans="1:35" x14ac:dyDescent="0.15">
      <c r="B208" s="12" t="s">
        <v>90</v>
      </c>
      <c r="C208" s="12">
        <v>22.848665508</v>
      </c>
      <c r="D208" s="12">
        <v>211.03806001141527</v>
      </c>
      <c r="E208" s="12">
        <v>400.41397557073526</v>
      </c>
      <c r="F208" s="12">
        <v>665.01020787742539</v>
      </c>
      <c r="G208" s="12">
        <v>953.21675358644109</v>
      </c>
      <c r="H208" s="12">
        <v>1144.0767224090951</v>
      </c>
      <c r="I208" s="12">
        <v>1268.1105243961797</v>
      </c>
      <c r="J208" s="12">
        <v>1384.2194455240349</v>
      </c>
      <c r="K208" s="12">
        <v>1533.7988809751573</v>
      </c>
      <c r="Z208" s="12" t="s">
        <v>145</v>
      </c>
      <c r="AA208" s="12">
        <v>1285.8590934076001</v>
      </c>
      <c r="AB208" s="12">
        <v>2384.5339505606112</v>
      </c>
      <c r="AC208" s="12">
        <v>3026.2402432952367</v>
      </c>
      <c r="AD208" s="12">
        <v>3650.4658395842762</v>
      </c>
      <c r="AE208" s="12">
        <v>4257.9314341359895</v>
      </c>
      <c r="AF208" s="12">
        <v>4785.7759603474478</v>
      </c>
      <c r="AG208" s="12">
        <v>5273.0931317665436</v>
      </c>
      <c r="AH208" s="12">
        <v>5604.0826701511451</v>
      </c>
      <c r="AI208" s="12">
        <v>5908.7644133643971</v>
      </c>
    </row>
    <row r="209" spans="1:35" ht="15" x14ac:dyDescent="0.2">
      <c r="B209" s="13" t="s">
        <v>91</v>
      </c>
      <c r="C209" s="13">
        <v>37144.969017648</v>
      </c>
      <c r="D209" s="13">
        <v>35327.633667771406</v>
      </c>
      <c r="E209" s="13">
        <v>32433.998040342016</v>
      </c>
      <c r="F209" s="13">
        <v>30748.410801913949</v>
      </c>
      <c r="G209" s="13">
        <v>29575.260958060033</v>
      </c>
      <c r="H209" s="13">
        <v>28849.029045682728</v>
      </c>
      <c r="I209" s="13">
        <v>28496.709595874177</v>
      </c>
      <c r="J209" s="13">
        <v>28746.049303100317</v>
      </c>
      <c r="K209" s="13">
        <v>29218.851276126563</v>
      </c>
      <c r="Z209" s="12" t="s">
        <v>146</v>
      </c>
      <c r="AA209" s="12">
        <v>1691.80344522</v>
      </c>
      <c r="AB209" s="12">
        <v>1751.557803868337</v>
      </c>
      <c r="AC209" s="12">
        <v>1835.5851097093469</v>
      </c>
      <c r="AD209" s="12">
        <v>1885.8801798309364</v>
      </c>
      <c r="AE209" s="12">
        <v>1912.4539100521308</v>
      </c>
      <c r="AF209" s="12">
        <v>1914.7629733234173</v>
      </c>
      <c r="AG209" s="12">
        <v>1890.5816026581826</v>
      </c>
      <c r="AH209" s="12">
        <v>1822.4658162513313</v>
      </c>
      <c r="AI209" s="12">
        <v>1744.4044353077929</v>
      </c>
    </row>
    <row r="210" spans="1:35" ht="15" x14ac:dyDescent="0.2">
      <c r="Z210" s="13"/>
      <c r="AA210" s="13">
        <v>34671.029296466389</v>
      </c>
      <c r="AB210" s="13">
        <v>32874.08992121624</v>
      </c>
      <c r="AC210" s="13">
        <v>31664.380083113225</v>
      </c>
      <c r="AD210" s="13">
        <v>32249.265870845826</v>
      </c>
      <c r="AE210" s="13">
        <v>32442.523485806843</v>
      </c>
      <c r="AF210" s="13">
        <v>32440.371118458472</v>
      </c>
      <c r="AG210" s="13">
        <v>32140.29102971722</v>
      </c>
      <c r="AH210" s="13">
        <v>32630.305810964906</v>
      </c>
      <c r="AI210" s="13">
        <v>32855.428766200595</v>
      </c>
    </row>
    <row r="211" spans="1:35" ht="19" x14ac:dyDescent="0.2">
      <c r="A211" s="26" t="s">
        <v>103</v>
      </c>
      <c r="B211" s="26"/>
      <c r="C211" s="26"/>
      <c r="D211" s="26"/>
      <c r="E211" s="26"/>
      <c r="F211" s="26"/>
      <c r="G211" s="26"/>
      <c r="H211" s="26"/>
      <c r="I211" s="26"/>
      <c r="J211" s="26"/>
      <c r="K211" s="26"/>
      <c r="Z211" s="13"/>
      <c r="AA211" s="13"/>
      <c r="AB211" s="13"/>
      <c r="AC211" s="13"/>
      <c r="AD211" s="13"/>
      <c r="AE211" s="13"/>
      <c r="AF211" s="13"/>
      <c r="AG211" s="13"/>
      <c r="AH211" s="13"/>
      <c r="AI211" s="13"/>
    </row>
    <row r="212" spans="1:35" ht="19" x14ac:dyDescent="0.2">
      <c r="B212" s="13" t="s">
        <v>91</v>
      </c>
      <c r="C212" s="13">
        <v>14366.771581392</v>
      </c>
      <c r="D212" s="13">
        <v>14538.644538331884</v>
      </c>
      <c r="E212" s="13">
        <v>14072.036270082743</v>
      </c>
      <c r="F212" s="13">
        <v>13635.407630307369</v>
      </c>
      <c r="G212" s="13">
        <v>13376.999877139611</v>
      </c>
      <c r="H212" s="13">
        <v>12886.763155099843</v>
      </c>
      <c r="I212" s="13">
        <v>12660.873363580709</v>
      </c>
      <c r="J212" s="13">
        <v>12687.291090915751</v>
      </c>
      <c r="K212" s="13">
        <v>12763.765514351586</v>
      </c>
      <c r="Y212" s="26" t="s">
        <v>175</v>
      </c>
      <c r="Z212" s="26"/>
      <c r="AA212" s="26"/>
      <c r="AB212" s="26"/>
      <c r="AC212" s="26"/>
      <c r="AD212" s="26"/>
      <c r="AE212" s="26"/>
      <c r="AF212" s="26"/>
      <c r="AG212" s="26"/>
      <c r="AH212" s="26"/>
      <c r="AI212" s="26"/>
    </row>
    <row r="213" spans="1:35" x14ac:dyDescent="0.15">
      <c r="Z213" s="12" t="s">
        <v>148</v>
      </c>
      <c r="AA213" s="12">
        <v>13306.543126144694</v>
      </c>
      <c r="AB213" s="12">
        <v>11156.830003846713</v>
      </c>
      <c r="AC213" s="12">
        <v>9958.2471388214963</v>
      </c>
      <c r="AD213" s="12">
        <v>9543.4271031111239</v>
      </c>
      <c r="AE213" s="12">
        <v>8959.9599214223017</v>
      </c>
      <c r="AF213" s="12">
        <v>8306.0209437583053</v>
      </c>
      <c r="AG213" s="12">
        <v>7566.8824137840984</v>
      </c>
      <c r="AH213" s="12">
        <v>7139.263328395602</v>
      </c>
      <c r="AI213" s="12">
        <v>6687.6949405462747</v>
      </c>
    </row>
    <row r="214" spans="1:35" ht="19" x14ac:dyDescent="0.15">
      <c r="A214" s="26" t="s">
        <v>104</v>
      </c>
      <c r="B214" s="26"/>
      <c r="C214" s="26"/>
      <c r="D214" s="26"/>
      <c r="E214" s="26"/>
      <c r="F214" s="26"/>
      <c r="G214" s="26"/>
      <c r="H214" s="26"/>
      <c r="I214" s="26"/>
      <c r="J214" s="26"/>
      <c r="K214" s="26"/>
      <c r="Z214" s="12" t="s">
        <v>149</v>
      </c>
      <c r="AA214" s="12">
        <v>3834.7453903931237</v>
      </c>
      <c r="AB214" s="12">
        <v>3652.131178205178</v>
      </c>
      <c r="AC214" s="12">
        <v>3633.6511146209168</v>
      </c>
      <c r="AD214" s="12">
        <v>3750.349483623595</v>
      </c>
      <c r="AE214" s="12">
        <v>3796.4342887129733</v>
      </c>
      <c r="AF214" s="12">
        <v>3870.3817088658279</v>
      </c>
      <c r="AG214" s="12">
        <v>3898.5569735861814</v>
      </c>
      <c r="AH214" s="12">
        <v>4030.8355246278024</v>
      </c>
      <c r="AI214" s="12">
        <v>4148.5090279843917</v>
      </c>
    </row>
    <row r="215" spans="1:35" x14ac:dyDescent="0.15">
      <c r="B215" s="12" t="s">
        <v>84</v>
      </c>
      <c r="C215" s="12">
        <v>54100.653611616006</v>
      </c>
      <c r="D215" s="12">
        <v>40919.809344197907</v>
      </c>
      <c r="E215" s="12">
        <v>32937.894847336713</v>
      </c>
      <c r="F215" s="12">
        <v>25380.849169312896</v>
      </c>
      <c r="G215" s="12">
        <v>18997.884561104675</v>
      </c>
      <c r="H215" s="12">
        <v>14121.225121815878</v>
      </c>
      <c r="I215" s="12">
        <v>10536.671963707986</v>
      </c>
      <c r="J215" s="12">
        <v>7408.7928254243589</v>
      </c>
      <c r="K215" s="12">
        <v>5751.6013874200635</v>
      </c>
      <c r="Z215" s="12" t="s">
        <v>150</v>
      </c>
      <c r="AA215" s="12">
        <v>3615.5095863486222</v>
      </c>
      <c r="AB215" s="12">
        <v>3306.4075652491424</v>
      </c>
      <c r="AC215" s="12">
        <v>3232.7473259687226</v>
      </c>
      <c r="AD215" s="12">
        <v>3376.7312980795646</v>
      </c>
      <c r="AE215" s="12">
        <v>3492.3441331545564</v>
      </c>
      <c r="AF215" s="12">
        <v>3575.9331408280273</v>
      </c>
      <c r="AG215" s="12">
        <v>3621.8021657580962</v>
      </c>
      <c r="AH215" s="12">
        <v>3846.2941293185527</v>
      </c>
      <c r="AI215" s="12">
        <v>3913.431232579806</v>
      </c>
    </row>
    <row r="216" spans="1:35" x14ac:dyDescent="0.15">
      <c r="B216" s="12" t="s">
        <v>85</v>
      </c>
      <c r="C216" s="12">
        <v>0.408882888</v>
      </c>
      <c r="D216" s="12">
        <v>0</v>
      </c>
      <c r="E216" s="12">
        <v>0</v>
      </c>
      <c r="F216" s="12">
        <v>0</v>
      </c>
      <c r="G216" s="12">
        <v>0</v>
      </c>
      <c r="H216" s="12">
        <v>0</v>
      </c>
      <c r="I216" s="12">
        <v>0</v>
      </c>
      <c r="J216" s="12">
        <v>0</v>
      </c>
      <c r="K216" s="12">
        <v>0</v>
      </c>
      <c r="Z216" s="12" t="s">
        <v>151</v>
      </c>
      <c r="AA216" s="12">
        <v>4208.4756171318659</v>
      </c>
      <c r="AB216" s="12">
        <v>4294.9990535172519</v>
      </c>
      <c r="AC216" s="12">
        <v>3910.5900592405828</v>
      </c>
      <c r="AD216" s="12">
        <v>4026.9702987260262</v>
      </c>
      <c r="AE216" s="12">
        <v>4090.9422682633594</v>
      </c>
      <c r="AF216" s="12">
        <v>4105.5220059727153</v>
      </c>
      <c r="AG216" s="12">
        <v>4071.2521576316039</v>
      </c>
      <c r="AH216" s="12">
        <v>4205.4413899977108</v>
      </c>
      <c r="AI216" s="12">
        <v>4319.4616058803758</v>
      </c>
    </row>
    <row r="217" spans="1:35" x14ac:dyDescent="0.15">
      <c r="B217" s="12" t="s">
        <v>86</v>
      </c>
      <c r="C217" s="12">
        <v>161.831375568</v>
      </c>
      <c r="D217" s="12">
        <v>451.35670189050796</v>
      </c>
      <c r="E217" s="12">
        <v>314.86439749356902</v>
      </c>
      <c r="F217" s="12">
        <v>149.35261590432643</v>
      </c>
      <c r="G217" s="12">
        <v>37.700482920475025</v>
      </c>
      <c r="H217" s="12">
        <v>12.747092183057894</v>
      </c>
      <c r="I217" s="12">
        <v>8.2020351286341828</v>
      </c>
      <c r="J217" s="12">
        <v>2.2263929184585853</v>
      </c>
      <c r="K217" s="12">
        <v>9.7571418352822622E-3</v>
      </c>
      <c r="Z217" s="12" t="s">
        <v>152</v>
      </c>
      <c r="AA217" s="12">
        <v>9705.7555764480894</v>
      </c>
      <c r="AB217" s="12">
        <v>10463.722120397957</v>
      </c>
      <c r="AC217" s="12">
        <v>10929.144444461504</v>
      </c>
      <c r="AD217" s="12">
        <v>11551.787687305521</v>
      </c>
      <c r="AE217" s="12">
        <v>12102.842874253651</v>
      </c>
      <c r="AF217" s="12">
        <v>12582.5133190336</v>
      </c>
      <c r="AG217" s="12">
        <v>12981.797318957242</v>
      </c>
      <c r="AH217" s="12">
        <v>13408.471438625236</v>
      </c>
      <c r="AI217" s="12">
        <v>13786.331959209747</v>
      </c>
    </row>
    <row r="218" spans="1:35" x14ac:dyDescent="0.15">
      <c r="B218" s="12" t="s">
        <v>37</v>
      </c>
      <c r="C218" s="12">
        <v>357.511940568</v>
      </c>
      <c r="D218" s="12">
        <v>1438.2261092379797</v>
      </c>
      <c r="E218" s="12">
        <v>2516.8312750702057</v>
      </c>
      <c r="F218" s="12">
        <v>3697.3988031151921</v>
      </c>
      <c r="G218" s="12">
        <v>4935.5269125061459</v>
      </c>
      <c r="H218" s="12">
        <v>6482.9907457862009</v>
      </c>
      <c r="I218" s="12">
        <v>8207.8944116937073</v>
      </c>
      <c r="J218" s="12">
        <v>9781.004423955088</v>
      </c>
      <c r="K218" s="12">
        <v>10993.860012457546</v>
      </c>
      <c r="Z218" s="12" t="s">
        <v>153</v>
      </c>
      <c r="AA218" s="12">
        <v>0</v>
      </c>
      <c r="AB218" s="12">
        <v>0</v>
      </c>
      <c r="AC218" s="12">
        <v>0</v>
      </c>
      <c r="AD218" s="12">
        <v>0</v>
      </c>
      <c r="AE218" s="12">
        <v>0</v>
      </c>
      <c r="AF218" s="12">
        <v>0</v>
      </c>
      <c r="AG218" s="12">
        <v>0</v>
      </c>
      <c r="AH218" s="12">
        <v>0</v>
      </c>
      <c r="AI218" s="12">
        <v>0</v>
      </c>
    </row>
    <row r="219" spans="1:35" ht="15" x14ac:dyDescent="0.2">
      <c r="B219" s="12" t="s">
        <v>105</v>
      </c>
      <c r="C219" s="12">
        <v>2134.1137411079999</v>
      </c>
      <c r="D219" s="12">
        <v>3319.9140367374193</v>
      </c>
      <c r="E219" s="12">
        <v>4162.7630829890622</v>
      </c>
      <c r="F219" s="12">
        <v>5279.5830622489675</v>
      </c>
      <c r="G219" s="12">
        <v>6566.8780386170674</v>
      </c>
      <c r="H219" s="12">
        <v>7309.8128654555221</v>
      </c>
      <c r="I219" s="12">
        <v>7223.9737502955168</v>
      </c>
      <c r="J219" s="12">
        <v>7615.1101637869315</v>
      </c>
      <c r="K219" s="12">
        <v>7629.9307146109177</v>
      </c>
      <c r="Z219" s="13" t="s">
        <v>91</v>
      </c>
      <c r="AA219" s="13">
        <v>34671.029296466397</v>
      </c>
      <c r="AB219" s="13">
        <v>32874.08992121624</v>
      </c>
      <c r="AC219" s="13">
        <v>31664.380083113221</v>
      </c>
      <c r="AD219" s="13">
        <v>32249.265870845833</v>
      </c>
      <c r="AE219" s="13">
        <v>32442.523485806843</v>
      </c>
      <c r="AF219" s="13">
        <v>32440.371118458475</v>
      </c>
      <c r="AG219" s="13">
        <v>32140.29102971722</v>
      </c>
      <c r="AH219" s="13">
        <v>32630.305810964906</v>
      </c>
      <c r="AI219" s="13">
        <v>32855.428766200595</v>
      </c>
    </row>
    <row r="220" spans="1:35" x14ac:dyDescent="0.15">
      <c r="B220" s="12" t="s">
        <v>99</v>
      </c>
      <c r="C220" s="12">
        <v>0</v>
      </c>
      <c r="D220" s="12">
        <v>40.561401933027703</v>
      </c>
      <c r="E220" s="12">
        <v>82.637167470720698</v>
      </c>
      <c r="F220" s="12">
        <v>122.13720665717211</v>
      </c>
      <c r="G220" s="12">
        <v>150.94650961681376</v>
      </c>
      <c r="H220" s="12">
        <v>177.14376695293132</v>
      </c>
      <c r="I220" s="12">
        <v>202.50872352984493</v>
      </c>
      <c r="J220" s="12">
        <v>220.57035937322843</v>
      </c>
      <c r="K220" s="12">
        <v>227.83757975416935</v>
      </c>
    </row>
    <row r="221" spans="1:35" ht="19" x14ac:dyDescent="0.2">
      <c r="A221" s="13"/>
      <c r="B221" s="13" t="s">
        <v>91</v>
      </c>
      <c r="C221" s="13">
        <v>56754.519551748002</v>
      </c>
      <c r="D221" s="13">
        <v>46169.867593996838</v>
      </c>
      <c r="E221" s="13">
        <v>40014.990770360266</v>
      </c>
      <c r="F221" s="13">
        <v>34629.320857238556</v>
      </c>
      <c r="G221" s="13">
        <v>30688.936504765174</v>
      </c>
      <c r="H221" s="13">
        <v>28103.91959219359</v>
      </c>
      <c r="I221" s="13">
        <v>26179.25088435569</v>
      </c>
      <c r="J221" s="13">
        <v>25027.704165458068</v>
      </c>
      <c r="K221" s="13">
        <v>24603.239451384532</v>
      </c>
      <c r="Y221" s="26" t="s">
        <v>176</v>
      </c>
      <c r="Z221" s="26"/>
      <c r="AA221" s="26"/>
      <c r="AB221" s="26"/>
      <c r="AC221" s="26"/>
      <c r="AD221" s="26"/>
      <c r="AE221" s="26"/>
      <c r="AF221" s="26"/>
      <c r="AG221" s="26"/>
      <c r="AH221" s="26"/>
      <c r="AI221" s="26"/>
    </row>
    <row r="222" spans="1:35" x14ac:dyDescent="0.15">
      <c r="Z222" s="12" t="s">
        <v>85</v>
      </c>
      <c r="AA222" s="12">
        <v>191.0369751162786</v>
      </c>
      <c r="AB222" s="12">
        <v>100.50279954738087</v>
      </c>
      <c r="AC222" s="12">
        <v>48.264447606973583</v>
      </c>
      <c r="AD222" s="12">
        <v>32.488616215608381</v>
      </c>
      <c r="AE222" s="12">
        <v>15.455044578723038</v>
      </c>
      <c r="AF222" s="12">
        <v>7.5896623386315873</v>
      </c>
      <c r="AG222" s="12">
        <v>0</v>
      </c>
      <c r="AH222" s="12">
        <v>0</v>
      </c>
      <c r="AI222" s="12">
        <v>0</v>
      </c>
    </row>
    <row r="223" spans="1:35" ht="19" x14ac:dyDescent="0.15">
      <c r="A223" s="26" t="s">
        <v>106</v>
      </c>
      <c r="B223" s="26"/>
      <c r="C223" s="26"/>
      <c r="D223" s="26"/>
      <c r="E223" s="26"/>
      <c r="F223" s="26"/>
      <c r="G223" s="26"/>
      <c r="H223" s="26"/>
      <c r="I223" s="26"/>
      <c r="J223" s="26"/>
      <c r="K223" s="26"/>
      <c r="Z223" s="12" t="s">
        <v>144</v>
      </c>
      <c r="AA223" s="12">
        <v>294.62625462913957</v>
      </c>
      <c r="AB223" s="12">
        <v>150.1000463091658</v>
      </c>
      <c r="AC223" s="12">
        <v>79.14058787858275</v>
      </c>
      <c r="AD223" s="12">
        <v>61.851798429190097</v>
      </c>
      <c r="AE223" s="12">
        <v>42.217693819119262</v>
      </c>
      <c r="AF223" s="12">
        <v>23.206165453443226</v>
      </c>
      <c r="AG223" s="12">
        <v>3.7390859449183198</v>
      </c>
      <c r="AH223" s="12">
        <v>2.7556566797477977</v>
      </c>
      <c r="AI223" s="12">
        <v>1.90264508673944</v>
      </c>
    </row>
    <row r="224" spans="1:35" x14ac:dyDescent="0.15">
      <c r="B224" s="12" t="s">
        <v>84</v>
      </c>
      <c r="C224" s="12">
        <v>3449.9591646120002</v>
      </c>
      <c r="D224" s="12">
        <v>2001.0110824430676</v>
      </c>
      <c r="E224" s="12">
        <v>967.41244043891254</v>
      </c>
      <c r="F224" s="12">
        <v>447.53789824361627</v>
      </c>
      <c r="G224" s="12">
        <v>239.69936289641501</v>
      </c>
      <c r="H224" s="12">
        <v>151.01701846532285</v>
      </c>
      <c r="I224" s="12">
        <v>82.258049018272132</v>
      </c>
      <c r="J224" s="12">
        <v>35.688993594104865</v>
      </c>
      <c r="K224" s="12">
        <v>16.847214886121012</v>
      </c>
      <c r="Z224" s="12" t="s">
        <v>86</v>
      </c>
      <c r="AA224" s="12">
        <v>433.23234419967923</v>
      </c>
      <c r="AB224" s="12">
        <v>312.49039771722278</v>
      </c>
      <c r="AC224" s="12">
        <v>255.45350938492683</v>
      </c>
      <c r="AD224" s="12">
        <v>227.37526255904274</v>
      </c>
      <c r="AE224" s="12">
        <v>194.7653922738115</v>
      </c>
      <c r="AF224" s="12">
        <v>162.52904662433869</v>
      </c>
      <c r="AG224" s="12">
        <v>128.12708855308881</v>
      </c>
      <c r="AH224" s="12">
        <v>114.61762281398445</v>
      </c>
      <c r="AI224" s="12">
        <v>101.31263038457936</v>
      </c>
    </row>
    <row r="225" spans="1:35" x14ac:dyDescent="0.15">
      <c r="B225" s="12" t="s">
        <v>85</v>
      </c>
      <c r="C225" s="12">
        <v>487.20569054400016</v>
      </c>
      <c r="D225" s="12">
        <v>201.67743879919715</v>
      </c>
      <c r="E225" s="12">
        <v>76.634746588117594</v>
      </c>
      <c r="F225" s="12">
        <v>36.715848882311121</v>
      </c>
      <c r="G225" s="12">
        <v>21.744565315646014</v>
      </c>
      <c r="H225" s="12">
        <v>13.288326251650094</v>
      </c>
      <c r="I225" s="12">
        <v>6.0425494205744057</v>
      </c>
      <c r="J225" s="12">
        <v>1.4410774009225511</v>
      </c>
      <c r="K225" s="12">
        <v>2.9407141970843577E-2</v>
      </c>
      <c r="Z225" s="12" t="s">
        <v>37</v>
      </c>
      <c r="AA225" s="12">
        <v>0</v>
      </c>
      <c r="AB225" s="12">
        <v>0</v>
      </c>
      <c r="AC225" s="12">
        <v>0</v>
      </c>
      <c r="AD225" s="12">
        <v>0</v>
      </c>
      <c r="AE225" s="12">
        <v>0</v>
      </c>
      <c r="AF225" s="12">
        <v>0</v>
      </c>
      <c r="AG225" s="12">
        <v>0</v>
      </c>
      <c r="AH225" s="12">
        <v>0</v>
      </c>
      <c r="AI225" s="12">
        <v>0</v>
      </c>
    </row>
    <row r="226" spans="1:35" x14ac:dyDescent="0.15">
      <c r="B226" s="12" t="s">
        <v>86</v>
      </c>
      <c r="C226" s="12">
        <v>10654.457187384</v>
      </c>
      <c r="D226" s="12">
        <v>9775.0363692436149</v>
      </c>
      <c r="E226" s="12">
        <v>8770.0428852853911</v>
      </c>
      <c r="F226" s="12">
        <v>7531.634869134602</v>
      </c>
      <c r="G226" s="12">
        <v>6579.3178870453121</v>
      </c>
      <c r="H226" s="12">
        <v>5646.6771569196271</v>
      </c>
      <c r="I226" s="12">
        <v>4721.8992518358791</v>
      </c>
      <c r="J226" s="12">
        <v>3991.214462807287</v>
      </c>
      <c r="K226" s="12">
        <v>3462.2533085010891</v>
      </c>
      <c r="Z226" s="12" t="s">
        <v>145</v>
      </c>
      <c r="AA226" s="12">
        <v>0</v>
      </c>
      <c r="AB226" s="12">
        <v>0</v>
      </c>
      <c r="AC226" s="12">
        <v>0</v>
      </c>
      <c r="AD226" s="12">
        <v>0</v>
      </c>
      <c r="AE226" s="12">
        <v>0</v>
      </c>
      <c r="AF226" s="12">
        <v>0</v>
      </c>
      <c r="AG226" s="12">
        <v>0</v>
      </c>
      <c r="AH226" s="12">
        <v>0</v>
      </c>
      <c r="AI226" s="12">
        <v>0</v>
      </c>
    </row>
    <row r="227" spans="1:35" x14ac:dyDescent="0.15">
      <c r="B227" s="12" t="s">
        <v>37</v>
      </c>
      <c r="C227" s="12">
        <v>10599.220316303999</v>
      </c>
      <c r="D227" s="12">
        <v>10567.661746231071</v>
      </c>
      <c r="E227" s="12">
        <v>10591.469175324379</v>
      </c>
      <c r="F227" s="12">
        <v>10743.992664619531</v>
      </c>
      <c r="G227" s="12">
        <v>10793.069804045848</v>
      </c>
      <c r="H227" s="12">
        <v>10834.789012580904</v>
      </c>
      <c r="I227" s="12">
        <v>10870.241950728743</v>
      </c>
      <c r="J227" s="12">
        <v>10911.175212231126</v>
      </c>
      <c r="K227" s="12">
        <v>10985.747197629253</v>
      </c>
      <c r="Z227" s="12" t="s">
        <v>146</v>
      </c>
      <c r="AA227" s="12">
        <v>0</v>
      </c>
      <c r="AB227" s="12">
        <v>0</v>
      </c>
      <c r="AC227" s="12">
        <v>0</v>
      </c>
      <c r="AD227" s="12">
        <v>0</v>
      </c>
      <c r="AE227" s="12">
        <v>0</v>
      </c>
      <c r="AF227" s="12">
        <v>0</v>
      </c>
      <c r="AG227" s="12">
        <v>0</v>
      </c>
      <c r="AH227" s="12">
        <v>0</v>
      </c>
      <c r="AI227" s="12">
        <v>0</v>
      </c>
    </row>
    <row r="228" spans="1:35" ht="15" x14ac:dyDescent="0.2">
      <c r="B228" s="12" t="s">
        <v>101</v>
      </c>
      <c r="C228" s="12">
        <v>880.4717308080003</v>
      </c>
      <c r="D228" s="12">
        <v>944.39094776052389</v>
      </c>
      <c r="E228" s="12">
        <v>909.58230951400913</v>
      </c>
      <c r="F228" s="12">
        <v>922.48021610233855</v>
      </c>
      <c r="G228" s="12">
        <v>926.2247811888551</v>
      </c>
      <c r="H228" s="12">
        <v>912.51022659366993</v>
      </c>
      <c r="I228" s="12">
        <v>907.25556560643747</v>
      </c>
      <c r="J228" s="12">
        <v>886.10617248645394</v>
      </c>
      <c r="K228" s="12">
        <v>861.82851526588752</v>
      </c>
      <c r="Z228" s="13"/>
      <c r="AA228" s="13">
        <v>918.89557394509734</v>
      </c>
      <c r="AB228" s="13">
        <v>563.09324357376943</v>
      </c>
      <c r="AC228" s="13">
        <v>382.85854487048317</v>
      </c>
      <c r="AD228" s="13">
        <v>321.71567720384121</v>
      </c>
      <c r="AE228" s="13">
        <v>252.43813067165379</v>
      </c>
      <c r="AF228" s="13">
        <v>193.32487441641351</v>
      </c>
      <c r="AG228" s="13">
        <v>131.86617449800713</v>
      </c>
      <c r="AH228" s="13">
        <v>117.37327949373226</v>
      </c>
      <c r="AI228" s="13">
        <v>103.2152754713188</v>
      </c>
    </row>
    <row r="229" spans="1:35" ht="15" x14ac:dyDescent="0.2">
      <c r="B229" s="12" t="s">
        <v>88</v>
      </c>
      <c r="C229" s="12">
        <v>2677.8092863680008</v>
      </c>
      <c r="D229" s="12">
        <v>2779.900478388693</v>
      </c>
      <c r="E229" s="12">
        <v>2658.9477048793624</v>
      </c>
      <c r="F229" s="12">
        <v>2743.8763726020948</v>
      </c>
      <c r="G229" s="12">
        <v>2722.4580644279736</v>
      </c>
      <c r="H229" s="12">
        <v>2617.5788571607773</v>
      </c>
      <c r="I229" s="12">
        <v>2536.8575007274899</v>
      </c>
      <c r="J229" s="12">
        <v>2415.1406862430458</v>
      </c>
      <c r="K229" s="12">
        <v>2295.0661144685173</v>
      </c>
      <c r="Z229" s="13"/>
      <c r="AA229" s="13"/>
      <c r="AB229" s="13"/>
      <c r="AC229" s="13"/>
      <c r="AD229" s="13"/>
      <c r="AE229" s="13"/>
      <c r="AF229" s="13"/>
      <c r="AG229" s="13"/>
      <c r="AH229" s="13"/>
      <c r="AI229" s="13"/>
    </row>
    <row r="230" spans="1:35" ht="19" x14ac:dyDescent="0.15">
      <c r="B230" s="12" t="s">
        <v>99</v>
      </c>
      <c r="C230" s="12">
        <v>0</v>
      </c>
      <c r="D230" s="12">
        <v>0</v>
      </c>
      <c r="E230" s="12">
        <v>0</v>
      </c>
      <c r="F230" s="12">
        <v>0</v>
      </c>
      <c r="G230" s="12">
        <v>0</v>
      </c>
      <c r="H230" s="12">
        <v>0</v>
      </c>
      <c r="I230" s="12">
        <v>0</v>
      </c>
      <c r="J230" s="12">
        <v>0</v>
      </c>
      <c r="K230" s="12">
        <v>0</v>
      </c>
      <c r="Y230" s="26" t="s">
        <v>177</v>
      </c>
      <c r="Z230" s="26"/>
      <c r="AA230" s="26"/>
      <c r="AB230" s="26"/>
      <c r="AC230" s="26"/>
      <c r="AD230" s="26"/>
      <c r="AE230" s="26"/>
      <c r="AF230" s="26"/>
      <c r="AG230" s="26"/>
      <c r="AH230" s="26"/>
      <c r="AI230" s="26"/>
    </row>
    <row r="231" spans="1:35" x14ac:dyDescent="0.15">
      <c r="B231" s="12" t="s">
        <v>90</v>
      </c>
      <c r="C231" s="12">
        <v>244.50602176800004</v>
      </c>
      <c r="D231" s="12">
        <v>530.49556925344586</v>
      </c>
      <c r="E231" s="12">
        <v>876.28555949789484</v>
      </c>
      <c r="F231" s="12">
        <v>1152.4363453875228</v>
      </c>
      <c r="G231" s="12">
        <v>1326.6377816367597</v>
      </c>
      <c r="H231" s="12">
        <v>1468.8095049582439</v>
      </c>
      <c r="I231" s="12">
        <v>1605.8679849528667</v>
      </c>
      <c r="J231" s="12">
        <v>1731.207582041186</v>
      </c>
      <c r="K231" s="12">
        <v>1836.8675658271418</v>
      </c>
      <c r="Z231" s="12" t="s">
        <v>148</v>
      </c>
      <c r="AA231" s="12">
        <v>626.9930072785769</v>
      </c>
      <c r="AB231" s="12">
        <v>382.76407492209739</v>
      </c>
      <c r="AC231" s="12">
        <v>253.75122352875371</v>
      </c>
      <c r="AD231" s="12">
        <v>210.14314465631588</v>
      </c>
      <c r="AE231" s="12">
        <v>162.92388738688234</v>
      </c>
      <c r="AF231" s="12">
        <v>124.16264774893179</v>
      </c>
      <c r="AG231" s="12">
        <v>85.863181151058939</v>
      </c>
      <c r="AH231" s="12">
        <v>75.180659576918714</v>
      </c>
      <c r="AI231" s="12">
        <v>65.044714131952787</v>
      </c>
    </row>
    <row r="232" spans="1:35" ht="15" x14ac:dyDescent="0.2">
      <c r="B232" s="13" t="s">
        <v>91</v>
      </c>
      <c r="C232" s="13">
        <v>28993.629397787998</v>
      </c>
      <c r="D232" s="13">
        <v>26800.173632119611</v>
      </c>
      <c r="E232" s="13">
        <v>24850.374821528065</v>
      </c>
      <c r="F232" s="13">
        <v>23578.674214972019</v>
      </c>
      <c r="G232" s="13">
        <v>22609.152246556812</v>
      </c>
      <c r="H232" s="13">
        <v>21644.670102930195</v>
      </c>
      <c r="I232" s="13">
        <v>20730.422852290259</v>
      </c>
      <c r="J232" s="13">
        <v>19971.974186804124</v>
      </c>
      <c r="K232" s="13">
        <v>19458.639323719981</v>
      </c>
      <c r="Z232" s="12" t="s">
        <v>149</v>
      </c>
      <c r="AA232" s="12">
        <v>151.40743736501358</v>
      </c>
      <c r="AB232" s="12">
        <v>90.817429714952823</v>
      </c>
      <c r="AC232" s="12">
        <v>65.499804756095514</v>
      </c>
      <c r="AD232" s="12">
        <v>57.070578440153575</v>
      </c>
      <c r="AE232" s="12">
        <v>45.006553673957356</v>
      </c>
      <c r="AF232" s="12">
        <v>35.302505119484074</v>
      </c>
      <c r="AG232" s="12">
        <v>23.311401129926484</v>
      </c>
      <c r="AH232" s="12">
        <v>22.471747245087915</v>
      </c>
      <c r="AI232" s="12">
        <v>21.436951136760243</v>
      </c>
    </row>
    <row r="233" spans="1:35" ht="15" x14ac:dyDescent="0.2">
      <c r="B233" s="13"/>
      <c r="C233" s="13"/>
      <c r="D233" s="13"/>
      <c r="E233" s="13"/>
      <c r="F233" s="13"/>
      <c r="G233" s="13"/>
      <c r="H233" s="13"/>
      <c r="I233" s="13"/>
      <c r="J233" s="13"/>
      <c r="K233" s="13"/>
      <c r="Z233" s="12" t="s">
        <v>150</v>
      </c>
      <c r="AA233" s="12">
        <v>20.012199232265491</v>
      </c>
      <c r="AB233" s="12">
        <v>11.797891934711471</v>
      </c>
      <c r="AC233" s="12">
        <v>9.3788995237511745</v>
      </c>
      <c r="AD233" s="12">
        <v>7.9605163550368143</v>
      </c>
      <c r="AE233" s="12">
        <v>6.4703867366779315</v>
      </c>
      <c r="AF233" s="12">
        <v>4.9343344374598344</v>
      </c>
      <c r="AG233" s="12">
        <v>3.3691220532772475</v>
      </c>
      <c r="AH233" s="12">
        <v>2.7452357151083313</v>
      </c>
      <c r="AI233" s="12">
        <v>2.0835819244295108</v>
      </c>
    </row>
    <row r="234" spans="1:35" ht="19" x14ac:dyDescent="0.15">
      <c r="A234" s="26" t="s">
        <v>107</v>
      </c>
      <c r="B234" s="26"/>
      <c r="C234" s="26"/>
      <c r="D234" s="26"/>
      <c r="E234" s="26"/>
      <c r="F234" s="26"/>
      <c r="G234" s="26"/>
      <c r="H234" s="26"/>
      <c r="I234" s="26"/>
      <c r="J234" s="26"/>
      <c r="K234" s="26"/>
      <c r="Z234" s="12" t="s">
        <v>151</v>
      </c>
      <c r="AA234" s="12">
        <v>0</v>
      </c>
      <c r="AB234" s="12">
        <v>0</v>
      </c>
      <c r="AC234" s="12">
        <v>0</v>
      </c>
      <c r="AD234" s="12">
        <v>0</v>
      </c>
      <c r="AE234" s="12">
        <v>0</v>
      </c>
      <c r="AF234" s="12">
        <v>0</v>
      </c>
      <c r="AG234" s="12">
        <v>0</v>
      </c>
      <c r="AH234" s="12">
        <v>0</v>
      </c>
      <c r="AI234" s="12">
        <v>0</v>
      </c>
    </row>
    <row r="235" spans="1:35" x14ac:dyDescent="0.15">
      <c r="B235" s="12" t="s">
        <v>84</v>
      </c>
      <c r="C235" s="12">
        <v>2338.2730785240001</v>
      </c>
      <c r="D235" s="12">
        <v>812.73188537368617</v>
      </c>
      <c r="E235" s="12">
        <v>447.90277179994649</v>
      </c>
      <c r="F235" s="12">
        <v>351.14206723699175</v>
      </c>
      <c r="G235" s="12">
        <v>249.17199984830546</v>
      </c>
      <c r="H235" s="12">
        <v>151.57121425605746</v>
      </c>
      <c r="I235" s="12">
        <v>52.472473432522143</v>
      </c>
      <c r="J235" s="12">
        <v>38.671515992761485</v>
      </c>
      <c r="K235" s="12">
        <v>26.700775332842738</v>
      </c>
      <c r="Z235" s="12" t="s">
        <v>152</v>
      </c>
      <c r="AA235" s="12">
        <v>120.48293006924141</v>
      </c>
      <c r="AB235" s="12">
        <v>77.713847002007782</v>
      </c>
      <c r="AC235" s="12">
        <v>54.228617061882773</v>
      </c>
      <c r="AD235" s="12">
        <v>46.541437752334929</v>
      </c>
      <c r="AE235" s="12">
        <v>38.037302874136195</v>
      </c>
      <c r="AF235" s="12">
        <v>28.925387110537788</v>
      </c>
      <c r="AG235" s="12">
        <v>19.322470163744484</v>
      </c>
      <c r="AH235" s="12">
        <v>16.975636956617279</v>
      </c>
      <c r="AI235" s="12">
        <v>14.650028278176261</v>
      </c>
    </row>
    <row r="236" spans="1:35" ht="15" x14ac:dyDescent="0.2">
      <c r="B236" s="12" t="s">
        <v>85</v>
      </c>
      <c r="C236" s="12">
        <v>238.48226326800003</v>
      </c>
      <c r="D236" s="12">
        <v>95.646618924090305</v>
      </c>
      <c r="E236" s="12">
        <v>63.67510016031035</v>
      </c>
      <c r="F236" s="12">
        <v>47.303801274506853</v>
      </c>
      <c r="G236" s="12">
        <v>30.918802822126427</v>
      </c>
      <c r="H236" s="12">
        <v>15.008746615702071</v>
      </c>
      <c r="I236" s="12">
        <v>0</v>
      </c>
      <c r="J236" s="12">
        <v>0</v>
      </c>
      <c r="K236" s="12">
        <v>0</v>
      </c>
      <c r="Z236" s="13"/>
      <c r="AA236" s="13">
        <v>918.89557394509745</v>
      </c>
      <c r="AB236" s="13">
        <v>563.09324357376943</v>
      </c>
      <c r="AC236" s="13">
        <v>382.85854487048312</v>
      </c>
      <c r="AD236" s="13">
        <v>321.71567720384121</v>
      </c>
      <c r="AE236" s="13">
        <v>252.43813067165385</v>
      </c>
      <c r="AF236" s="13">
        <v>193.32487441641348</v>
      </c>
      <c r="AG236" s="13">
        <v>131.86617449800715</v>
      </c>
      <c r="AH236" s="13">
        <v>117.37327949373224</v>
      </c>
      <c r="AI236" s="13">
        <v>103.2152754713188</v>
      </c>
    </row>
    <row r="237" spans="1:35" ht="15" x14ac:dyDescent="0.2">
      <c r="B237" s="12" t="s">
        <v>86</v>
      </c>
      <c r="C237" s="12">
        <v>6214.9023322559997</v>
      </c>
      <c r="D237" s="12">
        <v>2987.8483497482166</v>
      </c>
      <c r="E237" s="12">
        <v>2415.2721534144439</v>
      </c>
      <c r="F237" s="12">
        <v>2112.5608624000702</v>
      </c>
      <c r="G237" s="12">
        <v>1789.7322265851583</v>
      </c>
      <c r="H237" s="12">
        <v>1474.1599936924802</v>
      </c>
      <c r="I237" s="12">
        <v>1148.2472924611657</v>
      </c>
      <c r="J237" s="12">
        <v>1011.7657108020206</v>
      </c>
      <c r="K237" s="12">
        <v>878.25534531906283</v>
      </c>
      <c r="Z237" s="13"/>
      <c r="AA237" s="13"/>
      <c r="AB237" s="13"/>
      <c r="AC237" s="13"/>
      <c r="AD237" s="13"/>
      <c r="AE237" s="13"/>
      <c r="AF237" s="13"/>
      <c r="AG237" s="13"/>
      <c r="AH237" s="13"/>
      <c r="AI237" s="13"/>
    </row>
    <row r="238" spans="1:35" ht="19" x14ac:dyDescent="0.15">
      <c r="B238" s="12" t="s">
        <v>37</v>
      </c>
      <c r="C238" s="12">
        <v>11688.163159584001</v>
      </c>
      <c r="D238" s="12">
        <v>9189.0223235926842</v>
      </c>
      <c r="E238" s="12">
        <v>9288.7166345977148</v>
      </c>
      <c r="F238" s="12">
        <v>9513.8692352393136</v>
      </c>
      <c r="G238" s="12">
        <v>9686.9692527318584</v>
      </c>
      <c r="H238" s="12">
        <v>9828.7564928119646</v>
      </c>
      <c r="I238" s="12">
        <v>9915.0626179442515</v>
      </c>
      <c r="J238" s="12">
        <v>10021.345729492396</v>
      </c>
      <c r="K238" s="12">
        <v>10098.488384089382</v>
      </c>
      <c r="Y238" s="26" t="s">
        <v>178</v>
      </c>
      <c r="Z238" s="26"/>
      <c r="AA238" s="26"/>
      <c r="AB238" s="26"/>
      <c r="AC238" s="26"/>
      <c r="AD238" s="26"/>
      <c r="AE238" s="26"/>
      <c r="AF238" s="26"/>
      <c r="AG238" s="26"/>
      <c r="AH238" s="26"/>
      <c r="AI238" s="26"/>
    </row>
    <row r="239" spans="1:35" x14ac:dyDescent="0.15">
      <c r="B239" s="12" t="s">
        <v>101</v>
      </c>
      <c r="C239" s="12">
        <v>491.43758237999998</v>
      </c>
      <c r="D239" s="12">
        <v>132.92039061132607</v>
      </c>
      <c r="E239" s="12">
        <v>165.17772020211578</v>
      </c>
      <c r="F239" s="12">
        <v>175.17599029077127</v>
      </c>
      <c r="G239" s="12">
        <v>183.7504320632608</v>
      </c>
      <c r="H239" s="12">
        <v>190.70021169668627</v>
      </c>
      <c r="I239" s="12">
        <v>195.58866093883393</v>
      </c>
      <c r="J239" s="12">
        <v>189.70843002865746</v>
      </c>
      <c r="K239" s="12">
        <v>183.5473949818703</v>
      </c>
      <c r="Z239" s="12" t="s">
        <v>85</v>
      </c>
      <c r="AA239" s="12">
        <v>1944.7557614540001</v>
      </c>
      <c r="AB239" s="12">
        <v>1048.6541097272695</v>
      </c>
      <c r="AC239" s="12">
        <v>505.06500200767329</v>
      </c>
      <c r="AD239" s="12">
        <v>339.68442064104022</v>
      </c>
      <c r="AE239" s="12">
        <v>161.16093621388816</v>
      </c>
      <c r="AF239" s="12">
        <v>79.098773780415655</v>
      </c>
      <c r="AG239" s="12">
        <v>0</v>
      </c>
      <c r="AH239" s="12">
        <v>0</v>
      </c>
      <c r="AI239" s="12">
        <v>0</v>
      </c>
    </row>
    <row r="240" spans="1:35" x14ac:dyDescent="0.15">
      <c r="B240" s="12" t="s">
        <v>88</v>
      </c>
      <c r="C240" s="12">
        <v>316.66903668000003</v>
      </c>
      <c r="D240" s="12">
        <v>320.89339774534005</v>
      </c>
      <c r="E240" s="12">
        <v>426.3345093633335</v>
      </c>
      <c r="F240" s="12">
        <v>519.95351510354908</v>
      </c>
      <c r="G240" s="12">
        <v>611.12136967526931</v>
      </c>
      <c r="H240" s="12">
        <v>691.66881256286013</v>
      </c>
      <c r="I240" s="12">
        <v>765.16372259121215</v>
      </c>
      <c r="J240" s="12">
        <v>781.42884090467169</v>
      </c>
      <c r="K240" s="12">
        <v>794.16019026511844</v>
      </c>
      <c r="Z240" s="12" t="s">
        <v>144</v>
      </c>
      <c r="AA240" s="12">
        <v>2376.5845980025474</v>
      </c>
      <c r="AB240" s="12">
        <v>1201.1570406421292</v>
      </c>
      <c r="AC240" s="12">
        <v>603.49763777396265</v>
      </c>
      <c r="AD240" s="12">
        <v>463.10507120450274</v>
      </c>
      <c r="AE240" s="12">
        <v>307.87732954458988</v>
      </c>
      <c r="AF240" s="12">
        <v>151.39032860608637</v>
      </c>
      <c r="AG240" s="12">
        <v>0</v>
      </c>
      <c r="AH240" s="12">
        <v>0</v>
      </c>
      <c r="AI240" s="12">
        <v>0</v>
      </c>
    </row>
    <row r="241" spans="1:35" x14ac:dyDescent="0.15">
      <c r="B241" s="12" t="s">
        <v>99</v>
      </c>
      <c r="C241" s="12">
        <v>0</v>
      </c>
      <c r="D241" s="12">
        <v>0</v>
      </c>
      <c r="E241" s="12">
        <v>0</v>
      </c>
      <c r="F241" s="12">
        <v>0</v>
      </c>
      <c r="G241" s="12">
        <v>0</v>
      </c>
      <c r="H241" s="12">
        <v>0</v>
      </c>
      <c r="I241" s="12">
        <v>0</v>
      </c>
      <c r="J241" s="12">
        <v>0</v>
      </c>
      <c r="K241" s="12">
        <v>0</v>
      </c>
      <c r="Z241" s="12" t="s">
        <v>86</v>
      </c>
      <c r="AA241" s="12">
        <v>4873.4923914414294</v>
      </c>
      <c r="AB241" s="12">
        <v>3530.7635713524328</v>
      </c>
      <c r="AC241" s="12">
        <v>2912.3514451398319</v>
      </c>
      <c r="AD241" s="12">
        <v>2590.7020688505345</v>
      </c>
      <c r="AE241" s="12">
        <v>2245.3497381137272</v>
      </c>
      <c r="AF241" s="12">
        <v>1889.511135555226</v>
      </c>
      <c r="AG241" s="12">
        <v>1530.3988612632174</v>
      </c>
      <c r="AH241" s="12">
        <v>1339.9968911367901</v>
      </c>
      <c r="AI241" s="12">
        <v>1159.3369253767089</v>
      </c>
    </row>
    <row r="242" spans="1:35" x14ac:dyDescent="0.15">
      <c r="B242" s="12" t="s">
        <v>90</v>
      </c>
      <c r="C242" s="12">
        <v>127.09353783600002</v>
      </c>
      <c r="D242" s="12">
        <v>360.07820645288439</v>
      </c>
      <c r="E242" s="12">
        <v>500.1134572606033</v>
      </c>
      <c r="F242" s="12">
        <v>607.29452066609088</v>
      </c>
      <c r="G242" s="12">
        <v>716.6839530520117</v>
      </c>
      <c r="H242" s="12">
        <v>812.60416630040027</v>
      </c>
      <c r="I242" s="12">
        <v>905.71271311412943</v>
      </c>
      <c r="J242" s="12">
        <v>1006.2614456724624</v>
      </c>
      <c r="K242" s="12">
        <v>1103.760582874145</v>
      </c>
      <c r="Z242" s="12" t="s">
        <v>37</v>
      </c>
      <c r="AA242" s="12">
        <v>2023.7835015047142</v>
      </c>
      <c r="AB242" s="12">
        <v>2558.7712803877871</v>
      </c>
      <c r="AC242" s="12">
        <v>2682.7464324606253</v>
      </c>
      <c r="AD242" s="12">
        <v>2599.6341085476447</v>
      </c>
      <c r="AE242" s="12">
        <v>2451.7240572659471</v>
      </c>
      <c r="AF242" s="12">
        <v>2201.8464674750685</v>
      </c>
      <c r="AG242" s="12">
        <v>1928.0185045631702</v>
      </c>
      <c r="AH242" s="12">
        <v>1766.5262426982399</v>
      </c>
      <c r="AI242" s="12">
        <v>1602.2381178081409</v>
      </c>
    </row>
    <row r="243" spans="1:35" ht="15" x14ac:dyDescent="0.2">
      <c r="B243" s="13" t="s">
        <v>91</v>
      </c>
      <c r="C243" s="13">
        <v>21415.020990528003</v>
      </c>
      <c r="D243" s="13">
        <v>13899.141172448228</v>
      </c>
      <c r="E243" s="13">
        <v>13307.192346798469</v>
      </c>
      <c r="F243" s="13">
        <v>13327.299992211294</v>
      </c>
      <c r="G243" s="13">
        <v>13268.34803677799</v>
      </c>
      <c r="H243" s="13">
        <v>13164.469637936152</v>
      </c>
      <c r="I243" s="13">
        <v>12982.247480482116</v>
      </c>
      <c r="J243" s="13">
        <v>13049.181672892968</v>
      </c>
      <c r="K243" s="13">
        <v>13084.912672862421</v>
      </c>
      <c r="Z243" s="12" t="s">
        <v>145</v>
      </c>
      <c r="AA243" s="12">
        <v>575.44213315880006</v>
      </c>
      <c r="AB243" s="12">
        <v>1248.0436902845261</v>
      </c>
      <c r="AC243" s="12">
        <v>1618.053641980126</v>
      </c>
      <c r="AD243" s="12">
        <v>1880.0292734244467</v>
      </c>
      <c r="AE243" s="12">
        <v>2112.1610776400571</v>
      </c>
      <c r="AF243" s="12">
        <v>2313.4563693091131</v>
      </c>
      <c r="AG243" s="12">
        <v>2474.3692253637528</v>
      </c>
      <c r="AH243" s="12">
        <v>2477.1869466065145</v>
      </c>
      <c r="AI243" s="12">
        <v>2457.7960561467426</v>
      </c>
    </row>
    <row r="244" spans="1:35" ht="15" x14ac:dyDescent="0.2">
      <c r="B244" s="13"/>
      <c r="C244" s="13"/>
      <c r="D244" s="13"/>
      <c r="E244" s="13"/>
      <c r="F244" s="13"/>
      <c r="G244" s="13"/>
      <c r="H244" s="13"/>
      <c r="I244" s="13"/>
      <c r="J244" s="13"/>
      <c r="K244" s="13"/>
      <c r="Z244" s="12" t="s">
        <v>146</v>
      </c>
      <c r="AA244" s="12">
        <v>1512.4847405831999</v>
      </c>
      <c r="AB244" s="12">
        <v>1569.4403114525669</v>
      </c>
      <c r="AC244" s="12">
        <v>1636.5329794592769</v>
      </c>
      <c r="AD244" s="12">
        <v>1670.2721604429555</v>
      </c>
      <c r="AE244" s="12">
        <v>1681.6867826440916</v>
      </c>
      <c r="AF244" s="12">
        <v>1670.7178690323967</v>
      </c>
      <c r="AG244" s="12">
        <v>1634.0958225939573</v>
      </c>
      <c r="AH244" s="12">
        <v>1555.5532479540584</v>
      </c>
      <c r="AI244" s="12">
        <v>1468.3238412146825</v>
      </c>
    </row>
    <row r="245" spans="1:35" ht="19" x14ac:dyDescent="0.2">
      <c r="A245" s="26" t="s">
        <v>108</v>
      </c>
      <c r="B245" s="26"/>
      <c r="C245" s="26"/>
      <c r="D245" s="26"/>
      <c r="E245" s="26"/>
      <c r="F245" s="26"/>
      <c r="G245" s="26"/>
      <c r="H245" s="26"/>
      <c r="I245" s="26"/>
      <c r="J245" s="26"/>
      <c r="K245" s="26"/>
      <c r="Z245" s="13"/>
      <c r="AA245" s="13">
        <v>13306.543126144694</v>
      </c>
      <c r="AB245" s="13">
        <v>11156.830003846713</v>
      </c>
      <c r="AC245" s="13">
        <v>9958.2471388214963</v>
      </c>
      <c r="AD245" s="13">
        <v>9543.4271031111239</v>
      </c>
      <c r="AE245" s="13">
        <v>8959.9599214223017</v>
      </c>
      <c r="AF245" s="13">
        <v>8306.0209437583053</v>
      </c>
      <c r="AG245" s="13">
        <v>7566.8824137840984</v>
      </c>
      <c r="AH245" s="13">
        <v>7139.263328395602</v>
      </c>
      <c r="AI245" s="13">
        <v>6687.6949405462747</v>
      </c>
    </row>
    <row r="246" spans="1:35" x14ac:dyDescent="0.15">
      <c r="B246" s="12" t="s">
        <v>84</v>
      </c>
      <c r="C246" s="12">
        <v>1879.3326841200001</v>
      </c>
      <c r="D246" s="12">
        <v>1618.0645422828893</v>
      </c>
      <c r="E246" s="12">
        <v>1401.1051559014031</v>
      </c>
      <c r="F246" s="12">
        <v>1178.2177407866798</v>
      </c>
      <c r="G246" s="12">
        <v>950.71921446175395</v>
      </c>
      <c r="H246" s="12">
        <v>700.42514365036959</v>
      </c>
      <c r="I246" s="12">
        <v>485.73736818151849</v>
      </c>
      <c r="J246" s="12">
        <v>346.41265040510365</v>
      </c>
      <c r="K246" s="12">
        <v>218.18470254422417</v>
      </c>
    </row>
    <row r="247" spans="1:35" ht="19" x14ac:dyDescent="0.15">
      <c r="B247" s="12" t="s">
        <v>85</v>
      </c>
      <c r="C247" s="12">
        <v>48.102647616000013</v>
      </c>
      <c r="D247" s="12">
        <v>38.918834330851872</v>
      </c>
      <c r="E247" s="12">
        <v>32.907313994215116</v>
      </c>
      <c r="F247" s="12">
        <v>25.731811728771625</v>
      </c>
      <c r="G247" s="12">
        <v>17.998960330967385</v>
      </c>
      <c r="H247" s="12">
        <v>9.7574604360112129</v>
      </c>
      <c r="I247" s="12">
        <v>0</v>
      </c>
      <c r="J247" s="12">
        <v>0</v>
      </c>
      <c r="K247" s="12">
        <v>0</v>
      </c>
      <c r="Y247" s="26" t="s">
        <v>179</v>
      </c>
      <c r="Z247" s="26"/>
      <c r="AA247" s="26"/>
      <c r="AB247" s="26"/>
      <c r="AC247" s="26"/>
      <c r="AD247" s="26"/>
      <c r="AE247" s="26"/>
      <c r="AF247" s="26"/>
      <c r="AG247" s="26"/>
      <c r="AH247" s="26"/>
      <c r="AI247" s="26"/>
    </row>
    <row r="248" spans="1:35" x14ac:dyDescent="0.15">
      <c r="B248" s="12" t="s">
        <v>86</v>
      </c>
      <c r="C248" s="12">
        <v>245.00906578799996</v>
      </c>
      <c r="D248" s="12">
        <v>187.14282514692354</v>
      </c>
      <c r="E248" s="12">
        <v>143.14691767075374</v>
      </c>
      <c r="F248" s="12">
        <v>104.13851540213436</v>
      </c>
      <c r="G248" s="12">
        <v>69.641202066476083</v>
      </c>
      <c r="H248" s="12">
        <v>44.136933552637686</v>
      </c>
      <c r="I248" s="12">
        <v>24.747413916026858</v>
      </c>
      <c r="J248" s="12">
        <v>0.42209823383567774</v>
      </c>
      <c r="K248" s="12">
        <v>0</v>
      </c>
      <c r="Z248" s="12" t="s">
        <v>85</v>
      </c>
      <c r="AA248" s="12">
        <v>18.378381466800001</v>
      </c>
      <c r="AB248" s="12">
        <v>10.843237104662718</v>
      </c>
      <c r="AC248" s="12">
        <v>5.0836272604226282</v>
      </c>
      <c r="AD248" s="12">
        <v>3.7158222080071446</v>
      </c>
      <c r="AE248" s="12">
        <v>2.1967773419940424</v>
      </c>
      <c r="AF248" s="12">
        <v>1.1229221185997362</v>
      </c>
      <c r="AG248" s="12">
        <v>0</v>
      </c>
      <c r="AH248" s="12">
        <v>0</v>
      </c>
      <c r="AI248" s="12">
        <v>0</v>
      </c>
    </row>
    <row r="249" spans="1:35" x14ac:dyDescent="0.15">
      <c r="B249" s="12" t="s">
        <v>37</v>
      </c>
      <c r="C249" s="12">
        <v>444.27315477600007</v>
      </c>
      <c r="D249" s="12">
        <v>465.06927584561424</v>
      </c>
      <c r="E249" s="12">
        <v>469.23322982525679</v>
      </c>
      <c r="F249" s="12">
        <v>463.62409446076839</v>
      </c>
      <c r="G249" s="12">
        <v>452.02188555231976</v>
      </c>
      <c r="H249" s="12">
        <v>426.69631386907452</v>
      </c>
      <c r="I249" s="12">
        <v>397.0727639323328</v>
      </c>
      <c r="J249" s="12">
        <v>371.110725858921</v>
      </c>
      <c r="K249" s="12">
        <v>339.99019706216222</v>
      </c>
      <c r="Z249" s="12" t="s">
        <v>144</v>
      </c>
      <c r="AA249" s="12">
        <v>935.70470662322066</v>
      </c>
      <c r="AB249" s="12">
        <v>427.86587667356429</v>
      </c>
      <c r="AC249" s="12">
        <v>204.07738450436619</v>
      </c>
      <c r="AD249" s="12">
        <v>158.35714247263678</v>
      </c>
      <c r="AE249" s="12">
        <v>99.345402044302091</v>
      </c>
      <c r="AF249" s="12">
        <v>54.091153127736092</v>
      </c>
      <c r="AG249" s="12">
        <v>0</v>
      </c>
      <c r="AH249" s="12">
        <v>0</v>
      </c>
      <c r="AI249" s="12">
        <v>0</v>
      </c>
    </row>
    <row r="250" spans="1:35" x14ac:dyDescent="0.15">
      <c r="B250" s="12" t="s">
        <v>101</v>
      </c>
      <c r="C250" s="12">
        <v>10.591013016</v>
      </c>
      <c r="D250" s="12">
        <v>8.2847922074228304</v>
      </c>
      <c r="E250" s="12">
        <v>7.1976670206036495</v>
      </c>
      <c r="F250" s="12">
        <v>6.2084727911858284</v>
      </c>
      <c r="G250" s="12">
        <v>5.3498657101804348</v>
      </c>
      <c r="H250" s="12">
        <v>4.0939227255073405</v>
      </c>
      <c r="I250" s="12">
        <v>3.2341821076259745</v>
      </c>
      <c r="J250" s="12">
        <v>3.4518783146453562</v>
      </c>
      <c r="K250" s="12">
        <v>3.6659020319642588</v>
      </c>
      <c r="Z250" s="12" t="s">
        <v>86</v>
      </c>
      <c r="AA250" s="12">
        <v>1492.3383791637923</v>
      </c>
      <c r="AB250" s="12">
        <v>1063.9168114636132</v>
      </c>
      <c r="AC250" s="12">
        <v>903.71903045919328</v>
      </c>
      <c r="AD250" s="12">
        <v>813.25769236000622</v>
      </c>
      <c r="AE250" s="12">
        <v>674.64206917824924</v>
      </c>
      <c r="AF250" s="12">
        <v>559.9935140042536</v>
      </c>
      <c r="AG250" s="12">
        <v>415.49522467523423</v>
      </c>
      <c r="AH250" s="12">
        <v>400.52949277495122</v>
      </c>
      <c r="AI250" s="12">
        <v>382.0856060636242</v>
      </c>
    </row>
    <row r="251" spans="1:35" x14ac:dyDescent="0.15">
      <c r="B251" s="12" t="s">
        <v>88</v>
      </c>
      <c r="C251" s="12">
        <v>137.31272114400002</v>
      </c>
      <c r="D251" s="12">
        <v>260.13199559817633</v>
      </c>
      <c r="E251" s="12">
        <v>328.44399144700139</v>
      </c>
      <c r="F251" s="12">
        <v>387.75529550212843</v>
      </c>
      <c r="G251" s="12">
        <v>437.41893825070593</v>
      </c>
      <c r="H251" s="12">
        <v>501.30711223059484</v>
      </c>
      <c r="I251" s="12">
        <v>541.81337504609689</v>
      </c>
      <c r="J251" s="12">
        <v>611.47266891714673</v>
      </c>
      <c r="K251" s="12">
        <v>669.06600854934163</v>
      </c>
      <c r="Z251" s="12" t="s">
        <v>37</v>
      </c>
      <c r="AA251" s="12">
        <v>922.4512308671907</v>
      </c>
      <c r="AB251" s="12">
        <v>1318.7395198113547</v>
      </c>
      <c r="AC251" s="12">
        <v>1422.5475329958624</v>
      </c>
      <c r="AD251" s="12">
        <v>1400.8655953555617</v>
      </c>
      <c r="AE251" s="12">
        <v>1351.8426166964266</v>
      </c>
      <c r="AF251" s="12">
        <v>1334.081156613996</v>
      </c>
      <c r="AG251" s="12">
        <v>1299.2899631314829</v>
      </c>
      <c r="AH251" s="12">
        <v>1224.4473244599835</v>
      </c>
      <c r="AI251" s="12">
        <v>1132.4325216508737</v>
      </c>
    </row>
    <row r="252" spans="1:35" x14ac:dyDescent="0.15">
      <c r="B252" s="12" t="s">
        <v>99</v>
      </c>
      <c r="C252" s="12">
        <v>0</v>
      </c>
      <c r="D252" s="12">
        <v>0</v>
      </c>
      <c r="E252" s="12">
        <v>0</v>
      </c>
      <c r="F252" s="12">
        <v>0</v>
      </c>
      <c r="G252" s="12">
        <v>0</v>
      </c>
      <c r="H252" s="12">
        <v>0</v>
      </c>
      <c r="I252" s="12">
        <v>0</v>
      </c>
      <c r="J252" s="12">
        <v>0</v>
      </c>
      <c r="K252" s="12">
        <v>0</v>
      </c>
      <c r="Z252" s="12" t="s">
        <v>145</v>
      </c>
      <c r="AA252" s="12">
        <v>299.32858763532005</v>
      </c>
      <c r="AB252" s="12">
        <v>648.64824073621253</v>
      </c>
      <c r="AC252" s="12">
        <v>899.17140915100265</v>
      </c>
      <c r="AD252" s="12">
        <v>1158.5452118394023</v>
      </c>
      <c r="AE252" s="12">
        <v>1437.6402960439621</v>
      </c>
      <c r="AF252" s="12">
        <v>1677.0478587102214</v>
      </c>
      <c r="AG252" s="12">
        <v>1927.2860057152388</v>
      </c>
      <c r="AH252" s="12">
        <v>2138.9461390955953</v>
      </c>
      <c r="AI252" s="12">
        <v>2357.9103061767837</v>
      </c>
    </row>
    <row r="253" spans="1:35" x14ac:dyDescent="0.15">
      <c r="B253" s="12" t="s">
        <v>90</v>
      </c>
      <c r="C253" s="12">
        <v>29.382292512000003</v>
      </c>
      <c r="D253" s="12">
        <v>113.90505908977349</v>
      </c>
      <c r="E253" s="12">
        <v>167.54197250916414</v>
      </c>
      <c r="F253" s="12">
        <v>215.46838862946149</v>
      </c>
      <c r="G253" s="12">
        <v>257.32670415202591</v>
      </c>
      <c r="H253" s="12">
        <v>298.62920053717619</v>
      </c>
      <c r="I253" s="12">
        <v>327.37785618725366</v>
      </c>
      <c r="J253" s="12">
        <v>382.4238752986073</v>
      </c>
      <c r="K253" s="12">
        <v>426.61505112526231</v>
      </c>
      <c r="Z253" s="12" t="s">
        <v>146</v>
      </c>
      <c r="AA253" s="12">
        <v>166.5441046368</v>
      </c>
      <c r="AB253" s="12">
        <v>182.11749241577022</v>
      </c>
      <c r="AC253" s="12">
        <v>199.05213025006984</v>
      </c>
      <c r="AD253" s="12">
        <v>215.6080193879809</v>
      </c>
      <c r="AE253" s="12">
        <v>230.76712740803922</v>
      </c>
      <c r="AF253" s="12">
        <v>244.04510429102064</v>
      </c>
      <c r="AG253" s="12">
        <v>256.48578006422537</v>
      </c>
      <c r="AH253" s="12">
        <v>266.9125682972728</v>
      </c>
      <c r="AI253" s="12">
        <v>276.08059409311034</v>
      </c>
    </row>
    <row r="254" spans="1:35" ht="15" x14ac:dyDescent="0.2">
      <c r="B254" s="13" t="s">
        <v>91</v>
      </c>
      <c r="C254" s="13">
        <v>2794.003578972</v>
      </c>
      <c r="D254" s="13">
        <v>2691.5173245016517</v>
      </c>
      <c r="E254" s="13">
        <v>2549.576248368398</v>
      </c>
      <c r="F254" s="13">
        <v>2381.1443193011301</v>
      </c>
      <c r="G254" s="13">
        <v>2190.4767705244294</v>
      </c>
      <c r="H254" s="13">
        <v>1985.0460870013712</v>
      </c>
      <c r="I254" s="13">
        <v>1779.9829593708546</v>
      </c>
      <c r="J254" s="13">
        <v>1715.2938970282596</v>
      </c>
      <c r="K254" s="13">
        <v>1657.5218613129546</v>
      </c>
      <c r="Z254" s="13"/>
      <c r="AA254" s="13">
        <v>3834.7453903931237</v>
      </c>
      <c r="AB254" s="13">
        <v>3652.131178205178</v>
      </c>
      <c r="AC254" s="13">
        <v>3633.6511146209168</v>
      </c>
      <c r="AD254" s="13">
        <v>3750.349483623595</v>
      </c>
      <c r="AE254" s="13">
        <v>3796.4342887129733</v>
      </c>
      <c r="AF254" s="13">
        <v>3870.3817088658279</v>
      </c>
      <c r="AG254" s="13">
        <v>3898.5569735861814</v>
      </c>
      <c r="AH254" s="13">
        <v>4030.8355246278024</v>
      </c>
      <c r="AI254" s="13">
        <v>4148.5090279843917</v>
      </c>
    </row>
    <row r="255" spans="1:35" ht="19" x14ac:dyDescent="0.25">
      <c r="A255" s="16"/>
      <c r="B255" s="16"/>
    </row>
    <row r="256" spans="1:35" ht="19" x14ac:dyDescent="0.15">
      <c r="A256" s="26" t="s">
        <v>109</v>
      </c>
      <c r="B256" s="26"/>
      <c r="C256" s="26"/>
      <c r="D256" s="26"/>
      <c r="E256" s="26"/>
      <c r="F256" s="26"/>
      <c r="G256" s="26"/>
      <c r="H256" s="26"/>
      <c r="I256" s="26"/>
      <c r="J256" s="26"/>
      <c r="K256" s="26"/>
      <c r="Y256" s="26" t="s">
        <v>180</v>
      </c>
      <c r="Z256" s="26"/>
      <c r="AA256" s="26"/>
      <c r="AB256" s="26"/>
      <c r="AC256" s="26"/>
      <c r="AD256" s="26"/>
      <c r="AE256" s="26"/>
      <c r="AF256" s="26"/>
      <c r="AG256" s="26"/>
      <c r="AH256" s="26"/>
      <c r="AI256" s="26"/>
    </row>
    <row r="257" spans="2:35" x14ac:dyDescent="0.15">
      <c r="B257" s="12" t="s">
        <v>84</v>
      </c>
      <c r="C257" s="12">
        <v>287.53100000000001</v>
      </c>
      <c r="D257" s="12">
        <v>63.099840594607954</v>
      </c>
      <c r="E257" s="12">
        <v>54.297385178385937</v>
      </c>
      <c r="F257" s="12">
        <v>26.528614419474611</v>
      </c>
      <c r="G257" s="12">
        <v>15.889414983505816</v>
      </c>
      <c r="H257" s="12">
        <v>10.96317439089594</v>
      </c>
      <c r="I257" s="12">
        <v>3.6757100360160302</v>
      </c>
      <c r="J257" s="12">
        <v>2.4175370079383156</v>
      </c>
      <c r="K257" s="12">
        <v>1.351976824644745</v>
      </c>
      <c r="Z257" s="12" t="s">
        <v>85</v>
      </c>
      <c r="AA257" s="12">
        <v>0</v>
      </c>
      <c r="AB257" s="12">
        <v>0</v>
      </c>
      <c r="AC257" s="12">
        <v>0</v>
      </c>
      <c r="AD257" s="12">
        <v>0</v>
      </c>
      <c r="AE257" s="12">
        <v>0</v>
      </c>
      <c r="AF257" s="12">
        <v>0</v>
      </c>
      <c r="AG257" s="12">
        <v>0</v>
      </c>
      <c r="AH257" s="12">
        <v>0</v>
      </c>
      <c r="AI257" s="12">
        <v>0</v>
      </c>
    </row>
    <row r="258" spans="2:35" x14ac:dyDescent="0.15">
      <c r="B258" s="12" t="s">
        <v>85</v>
      </c>
      <c r="C258" s="12">
        <v>3467.4630000000002</v>
      </c>
      <c r="D258" s="12">
        <v>1228.0633517044566</v>
      </c>
      <c r="E258" s="12">
        <v>619.84138125760342</v>
      </c>
      <c r="F258" s="12">
        <v>96.565299093985075</v>
      </c>
      <c r="G258" s="12">
        <v>0.23151600265852851</v>
      </c>
      <c r="H258" s="12">
        <v>3.5422051288209994E-4</v>
      </c>
      <c r="I258" s="12">
        <v>6.2498196016870533E-4</v>
      </c>
      <c r="J258" s="12">
        <v>9.1191540787094417E-4</v>
      </c>
      <c r="K258" s="12">
        <v>0</v>
      </c>
      <c r="Z258" s="12" t="s">
        <v>144</v>
      </c>
      <c r="AA258" s="12">
        <v>0</v>
      </c>
      <c r="AB258" s="12">
        <v>0</v>
      </c>
      <c r="AC258" s="12">
        <v>0</v>
      </c>
      <c r="AD258" s="12">
        <v>0</v>
      </c>
      <c r="AE258" s="12">
        <v>0</v>
      </c>
      <c r="AF258" s="12">
        <v>0</v>
      </c>
      <c r="AG258" s="12">
        <v>0</v>
      </c>
      <c r="AH258" s="12">
        <v>0</v>
      </c>
      <c r="AI258" s="12">
        <v>0</v>
      </c>
    </row>
    <row r="259" spans="2:35" x14ac:dyDescent="0.15">
      <c r="B259" s="12" t="s">
        <v>110</v>
      </c>
      <c r="C259" s="12">
        <v>0</v>
      </c>
      <c r="D259" s="12">
        <v>8.8038245510012167</v>
      </c>
      <c r="E259" s="12">
        <v>51.350318772354832</v>
      </c>
      <c r="F259" s="12">
        <v>144.74775726958947</v>
      </c>
      <c r="G259" s="12">
        <v>317.07111991587942</v>
      </c>
      <c r="H259" s="12">
        <v>422.45746180486617</v>
      </c>
      <c r="I259" s="12">
        <v>432.50423067250796</v>
      </c>
      <c r="J259" s="12">
        <v>375.24117302697027</v>
      </c>
      <c r="K259" s="12">
        <v>301.64318885759718</v>
      </c>
      <c r="Z259" s="12" t="s">
        <v>86</v>
      </c>
      <c r="AA259" s="12">
        <v>356.69126750091334</v>
      </c>
      <c r="AB259" s="12">
        <v>210.28198746123741</v>
      </c>
      <c r="AC259" s="12">
        <v>167.16661272774087</v>
      </c>
      <c r="AD259" s="12">
        <v>141.88578854750841</v>
      </c>
      <c r="AE259" s="12">
        <v>115.32617777488912</v>
      </c>
      <c r="AF259" s="12">
        <v>87.948055300852047</v>
      </c>
      <c r="AG259" s="12">
        <v>60.050192465163555</v>
      </c>
      <c r="AH259" s="12">
        <v>48.930234775596716</v>
      </c>
      <c r="AI259" s="12">
        <v>37.137121659697797</v>
      </c>
    </row>
    <row r="260" spans="2:35" x14ac:dyDescent="0.15">
      <c r="B260" s="12" t="s">
        <v>86</v>
      </c>
      <c r="C260" s="12">
        <v>2617.4609999999998</v>
      </c>
      <c r="D260" s="12">
        <v>3161.4157666727369</v>
      </c>
      <c r="E260" s="12">
        <v>2760.7787361290257</v>
      </c>
      <c r="F260" s="12">
        <v>2378.6287067405797</v>
      </c>
      <c r="G260" s="12">
        <v>1216.5487455961866</v>
      </c>
      <c r="H260" s="12">
        <v>442.39615126995875</v>
      </c>
      <c r="I260" s="12">
        <v>103.18710901785477</v>
      </c>
      <c r="J260" s="12">
        <v>36.079975778374504</v>
      </c>
      <c r="K260" s="12">
        <v>32.309920922769422</v>
      </c>
      <c r="Z260" s="12" t="s">
        <v>37</v>
      </c>
      <c r="AA260" s="12">
        <v>3246.0437188477085</v>
      </c>
      <c r="AB260" s="12">
        <v>3048.2530681571297</v>
      </c>
      <c r="AC260" s="12">
        <v>2990.7701013417532</v>
      </c>
      <c r="AD260" s="12">
        <v>3117.0471075878509</v>
      </c>
      <c r="AE260" s="12">
        <v>3213.7204906644574</v>
      </c>
      <c r="AF260" s="12">
        <v>3277.9704207467194</v>
      </c>
      <c r="AG260" s="12">
        <v>3305.4174243525044</v>
      </c>
      <c r="AH260" s="12">
        <v>3463.630427007542</v>
      </c>
      <c r="AI260" s="12">
        <v>3471.0911874262711</v>
      </c>
    </row>
    <row r="261" spans="2:35" x14ac:dyDescent="0.15">
      <c r="B261" s="12" t="s">
        <v>111</v>
      </c>
      <c r="C261" s="12">
        <v>0</v>
      </c>
      <c r="D261" s="12">
        <v>11.401891276472105</v>
      </c>
      <c r="E261" s="12">
        <v>79.464429838640186</v>
      </c>
      <c r="F261" s="12">
        <v>236.81977401552464</v>
      </c>
      <c r="G261" s="12">
        <v>512.75504235816095</v>
      </c>
      <c r="H261" s="12">
        <v>755.02551487639005</v>
      </c>
      <c r="I261" s="12">
        <v>670.66035375720855</v>
      </c>
      <c r="J261" s="12">
        <v>349.66413998428686</v>
      </c>
      <c r="K261" s="12">
        <v>291.18624343037607</v>
      </c>
      <c r="Z261" s="12" t="s">
        <v>145</v>
      </c>
      <c r="AA261" s="12">
        <v>0</v>
      </c>
      <c r="AB261" s="12">
        <v>47.87250963077534</v>
      </c>
      <c r="AC261" s="12">
        <v>74.810611899228732</v>
      </c>
      <c r="AD261" s="12">
        <v>117.79840194420517</v>
      </c>
      <c r="AE261" s="12">
        <v>163.29746471520994</v>
      </c>
      <c r="AF261" s="12">
        <v>210.01466478045577</v>
      </c>
      <c r="AG261" s="12">
        <v>256.33454894042819</v>
      </c>
      <c r="AH261" s="12">
        <v>333.73346753541426</v>
      </c>
      <c r="AI261" s="12">
        <v>405.2029234938372</v>
      </c>
    </row>
    <row r="262" spans="2:35" x14ac:dyDescent="0.15">
      <c r="B262" s="12" t="s">
        <v>87</v>
      </c>
      <c r="C262" s="12">
        <v>1980.6530000000002</v>
      </c>
      <c r="D262" s="12">
        <v>2226.5221000767842</v>
      </c>
      <c r="E262" s="12">
        <v>2476.7895373995966</v>
      </c>
      <c r="F262" s="12">
        <v>2542.9527134438204</v>
      </c>
      <c r="G262" s="12">
        <v>2733.7443370512665</v>
      </c>
      <c r="H262" s="12">
        <v>2774.0272119274491</v>
      </c>
      <c r="I262" s="12">
        <v>2731.523816613254</v>
      </c>
      <c r="J262" s="12">
        <v>2808.7360676686226</v>
      </c>
      <c r="K262" s="12">
        <v>2824.3108801912613</v>
      </c>
      <c r="Z262" s="12" t="s">
        <v>146</v>
      </c>
      <c r="AA262" s="12">
        <v>12.7746</v>
      </c>
      <c r="AB262" s="12">
        <v>0</v>
      </c>
      <c r="AC262" s="12">
        <v>0</v>
      </c>
      <c r="AD262" s="12">
        <v>0</v>
      </c>
      <c r="AE262" s="12">
        <v>0</v>
      </c>
      <c r="AF262" s="12">
        <v>0</v>
      </c>
      <c r="AG262" s="12">
        <v>0</v>
      </c>
      <c r="AH262" s="12">
        <v>0</v>
      </c>
      <c r="AI262" s="12">
        <v>0</v>
      </c>
    </row>
    <row r="263" spans="2:35" ht="15" x14ac:dyDescent="0.2">
      <c r="B263" s="12" t="s">
        <v>88</v>
      </c>
      <c r="C263" s="12">
        <v>331.49900000000002</v>
      </c>
      <c r="D263" s="12">
        <v>679.1165952991164</v>
      </c>
      <c r="E263" s="12">
        <v>753.48616963288271</v>
      </c>
      <c r="F263" s="12">
        <v>832.1091020968521</v>
      </c>
      <c r="G263" s="12">
        <v>858.5634836004856</v>
      </c>
      <c r="H263" s="12">
        <v>749.62352243131943</v>
      </c>
      <c r="I263" s="12">
        <v>704.49854119439954</v>
      </c>
      <c r="J263" s="12">
        <v>615.25607076141841</v>
      </c>
      <c r="K263" s="12">
        <v>469.65320330956507</v>
      </c>
      <c r="Z263" s="13"/>
      <c r="AA263" s="13">
        <v>3615.5095863486222</v>
      </c>
      <c r="AB263" s="13">
        <v>3306.4075652491424</v>
      </c>
      <c r="AC263" s="13">
        <v>3232.7473259687226</v>
      </c>
      <c r="AD263" s="13">
        <v>3376.7312980795646</v>
      </c>
      <c r="AE263" s="13">
        <v>3492.3441331545564</v>
      </c>
      <c r="AF263" s="13">
        <v>3575.9331408280273</v>
      </c>
      <c r="AG263" s="13">
        <v>3621.8021657580962</v>
      </c>
      <c r="AH263" s="13">
        <v>3846.2941293185527</v>
      </c>
      <c r="AI263" s="13">
        <v>3913.431232579806</v>
      </c>
    </row>
    <row r="264" spans="2:35" x14ac:dyDescent="0.15">
      <c r="B264" s="12" t="s">
        <v>112</v>
      </c>
      <c r="C264" s="12">
        <v>0</v>
      </c>
      <c r="D264" s="12">
        <v>0</v>
      </c>
      <c r="E264" s="12">
        <v>1.9310766910432609</v>
      </c>
      <c r="F264" s="12">
        <v>12.912991042143801</v>
      </c>
      <c r="G264" s="12">
        <v>63.908335644987318</v>
      </c>
      <c r="H264" s="12">
        <v>249.45317422536905</v>
      </c>
      <c r="I264" s="12">
        <v>435.55033858482693</v>
      </c>
      <c r="J264" s="12">
        <v>632.98573839884409</v>
      </c>
      <c r="K264" s="12">
        <v>839.98846288335017</v>
      </c>
    </row>
    <row r="265" spans="2:35" ht="19" x14ac:dyDescent="0.15">
      <c r="B265" s="12" t="s">
        <v>113</v>
      </c>
      <c r="C265" s="12">
        <v>1402.816</v>
      </c>
      <c r="D265" s="12">
        <v>1639.1367510573054</v>
      </c>
      <c r="E265" s="12">
        <v>1691.0089933270549</v>
      </c>
      <c r="F265" s="12">
        <v>1693.3306575923968</v>
      </c>
      <c r="G265" s="12">
        <v>1753.4687131035234</v>
      </c>
      <c r="H265" s="12">
        <v>1796.5663151212646</v>
      </c>
      <c r="I265" s="12">
        <v>1837.0987668351463</v>
      </c>
      <c r="J265" s="12">
        <v>1881.0946276933953</v>
      </c>
      <c r="K265" s="12">
        <v>1907.2062419447523</v>
      </c>
      <c r="Y265" s="26" t="s">
        <v>181</v>
      </c>
      <c r="Z265" s="26"/>
      <c r="AA265" s="26"/>
      <c r="AB265" s="26"/>
      <c r="AC265" s="26"/>
      <c r="AD265" s="26"/>
      <c r="AE265" s="26"/>
      <c r="AF265" s="26"/>
      <c r="AG265" s="26"/>
      <c r="AH265" s="26"/>
      <c r="AI265" s="26"/>
    </row>
    <row r="266" spans="2:35" x14ac:dyDescent="0.15">
      <c r="B266" s="12" t="s">
        <v>94</v>
      </c>
      <c r="C266" s="12">
        <v>48.367000000000004</v>
      </c>
      <c r="D266" s="12">
        <v>122.89169228588858</v>
      </c>
      <c r="E266" s="12">
        <v>172.23299357567814</v>
      </c>
      <c r="F266" s="12">
        <v>224.59713214868367</v>
      </c>
      <c r="G266" s="12">
        <v>285.37969444227849</v>
      </c>
      <c r="H266" s="12">
        <v>359.84919057919723</v>
      </c>
      <c r="I266" s="12">
        <v>435.48186623055216</v>
      </c>
      <c r="J266" s="12">
        <v>509.28910086884633</v>
      </c>
      <c r="K266" s="12">
        <v>570.6480235134909</v>
      </c>
      <c r="Z266" s="12" t="s">
        <v>85</v>
      </c>
      <c r="AA266" s="12">
        <v>56.100631891199988</v>
      </c>
      <c r="AB266" s="12">
        <v>2.8035385778601829</v>
      </c>
      <c r="AC266" s="12">
        <v>0</v>
      </c>
      <c r="AD266" s="12">
        <v>0</v>
      </c>
      <c r="AE266" s="12">
        <v>0</v>
      </c>
      <c r="AF266" s="12">
        <v>0</v>
      </c>
      <c r="AG266" s="12">
        <v>0</v>
      </c>
      <c r="AH266" s="12">
        <v>0</v>
      </c>
      <c r="AI266" s="12">
        <v>0</v>
      </c>
    </row>
    <row r="267" spans="2:35" x14ac:dyDescent="0.15">
      <c r="B267" s="12" t="s">
        <v>114</v>
      </c>
      <c r="C267" s="12">
        <v>464.01329668</v>
      </c>
      <c r="D267" s="12">
        <v>1151.4639489331562</v>
      </c>
      <c r="E267" s="12">
        <v>1579.404549454882</v>
      </c>
      <c r="F267" s="12">
        <v>1911.6472251323382</v>
      </c>
      <c r="G267" s="12">
        <v>2222.1677630440786</v>
      </c>
      <c r="H267" s="12">
        <v>2470.3588995528216</v>
      </c>
      <c r="I267" s="12">
        <v>2734.7231231834394</v>
      </c>
      <c r="J267" s="12">
        <v>2906.0881222288922</v>
      </c>
      <c r="K267" s="12">
        <v>2984.3216310222942</v>
      </c>
      <c r="Z267" s="12" t="s">
        <v>144</v>
      </c>
      <c r="AA267" s="12">
        <v>839.38884310266189</v>
      </c>
      <c r="AB267" s="12">
        <v>492.25972851722179</v>
      </c>
      <c r="AC267" s="12">
        <v>318.14891389601911</v>
      </c>
      <c r="AD267" s="12">
        <v>258.75891744928788</v>
      </c>
      <c r="AE267" s="12">
        <v>193.70991567850189</v>
      </c>
      <c r="AF267" s="12">
        <v>124.66967911431843</v>
      </c>
      <c r="AG267" s="12">
        <v>52.472473432522143</v>
      </c>
      <c r="AH267" s="12">
        <v>38.671515992761485</v>
      </c>
      <c r="AI267" s="12">
        <v>26.700775332842738</v>
      </c>
    </row>
    <row r="268" spans="2:35" x14ac:dyDescent="0.15">
      <c r="B268" s="12" t="s">
        <v>115</v>
      </c>
      <c r="C268" s="12">
        <v>23.719893319999997</v>
      </c>
      <c r="D268" s="12">
        <v>127.58357452013064</v>
      </c>
      <c r="E268" s="12">
        <v>203.936673842282</v>
      </c>
      <c r="F268" s="12">
        <v>293.2283658448826</v>
      </c>
      <c r="G268" s="12">
        <v>388.96150732791915</v>
      </c>
      <c r="H268" s="12">
        <v>497.09118519436009</v>
      </c>
      <c r="I268" s="12">
        <v>642.76539853287181</v>
      </c>
      <c r="J268" s="12">
        <v>812.55079238314568</v>
      </c>
      <c r="K268" s="12">
        <v>984.57972740537673</v>
      </c>
      <c r="Z268" s="12" t="s">
        <v>86</v>
      </c>
      <c r="AA268" s="12">
        <v>999.27765924186394</v>
      </c>
      <c r="AB268" s="12">
        <v>764.77010889524763</v>
      </c>
      <c r="AC268" s="12">
        <v>569.88748296758797</v>
      </c>
      <c r="AD268" s="12">
        <v>506.82100923645839</v>
      </c>
      <c r="AE268" s="12">
        <v>436.12030260772235</v>
      </c>
      <c r="AF268" s="12">
        <v>359.41489940984502</v>
      </c>
      <c r="AG268" s="12">
        <v>277.75343451533217</v>
      </c>
      <c r="AH268" s="12">
        <v>253.45254311763961</v>
      </c>
      <c r="AI268" s="12">
        <v>227.20542680499315</v>
      </c>
    </row>
    <row r="269" spans="2:35" x14ac:dyDescent="0.15">
      <c r="B269" s="12" t="s">
        <v>96</v>
      </c>
      <c r="C269" s="12">
        <v>147.21100000000001</v>
      </c>
      <c r="D269" s="12">
        <v>212.87115925268222</v>
      </c>
      <c r="E269" s="12">
        <v>327.62542001376619</v>
      </c>
      <c r="F269" s="12">
        <v>493.8402580335877</v>
      </c>
      <c r="G269" s="12">
        <v>801.97835821758247</v>
      </c>
      <c r="H269" s="12">
        <v>1098.0516275359221</v>
      </c>
      <c r="I269" s="12">
        <v>1295.4697249795233</v>
      </c>
      <c r="J269" s="12">
        <v>1500.3810971701109</v>
      </c>
      <c r="K269" s="12">
        <v>1648.4264552442642</v>
      </c>
      <c r="Z269" s="12" t="s">
        <v>37</v>
      </c>
      <c r="AA269" s="12">
        <v>11608.375686730749</v>
      </c>
      <c r="AB269" s="12">
        <v>13058.918288015782</v>
      </c>
      <c r="AC269" s="12">
        <v>13517.493526573602</v>
      </c>
      <c r="AD269" s="12">
        <v>14319.085106969578</v>
      </c>
      <c r="AE269" s="12">
        <v>15019.122328494024</v>
      </c>
      <c r="AF269" s="12">
        <v>15618.693678934495</v>
      </c>
      <c r="AG269" s="12">
        <v>16107.720216893867</v>
      </c>
      <c r="AH269" s="12">
        <v>16667.572652598927</v>
      </c>
      <c r="AI269" s="12">
        <v>17164.032235405251</v>
      </c>
    </row>
    <row r="270" spans="2:35" x14ac:dyDescent="0.15">
      <c r="B270" s="12" t="s">
        <v>97</v>
      </c>
      <c r="C270" s="12">
        <v>8.1470000000000002</v>
      </c>
      <c r="D270" s="12">
        <v>42.895809999313101</v>
      </c>
      <c r="E270" s="12">
        <v>109.57372882677464</v>
      </c>
      <c r="F270" s="12">
        <v>238.87395049132633</v>
      </c>
      <c r="G270" s="12">
        <v>378.47985675806785</v>
      </c>
      <c r="H270" s="12">
        <v>488.56975192513903</v>
      </c>
      <c r="I270" s="12">
        <v>653.59341798138405</v>
      </c>
      <c r="J270" s="12">
        <v>813.15871625814452</v>
      </c>
      <c r="K270" s="12">
        <v>931.4273159638982</v>
      </c>
      <c r="Z270" s="12" t="s">
        <v>145</v>
      </c>
      <c r="AA270" s="12">
        <v>411.08837261348009</v>
      </c>
      <c r="AB270" s="12">
        <v>439.96950990909716</v>
      </c>
      <c r="AC270" s="12">
        <v>434.20458026487938</v>
      </c>
      <c r="AD270" s="12">
        <v>494.09295237622189</v>
      </c>
      <c r="AE270" s="12">
        <v>544.83259573676094</v>
      </c>
      <c r="AF270" s="12">
        <v>585.25706754765793</v>
      </c>
      <c r="AG270" s="12">
        <v>615.10335174712407</v>
      </c>
      <c r="AH270" s="12">
        <v>654.21611691362057</v>
      </c>
      <c r="AI270" s="12">
        <v>687.85512754703359</v>
      </c>
    </row>
    <row r="271" spans="2:35" x14ac:dyDescent="0.15">
      <c r="B271" s="12" t="s">
        <v>98</v>
      </c>
      <c r="C271" s="12">
        <v>0.99099999999999999</v>
      </c>
      <c r="D271" s="12">
        <v>3.9909808663660975</v>
      </c>
      <c r="E271" s="12">
        <v>8.7790687256270079</v>
      </c>
      <c r="F271" s="12">
        <v>20.386793065898956</v>
      </c>
      <c r="G271" s="12">
        <v>47.279611114103815</v>
      </c>
      <c r="H271" s="12">
        <v>104.51564631447729</v>
      </c>
      <c r="I271" s="12">
        <v>205.90232700669875</v>
      </c>
      <c r="J271" s="12">
        <v>319.87175802273407</v>
      </c>
      <c r="K271" s="12">
        <v>394.71884409967174</v>
      </c>
      <c r="Z271" s="12" t="s">
        <v>146</v>
      </c>
      <c r="AA271" s="12">
        <v>0</v>
      </c>
      <c r="AB271" s="12">
        <v>0</v>
      </c>
      <c r="AC271" s="12">
        <v>0</v>
      </c>
      <c r="AD271" s="12">
        <v>0</v>
      </c>
      <c r="AE271" s="12">
        <v>0</v>
      </c>
      <c r="AF271" s="12">
        <v>0</v>
      </c>
      <c r="AG271" s="12">
        <v>0</v>
      </c>
      <c r="AH271" s="12">
        <v>0</v>
      </c>
      <c r="AI271" s="12">
        <v>0</v>
      </c>
    </row>
    <row r="272" spans="2:35" ht="15" x14ac:dyDescent="0.2">
      <c r="B272" s="12" t="s">
        <v>90</v>
      </c>
      <c r="C272" s="12">
        <v>12.881000000000002</v>
      </c>
      <c r="D272" s="12">
        <v>0</v>
      </c>
      <c r="E272" s="12">
        <v>0</v>
      </c>
      <c r="F272" s="12">
        <v>0</v>
      </c>
      <c r="G272" s="12">
        <v>0</v>
      </c>
      <c r="H272" s="12">
        <v>0</v>
      </c>
      <c r="I272" s="12">
        <v>0</v>
      </c>
      <c r="J272" s="12">
        <v>0</v>
      </c>
      <c r="K272" s="12">
        <v>0</v>
      </c>
      <c r="Z272" s="13"/>
      <c r="AA272" s="13">
        <v>13914.231193579955</v>
      </c>
      <c r="AB272" s="13">
        <v>14758.721173915208</v>
      </c>
      <c r="AC272" s="13">
        <v>14839.734503702088</v>
      </c>
      <c r="AD272" s="13">
        <v>15578.757986031547</v>
      </c>
      <c r="AE272" s="13">
        <v>16193.78514251701</v>
      </c>
      <c r="AF272" s="13">
        <v>16688.035325006316</v>
      </c>
      <c r="AG272" s="13">
        <v>17053.049476588843</v>
      </c>
      <c r="AH272" s="13">
        <v>17613.912828622946</v>
      </c>
      <c r="AI272" s="13">
        <v>18105.793565090124</v>
      </c>
    </row>
    <row r="273" spans="1:35" ht="15" x14ac:dyDescent="0.2">
      <c r="A273" s="13"/>
      <c r="B273" s="13" t="s">
        <v>91</v>
      </c>
      <c r="C273" s="13">
        <v>10792.753189999999</v>
      </c>
      <c r="D273" s="13">
        <v>10679.257287090019</v>
      </c>
      <c r="E273" s="13">
        <v>10890.500462665597</v>
      </c>
      <c r="F273" s="13">
        <v>11147.169340431086</v>
      </c>
      <c r="G273" s="13">
        <v>11596.427499160684</v>
      </c>
      <c r="H273" s="13">
        <v>12218.949181369944</v>
      </c>
      <c r="I273" s="13">
        <v>12886.635349607644</v>
      </c>
      <c r="J273" s="13">
        <v>13562.815829167135</v>
      </c>
      <c r="K273" s="13">
        <v>14181.772115613312</v>
      </c>
    </row>
    <row r="274" spans="1:35" ht="19" x14ac:dyDescent="0.2">
      <c r="B274" s="17"/>
      <c r="Y274" s="26" t="s">
        <v>182</v>
      </c>
      <c r="Z274" s="26"/>
      <c r="AA274" s="26"/>
      <c r="AB274" s="26"/>
      <c r="AC274" s="26"/>
      <c r="AD274" s="26"/>
      <c r="AE274" s="26"/>
      <c r="AF274" s="26"/>
      <c r="AG274" s="26"/>
      <c r="AH274" s="26"/>
      <c r="AI274" s="26"/>
    </row>
    <row r="275" spans="1:35" ht="19" x14ac:dyDescent="0.15">
      <c r="A275" s="26" t="s">
        <v>116</v>
      </c>
      <c r="B275" s="26"/>
      <c r="C275" s="26"/>
      <c r="D275" s="26"/>
      <c r="E275" s="26"/>
      <c r="F275" s="26"/>
      <c r="G275" s="26"/>
      <c r="H275" s="26"/>
      <c r="I275" s="26"/>
      <c r="J275" s="26"/>
      <c r="K275" s="26"/>
      <c r="Z275" s="12" t="s">
        <v>85</v>
      </c>
      <c r="AA275" s="12">
        <v>0</v>
      </c>
      <c r="AB275" s="12">
        <v>0</v>
      </c>
      <c r="AC275" s="12">
        <v>0</v>
      </c>
      <c r="AD275" s="12">
        <v>0</v>
      </c>
      <c r="AE275" s="12">
        <v>0</v>
      </c>
      <c r="AF275" s="12">
        <v>0</v>
      </c>
      <c r="AG275" s="12">
        <v>0</v>
      </c>
      <c r="AH275" s="12">
        <v>0</v>
      </c>
      <c r="AI275" s="12">
        <v>0</v>
      </c>
    </row>
    <row r="276" spans="1:35" x14ac:dyDescent="0.15">
      <c r="B276" s="12" t="s">
        <v>84</v>
      </c>
      <c r="C276" s="12">
        <v>200.97298059521248</v>
      </c>
      <c r="D276" s="12">
        <v>127.8445224296656</v>
      </c>
      <c r="E276" s="12">
        <v>85.683960963822315</v>
      </c>
      <c r="F276" s="12">
        <v>50.507020806870017</v>
      </c>
      <c r="G276" s="12">
        <v>32.840213237503725</v>
      </c>
      <c r="H276" s="12">
        <v>23.707193450568347</v>
      </c>
      <c r="I276" s="12">
        <v>28.139521629203728</v>
      </c>
      <c r="J276" s="12">
        <v>34.537937962889728</v>
      </c>
      <c r="K276" s="12">
        <v>37.753419189900193</v>
      </c>
      <c r="Z276" s="12" t="s">
        <v>144</v>
      </c>
      <c r="AA276" s="12">
        <v>0</v>
      </c>
      <c r="AB276" s="12">
        <v>0</v>
      </c>
      <c r="AC276" s="12">
        <v>0</v>
      </c>
      <c r="AD276" s="12">
        <v>0</v>
      </c>
      <c r="AE276" s="12">
        <v>0</v>
      </c>
      <c r="AF276" s="12">
        <v>0</v>
      </c>
      <c r="AG276" s="12">
        <v>0</v>
      </c>
      <c r="AH276" s="12">
        <v>0</v>
      </c>
      <c r="AI276" s="12">
        <v>0</v>
      </c>
    </row>
    <row r="277" spans="1:35" x14ac:dyDescent="0.15">
      <c r="B277" s="12" t="s">
        <v>85</v>
      </c>
      <c r="C277" s="12">
        <v>590.52102726494331</v>
      </c>
      <c r="D277" s="12">
        <v>431.53408493101927</v>
      </c>
      <c r="E277" s="12">
        <v>265.22729854608929</v>
      </c>
      <c r="F277" s="12">
        <v>130.39837547701225</v>
      </c>
      <c r="G277" s="12">
        <v>81.177129867986451</v>
      </c>
      <c r="H277" s="12">
        <v>54.975397731373867</v>
      </c>
      <c r="I277" s="12">
        <v>42.658849922871191</v>
      </c>
      <c r="J277" s="12">
        <v>33.699580696110147</v>
      </c>
      <c r="K277" s="12">
        <v>12.288157335390929</v>
      </c>
      <c r="Z277" s="12" t="s">
        <v>86</v>
      </c>
      <c r="AA277" s="12">
        <v>0</v>
      </c>
      <c r="AB277" s="12">
        <v>0</v>
      </c>
      <c r="AC277" s="12">
        <v>0</v>
      </c>
      <c r="AD277" s="12">
        <v>0</v>
      </c>
      <c r="AE277" s="12">
        <v>0</v>
      </c>
      <c r="AF277" s="12">
        <v>0</v>
      </c>
      <c r="AG277" s="12">
        <v>0</v>
      </c>
      <c r="AH277" s="12">
        <v>0</v>
      </c>
      <c r="AI277" s="12">
        <v>0</v>
      </c>
    </row>
    <row r="278" spans="1:35" x14ac:dyDescent="0.15">
      <c r="B278" s="12" t="s">
        <v>110</v>
      </c>
      <c r="C278" s="12">
        <v>0</v>
      </c>
      <c r="D278" s="12">
        <v>1.1823562447771931</v>
      </c>
      <c r="E278" s="12">
        <v>6.8988000893428536</v>
      </c>
      <c r="F278" s="12">
        <v>19.456018706496803</v>
      </c>
      <c r="G278" s="12">
        <v>42.615764358810317</v>
      </c>
      <c r="H278" s="12">
        <v>56.769186893415821</v>
      </c>
      <c r="I278" s="12">
        <v>58.118467081746694</v>
      </c>
      <c r="J278" s="12">
        <v>55.557082813264188</v>
      </c>
      <c r="K278" s="12">
        <v>53.025573680835066</v>
      </c>
      <c r="Z278" s="12" t="s">
        <v>37</v>
      </c>
      <c r="AA278" s="12">
        <v>4208.4756171318659</v>
      </c>
      <c r="AB278" s="12">
        <v>4294.9990535172519</v>
      </c>
      <c r="AC278" s="12">
        <v>3910.5900592405828</v>
      </c>
      <c r="AD278" s="12">
        <v>4026.9702987260262</v>
      </c>
      <c r="AE278" s="12">
        <v>4090.9422682633594</v>
      </c>
      <c r="AF278" s="12">
        <v>4105.5220059727153</v>
      </c>
      <c r="AG278" s="12">
        <v>4071.2521576316039</v>
      </c>
      <c r="AH278" s="12">
        <v>4205.4413899977108</v>
      </c>
      <c r="AI278" s="12">
        <v>4319.4616058803758</v>
      </c>
    </row>
    <row r="279" spans="1:35" x14ac:dyDescent="0.15">
      <c r="B279" s="12" t="s">
        <v>86</v>
      </c>
      <c r="C279" s="12">
        <v>912.29168395930742</v>
      </c>
      <c r="D279" s="12">
        <v>915.27138549669792</v>
      </c>
      <c r="E279" s="12">
        <v>879.31836663397507</v>
      </c>
      <c r="F279" s="12">
        <v>810.79830287192499</v>
      </c>
      <c r="G279" s="12">
        <v>686.75466776158157</v>
      </c>
      <c r="H279" s="12">
        <v>698.57952761149647</v>
      </c>
      <c r="I279" s="12">
        <v>631.2066076781814</v>
      </c>
      <c r="J279" s="12">
        <v>574.65756608370521</v>
      </c>
      <c r="K279" s="12">
        <v>532.72103690877179</v>
      </c>
      <c r="Z279" s="12" t="s">
        <v>145</v>
      </c>
      <c r="AA279" s="12">
        <v>0</v>
      </c>
      <c r="AB279" s="12">
        <v>0</v>
      </c>
      <c r="AC279" s="12">
        <v>0</v>
      </c>
      <c r="AD279" s="12">
        <v>0</v>
      </c>
      <c r="AE279" s="12">
        <v>0</v>
      </c>
      <c r="AF279" s="12">
        <v>0</v>
      </c>
      <c r="AG279" s="12">
        <v>0</v>
      </c>
      <c r="AH279" s="12">
        <v>0</v>
      </c>
      <c r="AI279" s="12">
        <v>0</v>
      </c>
    </row>
    <row r="280" spans="1:35" x14ac:dyDescent="0.15">
      <c r="B280" s="12" t="s">
        <v>111</v>
      </c>
      <c r="C280" s="12">
        <v>0</v>
      </c>
      <c r="D280" s="12">
        <v>1.6209467217076918</v>
      </c>
      <c r="E280" s="12">
        <v>11.381222838193882</v>
      </c>
      <c r="F280" s="12">
        <v>34.338326911334121</v>
      </c>
      <c r="G280" s="12">
        <v>71.704379555884955</v>
      </c>
      <c r="H280" s="12">
        <v>102.37599642257683</v>
      </c>
      <c r="I280" s="12">
        <v>103.96678040144057</v>
      </c>
      <c r="J280" s="12">
        <v>99.843737561826089</v>
      </c>
      <c r="K280" s="12">
        <v>85.08914945965347</v>
      </c>
      <c r="Z280" s="12" t="s">
        <v>146</v>
      </c>
      <c r="AA280" s="12">
        <v>0</v>
      </c>
      <c r="AB280" s="12">
        <v>0</v>
      </c>
      <c r="AC280" s="12">
        <v>0</v>
      </c>
      <c r="AD280" s="12">
        <v>0</v>
      </c>
      <c r="AE280" s="12">
        <v>0</v>
      </c>
      <c r="AF280" s="12">
        <v>0</v>
      </c>
      <c r="AG280" s="12">
        <v>0</v>
      </c>
      <c r="AH280" s="12">
        <v>0</v>
      </c>
      <c r="AI280" s="12">
        <v>0</v>
      </c>
    </row>
    <row r="281" spans="1:35" ht="15" x14ac:dyDescent="0.2">
      <c r="B281" s="12" t="s">
        <v>87</v>
      </c>
      <c r="C281" s="12">
        <v>315.57299999996201</v>
      </c>
      <c r="D281" s="12">
        <v>309.8330119279704</v>
      </c>
      <c r="E281" s="12">
        <v>337.33842519045112</v>
      </c>
      <c r="F281" s="12">
        <v>347.52119099544166</v>
      </c>
      <c r="G281" s="12">
        <v>372.54213849666371</v>
      </c>
      <c r="H281" s="12">
        <v>379.36233051981446</v>
      </c>
      <c r="I281" s="12">
        <v>377.51487906034822</v>
      </c>
      <c r="J281" s="12">
        <v>382.23276002180796</v>
      </c>
      <c r="K281" s="12">
        <v>383.51145910802188</v>
      </c>
      <c r="Z281" s="13"/>
      <c r="AA281" s="13">
        <v>4208.4756171318659</v>
      </c>
      <c r="AB281" s="13">
        <v>4294.9990535172519</v>
      </c>
      <c r="AC281" s="13">
        <v>3910.5900592405828</v>
      </c>
      <c r="AD281" s="13">
        <v>4026.9702987260262</v>
      </c>
      <c r="AE281" s="13">
        <v>4090.9422682633594</v>
      </c>
      <c r="AF281" s="13">
        <v>4105.5220059727153</v>
      </c>
      <c r="AG281" s="13">
        <v>4071.2521576316039</v>
      </c>
      <c r="AH281" s="13">
        <v>4205.4413899977108</v>
      </c>
      <c r="AI281" s="13">
        <v>4319.4616058803758</v>
      </c>
    </row>
    <row r="282" spans="1:35" x14ac:dyDescent="0.15">
      <c r="B282" s="12" t="s">
        <v>88</v>
      </c>
      <c r="C282" s="12">
        <v>87.663733555640789</v>
      </c>
      <c r="D282" s="12">
        <v>165.17137717985412</v>
      </c>
      <c r="E282" s="12">
        <v>180.09753261995067</v>
      </c>
      <c r="F282" s="12">
        <v>201.07725361055938</v>
      </c>
      <c r="G282" s="12">
        <v>235.7693294527667</v>
      </c>
      <c r="H282" s="12">
        <v>282.30617380933637</v>
      </c>
      <c r="I282" s="12">
        <v>340.0672811104169</v>
      </c>
      <c r="J282" s="12">
        <v>406.96907166874792</v>
      </c>
      <c r="K282" s="12">
        <v>447.00543430006599</v>
      </c>
    </row>
    <row r="283" spans="1:35" ht="19" x14ac:dyDescent="0.15">
      <c r="B283" s="12" t="s">
        <v>112</v>
      </c>
      <c r="C283" s="12">
        <v>0</v>
      </c>
      <c r="D283" s="12">
        <v>0.1199999851644271</v>
      </c>
      <c r="E283" s="12">
        <v>0.25934420273685316</v>
      </c>
      <c r="F283" s="12">
        <v>1.7342185460580244</v>
      </c>
      <c r="G283" s="12">
        <v>8.5828267103453335</v>
      </c>
      <c r="H283" s="12">
        <v>33.501635716940143</v>
      </c>
      <c r="I283" s="12">
        <v>58.49453944655496</v>
      </c>
      <c r="J283" s="12">
        <v>85.684675213386697</v>
      </c>
      <c r="K283" s="12">
        <v>117.26201180282069</v>
      </c>
      <c r="Y283" s="26" t="s">
        <v>183</v>
      </c>
      <c r="Z283" s="26"/>
      <c r="AA283" s="26"/>
      <c r="AB283" s="26"/>
      <c r="AC283" s="26"/>
      <c r="AD283" s="26"/>
      <c r="AE283" s="26"/>
      <c r="AF283" s="26"/>
      <c r="AG283" s="26"/>
      <c r="AH283" s="26"/>
      <c r="AI283" s="26"/>
    </row>
    <row r="284" spans="1:35" x14ac:dyDescent="0.15">
      <c r="B284" s="12" t="s">
        <v>113</v>
      </c>
      <c r="C284" s="12">
        <v>382.62947942164431</v>
      </c>
      <c r="D284" s="12">
        <v>451.97245157510793</v>
      </c>
      <c r="E284" s="12">
        <v>468.27131064114354</v>
      </c>
      <c r="F284" s="12">
        <v>474.26472537443777</v>
      </c>
      <c r="G284" s="12">
        <v>487.99107418655507</v>
      </c>
      <c r="H284" s="12">
        <v>501.59696412182836</v>
      </c>
      <c r="I284" s="12">
        <v>516.57652000177018</v>
      </c>
      <c r="J284" s="12">
        <v>533.7867615694862</v>
      </c>
      <c r="K284" s="12">
        <v>560.45591041213447</v>
      </c>
      <c r="Z284" s="12" t="s">
        <v>85</v>
      </c>
      <c r="AA284" s="12">
        <v>56.100631891199988</v>
      </c>
      <c r="AB284" s="12">
        <v>2.8035385778601829</v>
      </c>
      <c r="AC284" s="12">
        <v>0</v>
      </c>
      <c r="AD284" s="12">
        <v>0</v>
      </c>
      <c r="AE284" s="12">
        <v>0</v>
      </c>
      <c r="AF284" s="12">
        <v>0</v>
      </c>
      <c r="AG284" s="12">
        <v>0</v>
      </c>
      <c r="AH284" s="12">
        <v>0</v>
      </c>
      <c r="AI284" s="12">
        <v>0</v>
      </c>
    </row>
    <row r="285" spans="1:35" x14ac:dyDescent="0.15">
      <c r="B285" s="12" t="s">
        <v>94</v>
      </c>
      <c r="C285" s="12">
        <v>7.7971258821473999</v>
      </c>
      <c r="D285" s="12">
        <v>20.662248136863091</v>
      </c>
      <c r="E285" s="12">
        <v>27.01313657812085</v>
      </c>
      <c r="F285" s="12">
        <v>33.72967599148879</v>
      </c>
      <c r="G285" s="12">
        <v>41.51082718108762</v>
      </c>
      <c r="H285" s="12">
        <v>56.722360745471029</v>
      </c>
      <c r="I285" s="12">
        <v>67.590144991007179</v>
      </c>
      <c r="J285" s="12">
        <v>74.872195429086091</v>
      </c>
      <c r="K285" s="12">
        <v>94.189428776270816</v>
      </c>
      <c r="Z285" s="12" t="s">
        <v>144</v>
      </c>
      <c r="AA285" s="12">
        <v>839.38884310266189</v>
      </c>
      <c r="AB285" s="12">
        <v>492.25972851722179</v>
      </c>
      <c r="AC285" s="12">
        <v>318.14891389601911</v>
      </c>
      <c r="AD285" s="12">
        <v>258.75891744928788</v>
      </c>
      <c r="AE285" s="12">
        <v>193.70991567850189</v>
      </c>
      <c r="AF285" s="12">
        <v>124.66967911431843</v>
      </c>
      <c r="AG285" s="12">
        <v>52.472473432522143</v>
      </c>
      <c r="AH285" s="12">
        <v>38.671515992761485</v>
      </c>
      <c r="AI285" s="12">
        <v>26.700775332842738</v>
      </c>
    </row>
    <row r="286" spans="1:35" x14ac:dyDescent="0.15">
      <c r="B286" s="12" t="s">
        <v>114</v>
      </c>
      <c r="C286" s="12">
        <v>205.13517737459853</v>
      </c>
      <c r="D286" s="12">
        <v>492.21231172874496</v>
      </c>
      <c r="E286" s="12">
        <v>669.28628216370021</v>
      </c>
      <c r="F286" s="12">
        <v>807.57848476896061</v>
      </c>
      <c r="G286" s="12">
        <v>942.01906512973596</v>
      </c>
      <c r="H286" s="12">
        <v>1050.0212864868317</v>
      </c>
      <c r="I286" s="12">
        <v>1167.3571784911919</v>
      </c>
      <c r="J286" s="12">
        <v>1243.9112398831803</v>
      </c>
      <c r="K286" s="12">
        <v>1307.2853506425267</v>
      </c>
      <c r="Z286" s="12" t="s">
        <v>86</v>
      </c>
      <c r="AA286" s="12">
        <v>999.27765924186394</v>
      </c>
      <c r="AB286" s="12">
        <v>764.77010889524763</v>
      </c>
      <c r="AC286" s="12">
        <v>569.88748296758797</v>
      </c>
      <c r="AD286" s="12">
        <v>506.82100923645839</v>
      </c>
      <c r="AE286" s="12">
        <v>436.12030260772235</v>
      </c>
      <c r="AF286" s="12">
        <v>359.41489940984502</v>
      </c>
      <c r="AG286" s="12">
        <v>277.75343451533217</v>
      </c>
      <c r="AH286" s="12">
        <v>253.45254311763961</v>
      </c>
      <c r="AI286" s="12">
        <v>227.20542680499315</v>
      </c>
    </row>
    <row r="287" spans="1:35" x14ac:dyDescent="0.15">
      <c r="B287" s="12" t="s">
        <v>115</v>
      </c>
      <c r="C287" s="12">
        <v>8.1052999999999997</v>
      </c>
      <c r="D287" s="12">
        <v>37.474404605092644</v>
      </c>
      <c r="E287" s="12">
        <v>56.396938449626532</v>
      </c>
      <c r="F287" s="12">
        <v>78.032807818428751</v>
      </c>
      <c r="G287" s="12">
        <v>99.527530062586919</v>
      </c>
      <c r="H287" s="12">
        <v>121.84999116317179</v>
      </c>
      <c r="I287" s="12">
        <v>155.98641741026938</v>
      </c>
      <c r="J287" s="12">
        <v>195.18409914229014</v>
      </c>
      <c r="K287" s="12">
        <v>237.90177724150959</v>
      </c>
      <c r="Z287" s="12" t="s">
        <v>37</v>
      </c>
      <c r="AA287" s="12">
        <v>7399.9000695988834</v>
      </c>
      <c r="AB287" s="12">
        <v>8763.9192344985313</v>
      </c>
      <c r="AC287" s="12">
        <v>9606.9034673330189</v>
      </c>
      <c r="AD287" s="12">
        <v>10292.114808243552</v>
      </c>
      <c r="AE287" s="12">
        <v>10928.180060230665</v>
      </c>
      <c r="AF287" s="12">
        <v>11513.171672961778</v>
      </c>
      <c r="AG287" s="12">
        <v>12036.468059262264</v>
      </c>
      <c r="AH287" s="12">
        <v>12462.131262601215</v>
      </c>
      <c r="AI287" s="12">
        <v>12844.570629524876</v>
      </c>
    </row>
    <row r="288" spans="1:35" x14ac:dyDescent="0.15">
      <c r="B288" s="12" t="s">
        <v>96</v>
      </c>
      <c r="C288" s="12">
        <v>48.992138885854501</v>
      </c>
      <c r="D288" s="12">
        <v>168.08152757078713</v>
      </c>
      <c r="E288" s="12">
        <v>241.14046856117429</v>
      </c>
      <c r="F288" s="12">
        <v>344.72181968318603</v>
      </c>
      <c r="G288" s="12">
        <v>546.87195329277495</v>
      </c>
      <c r="H288" s="12">
        <v>745.45500558863864</v>
      </c>
      <c r="I288" s="12">
        <v>888.12657494503708</v>
      </c>
      <c r="J288" s="12">
        <v>1032.2440387835518</v>
      </c>
      <c r="K288" s="12">
        <v>1151.9186770104302</v>
      </c>
      <c r="Z288" s="12" t="s">
        <v>145</v>
      </c>
      <c r="AA288" s="12">
        <v>411.08837261348009</v>
      </c>
      <c r="AB288" s="12">
        <v>439.96950990909716</v>
      </c>
      <c r="AC288" s="12">
        <v>434.20458026487938</v>
      </c>
      <c r="AD288" s="12">
        <v>494.09295237622189</v>
      </c>
      <c r="AE288" s="12">
        <v>544.83259573676094</v>
      </c>
      <c r="AF288" s="12">
        <v>585.25706754765793</v>
      </c>
      <c r="AG288" s="12">
        <v>615.10335174712407</v>
      </c>
      <c r="AH288" s="12">
        <v>654.21611691362057</v>
      </c>
      <c r="AI288" s="12">
        <v>687.85512754703359</v>
      </c>
    </row>
    <row r="289" spans="1:35" x14ac:dyDescent="0.15">
      <c r="B289" s="12" t="s">
        <v>97</v>
      </c>
      <c r="C289" s="12">
        <v>1.7976985521614788</v>
      </c>
      <c r="D289" s="12">
        <v>15.348155149629712</v>
      </c>
      <c r="E289" s="12">
        <v>32.08704045521776</v>
      </c>
      <c r="F289" s="12">
        <v>62.233554676491423</v>
      </c>
      <c r="G289" s="12">
        <v>95.213989650036666</v>
      </c>
      <c r="H289" s="12">
        <v>123.88594096964607</v>
      </c>
      <c r="I289" s="12">
        <v>158.00720327877158</v>
      </c>
      <c r="J289" s="12">
        <v>196.83498320621368</v>
      </c>
      <c r="K289" s="12">
        <v>233.31479903929073</v>
      </c>
      <c r="Z289" s="12" t="s">
        <v>146</v>
      </c>
      <c r="AA289" s="12">
        <v>0</v>
      </c>
      <c r="AB289" s="12">
        <v>0</v>
      </c>
      <c r="AC289" s="12">
        <v>0</v>
      </c>
      <c r="AD289" s="12">
        <v>0</v>
      </c>
      <c r="AE289" s="12">
        <v>0</v>
      </c>
      <c r="AF289" s="12">
        <v>0</v>
      </c>
      <c r="AG289" s="12">
        <v>0</v>
      </c>
      <c r="AH289" s="12">
        <v>0</v>
      </c>
      <c r="AI289" s="12">
        <v>0</v>
      </c>
    </row>
    <row r="290" spans="1:35" ht="15" x14ac:dyDescent="0.2">
      <c r="B290" s="12" t="s">
        <v>98</v>
      </c>
      <c r="C290" s="12">
        <v>0.27734000000000003</v>
      </c>
      <c r="D290" s="12">
        <v>1.4157367036277106</v>
      </c>
      <c r="E290" s="12">
        <v>2.9774131537373312</v>
      </c>
      <c r="F290" s="12">
        <v>6.7485078506342138</v>
      </c>
      <c r="G290" s="12">
        <v>15.381527726562105</v>
      </c>
      <c r="H290" s="12">
        <v>33.580068410507295</v>
      </c>
      <c r="I290" s="12">
        <v>65.79586763459406</v>
      </c>
      <c r="J290" s="12">
        <v>101.88068138506915</v>
      </c>
      <c r="K290" s="12">
        <v>125.50432815597051</v>
      </c>
      <c r="Z290" s="13"/>
      <c r="AA290" s="13">
        <v>9705.7555764480894</v>
      </c>
      <c r="AB290" s="13">
        <v>10463.722120397957</v>
      </c>
      <c r="AC290" s="13">
        <v>10929.144444461504</v>
      </c>
      <c r="AD290" s="13">
        <v>11551.787687305521</v>
      </c>
      <c r="AE290" s="13">
        <v>12102.842874253651</v>
      </c>
      <c r="AF290" s="13">
        <v>12582.5133190336</v>
      </c>
      <c r="AG290" s="13">
        <v>12981.797318957242</v>
      </c>
      <c r="AH290" s="13">
        <v>13408.471438625236</v>
      </c>
      <c r="AI290" s="13">
        <v>13786.331959209747</v>
      </c>
    </row>
    <row r="291" spans="1:35" x14ac:dyDescent="0.15">
      <c r="B291" s="12" t="s">
        <v>90</v>
      </c>
      <c r="C291" s="12">
        <v>0</v>
      </c>
      <c r="D291" s="12">
        <v>0</v>
      </c>
      <c r="E291" s="12">
        <v>0</v>
      </c>
      <c r="F291" s="12">
        <v>0</v>
      </c>
      <c r="G291" s="12">
        <v>0</v>
      </c>
      <c r="H291" s="12">
        <v>0</v>
      </c>
      <c r="I291" s="12">
        <v>0</v>
      </c>
      <c r="J291" s="12">
        <v>0</v>
      </c>
      <c r="K291" s="12">
        <v>0</v>
      </c>
    </row>
    <row r="292" spans="1:35" ht="15" x14ac:dyDescent="0.2">
      <c r="A292" s="13"/>
      <c r="B292" s="13" t="s">
        <v>91</v>
      </c>
      <c r="C292" s="13">
        <v>2761.7566854914721</v>
      </c>
      <c r="D292" s="13">
        <v>3139.7445203867105</v>
      </c>
      <c r="E292" s="13">
        <v>3263.3775410872827</v>
      </c>
      <c r="F292" s="13">
        <v>3403.1402840893252</v>
      </c>
      <c r="G292" s="13">
        <v>3760.5024166708818</v>
      </c>
      <c r="H292" s="13">
        <v>4264.689059641617</v>
      </c>
      <c r="I292" s="13">
        <v>4659.6068330834041</v>
      </c>
      <c r="J292" s="13">
        <v>5051.8964114206146</v>
      </c>
      <c r="K292" s="13">
        <v>5379.2265130635924</v>
      </c>
    </row>
    <row r="293" spans="1:35" ht="15" x14ac:dyDescent="0.2">
      <c r="B293" s="17"/>
    </row>
    <row r="294" spans="1:35" ht="19" x14ac:dyDescent="0.15">
      <c r="A294" s="26" t="s">
        <v>117</v>
      </c>
      <c r="B294" s="26"/>
      <c r="C294" s="26"/>
      <c r="D294" s="26"/>
      <c r="E294" s="26"/>
      <c r="F294" s="26"/>
      <c r="G294" s="26"/>
      <c r="H294" s="26"/>
      <c r="I294" s="26"/>
      <c r="J294" s="26"/>
      <c r="K294" s="26"/>
    </row>
    <row r="295" spans="1:35" ht="14" x14ac:dyDescent="0.15">
      <c r="B295" s="18" t="s">
        <v>118</v>
      </c>
      <c r="C295" s="12">
        <v>1824.2559708218823</v>
      </c>
      <c r="D295" s="12">
        <v>1457.803173276589</v>
      </c>
      <c r="E295" s="12">
        <v>1198.6811222557394</v>
      </c>
      <c r="F295" s="12">
        <v>970.42322392682956</v>
      </c>
      <c r="G295" s="12">
        <v>810.1227534529437</v>
      </c>
      <c r="H295" s="12">
        <v>688.2502352440207</v>
      </c>
      <c r="I295" s="12">
        <v>550.91927349224625</v>
      </c>
      <c r="J295" s="12">
        <v>448.82144758997913</v>
      </c>
      <c r="K295" s="12">
        <v>347.37412208669303</v>
      </c>
    </row>
    <row r="296" spans="1:35" ht="28" x14ac:dyDescent="0.15">
      <c r="B296" s="18" t="s">
        <v>119</v>
      </c>
      <c r="C296" s="12">
        <v>1578.4946420000001</v>
      </c>
      <c r="D296" s="12">
        <v>1013.2971885636659</v>
      </c>
      <c r="E296" s="12">
        <v>788.87923259666411</v>
      </c>
      <c r="F296" s="12">
        <v>636.17375853755675</v>
      </c>
      <c r="G296" s="12">
        <v>518.77020749400799</v>
      </c>
      <c r="H296" s="12">
        <v>409.36801883493126</v>
      </c>
      <c r="I296" s="12">
        <v>304.39031710703762</v>
      </c>
      <c r="J296" s="12">
        <v>237.22876536261757</v>
      </c>
      <c r="K296" s="12">
        <v>192.76762312673529</v>
      </c>
    </row>
    <row r="297" spans="1:35" ht="14" x14ac:dyDescent="0.15">
      <c r="B297" s="18" t="s">
        <v>120</v>
      </c>
      <c r="C297" s="12">
        <v>3882.1327649999994</v>
      </c>
      <c r="D297" s="12">
        <v>2978.4361114224307</v>
      </c>
      <c r="E297" s="12">
        <v>2358.9022038223607</v>
      </c>
      <c r="F297" s="12">
        <v>1774.1276011896261</v>
      </c>
      <c r="G297" s="12">
        <v>1280.8077565558758</v>
      </c>
      <c r="H297" s="12">
        <v>912.84783628355581</v>
      </c>
      <c r="I297" s="12">
        <v>647.72663008293875</v>
      </c>
      <c r="J297" s="12">
        <v>431.99344883382582</v>
      </c>
      <c r="K297" s="12">
        <v>329.92780564552635</v>
      </c>
    </row>
    <row r="298" spans="1:35" ht="14" x14ac:dyDescent="0.15">
      <c r="B298" s="18" t="s">
        <v>29</v>
      </c>
      <c r="C298" s="12">
        <v>4734.122652</v>
      </c>
      <c r="D298" s="12">
        <v>2564.2861436198455</v>
      </c>
      <c r="E298" s="12">
        <v>1821.3861589863279</v>
      </c>
      <c r="F298" s="12">
        <v>1150.8107839438487</v>
      </c>
      <c r="G298" s="12">
        <v>593.17986449079842</v>
      </c>
      <c r="H298" s="12">
        <v>90.347307114415656</v>
      </c>
      <c r="I298" s="12">
        <v>-261.47838878489404</v>
      </c>
      <c r="J298" s="12">
        <v>-546.75830919122438</v>
      </c>
      <c r="K298" s="12">
        <v>-772.11671574694935</v>
      </c>
    </row>
    <row r="299" spans="1:35" ht="14" x14ac:dyDescent="0.15">
      <c r="B299" s="18" t="s">
        <v>121</v>
      </c>
      <c r="C299" s="12">
        <v>673.21731399999999</v>
      </c>
      <c r="D299" s="12">
        <v>439.25228256075951</v>
      </c>
      <c r="E299" s="12">
        <v>211.28131584006633</v>
      </c>
      <c r="F299" s="12">
        <v>25.627577326225541</v>
      </c>
      <c r="G299" s="12">
        <v>-173.09373239620939</v>
      </c>
      <c r="H299" s="12">
        <v>-363.61905929956561</v>
      </c>
      <c r="I299" s="12">
        <v>-429.10470786860185</v>
      </c>
      <c r="J299" s="12">
        <v>-712.47797982739155</v>
      </c>
      <c r="K299" s="12">
        <v>-701.17286232576862</v>
      </c>
    </row>
    <row r="300" spans="1:35" ht="16" x14ac:dyDescent="0.2">
      <c r="B300" s="19" t="s">
        <v>91</v>
      </c>
      <c r="C300" s="13">
        <v>12692.223343821881</v>
      </c>
      <c r="D300" s="13">
        <v>8453.0748994432906</v>
      </c>
      <c r="E300" s="13">
        <v>6379.1300335011583</v>
      </c>
      <c r="F300" s="13">
        <v>4557.1629449240872</v>
      </c>
      <c r="G300" s="13">
        <v>3029.7868495974167</v>
      </c>
      <c r="H300" s="13">
        <v>1737.1943381773578</v>
      </c>
      <c r="I300" s="13">
        <v>812.45312402872662</v>
      </c>
      <c r="J300" s="13">
        <v>-141.19262723219344</v>
      </c>
      <c r="K300" s="13">
        <v>-603.22002721376327</v>
      </c>
    </row>
    <row r="302" spans="1:35" ht="19" x14ac:dyDescent="0.15">
      <c r="A302" s="26" t="s">
        <v>122</v>
      </c>
      <c r="B302" s="26"/>
      <c r="C302" s="26"/>
      <c r="D302" s="26"/>
      <c r="E302" s="26"/>
      <c r="F302" s="26"/>
      <c r="G302" s="26"/>
      <c r="H302" s="26"/>
      <c r="I302" s="26"/>
      <c r="J302" s="26"/>
      <c r="K302" s="26"/>
    </row>
    <row r="303" spans="1:35" ht="14" x14ac:dyDescent="0.15">
      <c r="B303" s="18" t="s">
        <v>118</v>
      </c>
      <c r="C303" s="12">
        <v>0</v>
      </c>
      <c r="D303" s="12">
        <v>149.7284769925426</v>
      </c>
      <c r="E303" s="12">
        <v>251.17445288558775</v>
      </c>
      <c r="F303" s="12">
        <v>368.25109000530097</v>
      </c>
      <c r="G303" s="12">
        <v>444.57874620523432</v>
      </c>
      <c r="H303" s="12">
        <v>514.29445602228657</v>
      </c>
      <c r="I303" s="12">
        <v>607.68506348506548</v>
      </c>
      <c r="J303" s="12">
        <v>636.76623161995622</v>
      </c>
      <c r="K303" s="12">
        <v>670.85249240945768</v>
      </c>
    </row>
    <row r="304" spans="1:35" ht="14" x14ac:dyDescent="0.15">
      <c r="B304" s="18" t="s">
        <v>29</v>
      </c>
      <c r="C304" s="12">
        <v>0</v>
      </c>
      <c r="D304" s="12">
        <v>12.448571987439328</v>
      </c>
      <c r="E304" s="12">
        <v>78.160867039978868</v>
      </c>
      <c r="F304" s="12">
        <v>228.30336770804837</v>
      </c>
      <c r="G304" s="12">
        <v>521.68048097223482</v>
      </c>
      <c r="H304" s="12">
        <v>877.82949936968407</v>
      </c>
      <c r="I304" s="12">
        <v>1033.3879532666335</v>
      </c>
      <c r="J304" s="12">
        <v>1053.8862953249027</v>
      </c>
      <c r="K304" s="12">
        <v>1192.3557674573103</v>
      </c>
    </row>
    <row r="305" spans="1:12" ht="14" x14ac:dyDescent="0.15">
      <c r="B305" s="18" t="s">
        <v>121</v>
      </c>
      <c r="C305" s="12">
        <v>0</v>
      </c>
      <c r="D305" s="12">
        <v>70.622646185382777</v>
      </c>
      <c r="E305" s="12">
        <v>195.24862589513296</v>
      </c>
      <c r="F305" s="12">
        <v>304.18044282793676</v>
      </c>
      <c r="G305" s="12">
        <v>440.74420795798073</v>
      </c>
      <c r="H305" s="12">
        <v>570.58633976790111</v>
      </c>
      <c r="I305" s="12">
        <v>592.92065563688993</v>
      </c>
      <c r="J305" s="12">
        <v>827.17715809284232</v>
      </c>
      <c r="K305" s="12">
        <v>807.45823749795011</v>
      </c>
    </row>
    <row r="306" spans="1:12" ht="16" x14ac:dyDescent="0.2">
      <c r="B306" s="19" t="s">
        <v>91</v>
      </c>
      <c r="C306" s="13">
        <v>0</v>
      </c>
      <c r="D306" s="13">
        <v>232.79969516536471</v>
      </c>
      <c r="E306" s="13">
        <v>524.58394582069957</v>
      </c>
      <c r="F306" s="13">
        <v>900.73490054128615</v>
      </c>
      <c r="G306" s="13">
        <v>1407.0034351354498</v>
      </c>
      <c r="H306" s="13">
        <v>1962.7102951598717</v>
      </c>
      <c r="I306" s="13">
        <v>2233.9936723885889</v>
      </c>
      <c r="J306" s="13">
        <v>2517.829685037701</v>
      </c>
      <c r="K306" s="13">
        <v>2670.666497364718</v>
      </c>
    </row>
    <row r="308" spans="1:12" ht="19" x14ac:dyDescent="0.15">
      <c r="A308" s="26" t="s">
        <v>123</v>
      </c>
      <c r="B308" s="26"/>
      <c r="C308" s="26"/>
      <c r="D308" s="26"/>
      <c r="E308" s="26"/>
      <c r="F308" s="26"/>
      <c r="G308" s="26"/>
      <c r="H308" s="26"/>
      <c r="I308" s="26"/>
      <c r="J308" s="26"/>
      <c r="K308" s="26"/>
    </row>
    <row r="309" spans="1:12" x14ac:dyDescent="0.15">
      <c r="B309" s="12" t="s">
        <v>118</v>
      </c>
      <c r="C309" s="12">
        <v>0</v>
      </c>
      <c r="D309" s="12">
        <v>3.2505553037751622</v>
      </c>
      <c r="E309" s="12">
        <v>7.1992912291979962</v>
      </c>
      <c r="F309" s="12">
        <v>12.01189795521196</v>
      </c>
      <c r="G309" s="12">
        <v>20.86633330753352</v>
      </c>
      <c r="H309" s="12">
        <v>33.067001727889519</v>
      </c>
      <c r="I309" s="12">
        <v>47.117183720104023</v>
      </c>
      <c r="J309" s="12">
        <v>42.756318171001936</v>
      </c>
      <c r="K309" s="12">
        <v>46.573820069921751</v>
      </c>
    </row>
    <row r="310" spans="1:12" x14ac:dyDescent="0.15">
      <c r="B310" s="12" t="s">
        <v>29</v>
      </c>
      <c r="C310" s="12">
        <v>0</v>
      </c>
      <c r="D310" s="12">
        <v>0</v>
      </c>
      <c r="E310" s="12">
        <v>0.874840465350045</v>
      </c>
      <c r="F310" s="12">
        <v>6.5907277826102835</v>
      </c>
      <c r="G310" s="12">
        <v>48.94040617162058</v>
      </c>
      <c r="H310" s="12">
        <v>219.76809755110875</v>
      </c>
      <c r="I310" s="12">
        <v>392.0260835186923</v>
      </c>
      <c r="J310" s="12">
        <v>605.42644849009912</v>
      </c>
      <c r="K310" s="12">
        <v>817.48613766491735</v>
      </c>
    </row>
    <row r="311" spans="1:12" x14ac:dyDescent="0.15">
      <c r="B311" s="12" t="s">
        <v>121</v>
      </c>
      <c r="C311" s="12">
        <v>0</v>
      </c>
      <c r="D311" s="12">
        <v>63.670290271140807</v>
      </c>
      <c r="E311" s="12">
        <v>182.02056193075518</v>
      </c>
      <c r="F311" s="12">
        <v>282.67594241930203</v>
      </c>
      <c r="G311" s="12">
        <v>414.58426727278641</v>
      </c>
      <c r="H311" s="12">
        <v>542.47402440416056</v>
      </c>
      <c r="I311" s="12">
        <v>560.3611537714437</v>
      </c>
      <c r="J311" s="12">
        <v>802.27045077995126</v>
      </c>
      <c r="K311" s="12">
        <v>784.6506123576163</v>
      </c>
    </row>
    <row r="312" spans="1:12" ht="15" x14ac:dyDescent="0.2">
      <c r="B312" s="35" t="s">
        <v>91</v>
      </c>
      <c r="C312" s="13">
        <v>0</v>
      </c>
      <c r="D312" s="13">
        <v>66.920845574915973</v>
      </c>
      <c r="E312" s="13">
        <v>190.09469362530322</v>
      </c>
      <c r="F312" s="13">
        <v>301.27856815712425</v>
      </c>
      <c r="G312" s="13">
        <v>484.39100675194049</v>
      </c>
      <c r="H312" s="13">
        <v>795.30912368315876</v>
      </c>
      <c r="I312" s="13">
        <v>999.50442101024009</v>
      </c>
      <c r="J312" s="13">
        <v>1450.4532174410524</v>
      </c>
      <c r="K312" s="13">
        <v>1648.7105700924553</v>
      </c>
    </row>
    <row r="315" spans="1:12" ht="29" x14ac:dyDescent="0.15">
      <c r="A315" s="9"/>
      <c r="B315" s="9"/>
      <c r="C315" s="9"/>
      <c r="D315" s="9" t="s">
        <v>188</v>
      </c>
      <c r="E315" s="9"/>
      <c r="F315" s="9"/>
      <c r="G315" s="9"/>
      <c r="H315" s="9"/>
      <c r="I315" s="9"/>
      <c r="J315" s="9"/>
      <c r="K315" s="9"/>
      <c r="L315" s="36"/>
    </row>
    <row r="316" spans="1:12" ht="19" x14ac:dyDescent="0.15">
      <c r="A316" s="32"/>
      <c r="B316" s="32"/>
      <c r="C316" s="33">
        <v>2014</v>
      </c>
      <c r="D316" s="33">
        <v>2025</v>
      </c>
      <c r="E316" s="33">
        <v>2030</v>
      </c>
      <c r="F316" s="33">
        <v>2035</v>
      </c>
      <c r="G316" s="33">
        <v>2040</v>
      </c>
      <c r="H316" s="33">
        <v>2045</v>
      </c>
      <c r="I316" s="33">
        <v>2050</v>
      </c>
      <c r="J316" s="33">
        <v>2055</v>
      </c>
      <c r="K316" s="33">
        <v>2060</v>
      </c>
      <c r="L316" s="37"/>
    </row>
    <row r="317" spans="1:12" ht="15" x14ac:dyDescent="0.2">
      <c r="A317" s="10"/>
      <c r="B317" s="10"/>
      <c r="C317" s="11"/>
      <c r="D317" s="11"/>
      <c r="E317" s="11"/>
      <c r="F317" s="11"/>
      <c r="G317" s="11"/>
      <c r="H317" s="11"/>
      <c r="I317" s="11"/>
      <c r="J317" s="11"/>
      <c r="K317" s="11"/>
      <c r="L317" s="38"/>
    </row>
    <row r="318" spans="1:12" ht="19" x14ac:dyDescent="0.2">
      <c r="A318" s="26" t="s">
        <v>83</v>
      </c>
      <c r="B318" s="26"/>
      <c r="C318" s="26"/>
      <c r="D318" s="26"/>
      <c r="E318" s="26"/>
      <c r="F318" s="26"/>
      <c r="G318" s="26"/>
      <c r="H318" s="26"/>
      <c r="I318" s="26"/>
      <c r="J318" s="26"/>
      <c r="K318" s="26"/>
      <c r="L318" s="39"/>
    </row>
    <row r="319" spans="1:12" x14ac:dyDescent="0.15">
      <c r="B319" s="12" t="s">
        <v>84</v>
      </c>
      <c r="C319" s="12">
        <v>93707.969347728009</v>
      </c>
      <c r="D319" s="12">
        <v>94289.13523876133</v>
      </c>
      <c r="E319" s="12">
        <v>90192.646665571636</v>
      </c>
      <c r="F319" s="12">
        <v>83780.952181282293</v>
      </c>
      <c r="G319" s="12">
        <v>75694.533646474141</v>
      </c>
      <c r="H319" s="12">
        <v>66787.096957921574</v>
      </c>
      <c r="I319" s="12">
        <v>59066.419968152033</v>
      </c>
      <c r="J319" s="12">
        <v>52042.181755529549</v>
      </c>
      <c r="K319" s="12">
        <v>47235.571168419898</v>
      </c>
      <c r="L319" s="40"/>
    </row>
    <row r="320" spans="1:12" x14ac:dyDescent="0.15">
      <c r="B320" s="12" t="s">
        <v>85</v>
      </c>
      <c r="C320" s="12">
        <v>121642.81714796399</v>
      </c>
      <c r="D320" s="12">
        <v>83501.731713639165</v>
      </c>
      <c r="E320" s="12">
        <v>63416.800657929751</v>
      </c>
      <c r="F320" s="12">
        <v>50408.398672728668</v>
      </c>
      <c r="G320" s="12">
        <v>45196.553610100411</v>
      </c>
      <c r="H320" s="12">
        <v>43982.190691997755</v>
      </c>
      <c r="I320" s="12">
        <v>35970.303610445073</v>
      </c>
      <c r="J320" s="12">
        <v>32764.207295520831</v>
      </c>
      <c r="K320" s="12">
        <v>30032.648206704216</v>
      </c>
      <c r="L320" s="40"/>
    </row>
    <row r="321" spans="1:12" x14ac:dyDescent="0.15">
      <c r="B321" s="12" t="s">
        <v>86</v>
      </c>
      <c r="C321" s="12">
        <v>65132.078045544018</v>
      </c>
      <c r="D321" s="12">
        <v>79377.323878805037</v>
      </c>
      <c r="E321" s="12">
        <v>80905.779088973301</v>
      </c>
      <c r="F321" s="12">
        <v>78442.359383683666</v>
      </c>
      <c r="G321" s="12">
        <v>67536.498593871758</v>
      </c>
      <c r="H321" s="12">
        <v>52603.903986261314</v>
      </c>
      <c r="I321" s="12">
        <v>46691.971261272985</v>
      </c>
      <c r="J321" s="12">
        <v>46189.198474683704</v>
      </c>
      <c r="K321" s="12">
        <v>49540.205644496542</v>
      </c>
      <c r="L321" s="40"/>
    </row>
    <row r="322" spans="1:12" x14ac:dyDescent="0.15">
      <c r="B322" s="12" t="s">
        <v>87</v>
      </c>
      <c r="C322" s="12">
        <v>6074.214045480001</v>
      </c>
      <c r="D322" s="12">
        <v>17143.243659493186</v>
      </c>
      <c r="E322" s="12">
        <v>24834.057459675249</v>
      </c>
      <c r="F322" s="12">
        <v>31822.8455950635</v>
      </c>
      <c r="G322" s="12">
        <v>37374.415638384024</v>
      </c>
      <c r="H322" s="12">
        <v>42772.601792987189</v>
      </c>
      <c r="I322" s="12">
        <v>47323.037877199844</v>
      </c>
      <c r="J322" s="12">
        <v>51340.935283429462</v>
      </c>
      <c r="K322" s="12">
        <v>54910.485202273187</v>
      </c>
      <c r="L322" s="40"/>
    </row>
    <row r="323" spans="1:12" x14ac:dyDescent="0.15">
      <c r="B323" s="12" t="s">
        <v>88</v>
      </c>
      <c r="C323" s="12">
        <v>42086.382469332006</v>
      </c>
      <c r="D323" s="12">
        <v>60151.773695857402</v>
      </c>
      <c r="E323" s="12">
        <v>68018.357617829577</v>
      </c>
      <c r="F323" s="12">
        <v>76957.649935825801</v>
      </c>
      <c r="G323" s="12">
        <v>88677.195601480489</v>
      </c>
      <c r="H323" s="12">
        <v>98285.387317100947</v>
      </c>
      <c r="I323" s="12">
        <v>103976.58925763836</v>
      </c>
      <c r="J323" s="12">
        <v>107290.93392811972</v>
      </c>
      <c r="K323" s="12">
        <v>106563.58001387971</v>
      </c>
      <c r="L323" s="40"/>
    </row>
    <row r="324" spans="1:12" x14ac:dyDescent="0.15">
      <c r="B324" s="12" t="s">
        <v>89</v>
      </c>
      <c r="C324" s="12">
        <v>8972.425946016001</v>
      </c>
      <c r="D324" s="12">
        <v>12674.332819185602</v>
      </c>
      <c r="E324" s="12">
        <v>14483.643539335819</v>
      </c>
      <c r="F324" s="12">
        <v>15874.108896162728</v>
      </c>
      <c r="G324" s="12">
        <v>17977.870098529595</v>
      </c>
      <c r="H324" s="12">
        <v>20038.772962997631</v>
      </c>
      <c r="I324" s="12">
        <v>22062.139177295805</v>
      </c>
      <c r="J324" s="12">
        <v>24124.621422769404</v>
      </c>
      <c r="K324" s="12">
        <v>26234.426735469475</v>
      </c>
      <c r="L324" s="40"/>
    </row>
    <row r="325" spans="1:12" x14ac:dyDescent="0.15">
      <c r="B325" s="12" t="s">
        <v>90</v>
      </c>
      <c r="C325" s="12">
        <v>3601.8682849800002</v>
      </c>
      <c r="D325" s="12">
        <v>17271.730184106611</v>
      </c>
      <c r="E325" s="12">
        <v>29574.032204031711</v>
      </c>
      <c r="F325" s="12">
        <v>45317.416893837377</v>
      </c>
      <c r="G325" s="12">
        <v>61623.251179897292</v>
      </c>
      <c r="H325" s="12">
        <v>78447.422372951376</v>
      </c>
      <c r="I325" s="12">
        <v>97125.402009344471</v>
      </c>
      <c r="J325" s="12">
        <v>115382.05403151864</v>
      </c>
      <c r="K325" s="12">
        <v>134834.14899373334</v>
      </c>
      <c r="L325" s="40"/>
    </row>
    <row r="326" spans="1:12" ht="15" x14ac:dyDescent="0.2">
      <c r="B326" s="13" t="s">
        <v>91</v>
      </c>
      <c r="C326" s="13">
        <v>341217.75528704404</v>
      </c>
      <c r="D326" s="13">
        <v>364409.27118984831</v>
      </c>
      <c r="E326" s="13">
        <v>371425.31723334704</v>
      </c>
      <c r="F326" s="13">
        <v>382603.73155858403</v>
      </c>
      <c r="G326" s="13">
        <v>394080.31836873776</v>
      </c>
      <c r="H326" s="13">
        <v>402917.37608221779</v>
      </c>
      <c r="I326" s="13">
        <v>412215.86316134856</v>
      </c>
      <c r="J326" s="13">
        <v>429134.13219157129</v>
      </c>
      <c r="K326" s="13">
        <v>449351.06596497638</v>
      </c>
      <c r="L326" s="40"/>
    </row>
    <row r="327" spans="1:12" ht="15" x14ac:dyDescent="0.2">
      <c r="A327" s="14"/>
      <c r="B327" s="15" t="s">
        <v>92</v>
      </c>
      <c r="C327" s="14">
        <v>0</v>
      </c>
      <c r="D327" s="14">
        <v>54490.836492704802</v>
      </c>
      <c r="E327" s="14">
        <v>61202.666843136394</v>
      </c>
      <c r="F327" s="14">
        <v>68432.030556246173</v>
      </c>
      <c r="G327" s="14">
        <v>77320.003274843431</v>
      </c>
      <c r="H327" s="14">
        <v>84535.17067669367</v>
      </c>
      <c r="I327" s="14">
        <v>88847.046951299781</v>
      </c>
      <c r="J327" s="14">
        <v>91016.434011791105</v>
      </c>
      <c r="K327" s="14">
        <v>89782.704482504865</v>
      </c>
      <c r="L327" s="40"/>
    </row>
    <row r="328" spans="1:12" x14ac:dyDescent="0.15">
      <c r="L328" s="40"/>
    </row>
    <row r="329" spans="1:12" ht="19" x14ac:dyDescent="0.2">
      <c r="A329" s="26" t="s">
        <v>93</v>
      </c>
      <c r="B329" s="26"/>
      <c r="C329" s="26"/>
      <c r="D329" s="26"/>
      <c r="E329" s="26"/>
      <c r="F329" s="26"/>
      <c r="G329" s="26"/>
      <c r="H329" s="26"/>
      <c r="I329" s="26"/>
      <c r="J329" s="26"/>
      <c r="K329" s="26"/>
      <c r="L329" s="39"/>
    </row>
    <row r="330" spans="1:12" x14ac:dyDescent="0.15">
      <c r="B330" s="12" t="s">
        <v>84</v>
      </c>
      <c r="C330" s="12">
        <v>8820.1397208240014</v>
      </c>
      <c r="D330" s="12">
        <v>4953.9015284283578</v>
      </c>
      <c r="E330" s="12">
        <v>3289.8722604842037</v>
      </c>
      <c r="F330" s="12">
        <v>2303.944880029786</v>
      </c>
      <c r="G330" s="12">
        <v>1892.642860804782</v>
      </c>
      <c r="H330" s="12">
        <v>1367.7580477613328</v>
      </c>
      <c r="I330" s="12">
        <v>822.82909093473745</v>
      </c>
      <c r="J330" s="12">
        <v>474.63392503072066</v>
      </c>
      <c r="K330" s="12">
        <v>141.41658570422661</v>
      </c>
      <c r="L330" s="40"/>
    </row>
    <row r="331" spans="1:12" x14ac:dyDescent="0.15">
      <c r="B331" s="12" t="s">
        <v>85</v>
      </c>
      <c r="C331" s="12">
        <v>67220.78460087601</v>
      </c>
      <c r="D331" s="12">
        <v>43124.810826587018</v>
      </c>
      <c r="E331" s="12">
        <v>28926.508430754919</v>
      </c>
      <c r="F331" s="12">
        <v>19270.591260366091</v>
      </c>
      <c r="G331" s="12">
        <v>17140.895924484372</v>
      </c>
      <c r="H331" s="12">
        <v>18748.440483140435</v>
      </c>
      <c r="I331" s="12">
        <v>13069.92711916583</v>
      </c>
      <c r="J331" s="12">
        <v>11562.530772399263</v>
      </c>
      <c r="K331" s="12">
        <v>11298.111809336793</v>
      </c>
      <c r="L331" s="40"/>
    </row>
    <row r="332" spans="1:12" x14ac:dyDescent="0.15">
      <c r="B332" s="12" t="s">
        <v>86</v>
      </c>
      <c r="C332" s="12">
        <v>28510.647099876001</v>
      </c>
      <c r="D332" s="12">
        <v>37046.969129032761</v>
      </c>
      <c r="E332" s="12">
        <v>40456.005141384485</v>
      </c>
      <c r="F332" s="12">
        <v>40189.166808868307</v>
      </c>
      <c r="G332" s="12">
        <v>31651.858383626623</v>
      </c>
      <c r="H332" s="12">
        <v>18057.197836941305</v>
      </c>
      <c r="I332" s="12">
        <v>13343.273658014688</v>
      </c>
      <c r="J332" s="12">
        <v>12356.002713161039</v>
      </c>
      <c r="K332" s="12">
        <v>16014.855969370907</v>
      </c>
      <c r="L332" s="40"/>
    </row>
    <row r="333" spans="1:12" x14ac:dyDescent="0.15">
      <c r="B333" s="12" t="s">
        <v>87</v>
      </c>
      <c r="C333" s="12">
        <v>6074.2140454800001</v>
      </c>
      <c r="D333" s="12">
        <v>17143.243659190139</v>
      </c>
      <c r="E333" s="12">
        <v>24834.05745967531</v>
      </c>
      <c r="F333" s="12">
        <v>31822.845515818422</v>
      </c>
      <c r="G333" s="12">
        <v>37374.415621717315</v>
      </c>
      <c r="H333" s="12">
        <v>42772.601753711802</v>
      </c>
      <c r="I333" s="12">
        <v>47323.037844281738</v>
      </c>
      <c r="J333" s="12">
        <v>51340.935275653188</v>
      </c>
      <c r="K333" s="12">
        <v>54910.485184134974</v>
      </c>
      <c r="L333" s="40"/>
    </row>
    <row r="334" spans="1:12" x14ac:dyDescent="0.15">
      <c r="B334" s="12" t="s">
        <v>88</v>
      </c>
      <c r="C334" s="12">
        <v>2701.3627577880006</v>
      </c>
      <c r="D334" s="12">
        <v>10799.002283081642</v>
      </c>
      <c r="E334" s="12">
        <v>14729.292583055842</v>
      </c>
      <c r="F334" s="12">
        <v>19490.205995354543</v>
      </c>
      <c r="G334" s="12">
        <v>25047.286357705932</v>
      </c>
      <c r="H334" s="12">
        <v>28661.359721162386</v>
      </c>
      <c r="I334" s="12">
        <v>30844.383407971203</v>
      </c>
      <c r="J334" s="12">
        <v>31431.74761561464</v>
      </c>
      <c r="K334" s="12">
        <v>28538.177899740367</v>
      </c>
      <c r="L334" s="40"/>
    </row>
    <row r="335" spans="1:12" x14ac:dyDescent="0.15">
      <c r="B335" s="12" t="s">
        <v>89</v>
      </c>
      <c r="C335" s="12">
        <v>8972.4259460159992</v>
      </c>
      <c r="D335" s="12">
        <v>13037.334841035858</v>
      </c>
      <c r="E335" s="12">
        <v>14846.645541450123</v>
      </c>
      <c r="F335" s="12">
        <v>16306.063473155207</v>
      </c>
      <c r="G335" s="12">
        <v>18694.97505770616</v>
      </c>
      <c r="H335" s="12">
        <v>23114.432572660538</v>
      </c>
      <c r="I335" s="12">
        <v>27338.759761507088</v>
      </c>
      <c r="J335" s="12">
        <v>31517.661191976669</v>
      </c>
      <c r="K335" s="12">
        <v>35713.097002910363</v>
      </c>
      <c r="L335" s="40"/>
    </row>
    <row r="336" spans="1:12" x14ac:dyDescent="0.15">
      <c r="B336" s="12" t="s">
        <v>94</v>
      </c>
      <c r="C336" s="12">
        <v>1387.7643061080003</v>
      </c>
      <c r="D336" s="12">
        <v>4157.1671035730196</v>
      </c>
      <c r="E336" s="12">
        <v>6610.6060644378413</v>
      </c>
      <c r="F336" s="12">
        <v>9909.3480765957611</v>
      </c>
      <c r="G336" s="12">
        <v>13337.912718278183</v>
      </c>
      <c r="H336" s="12">
        <v>16951.45319771552</v>
      </c>
      <c r="I336" s="12">
        <v>20822.538515135726</v>
      </c>
      <c r="J336" s="12">
        <v>24793.284480466085</v>
      </c>
      <c r="K336" s="12">
        <v>28912.745602155606</v>
      </c>
      <c r="L336" s="40"/>
    </row>
    <row r="337" spans="1:12" x14ac:dyDescent="0.15">
      <c r="B337" s="12" t="s">
        <v>95</v>
      </c>
      <c r="C337" s="12">
        <v>826.4161656</v>
      </c>
      <c r="D337" s="12">
        <v>5426.3521173461886</v>
      </c>
      <c r="E337" s="12">
        <v>8639.9506341224042</v>
      </c>
      <c r="F337" s="12">
        <v>11556.820315030356</v>
      </c>
      <c r="G337" s="12">
        <v>14107.93563986856</v>
      </c>
      <c r="H337" s="12">
        <v>16270.436468796825</v>
      </c>
      <c r="I337" s="12">
        <v>18989.921457328539</v>
      </c>
      <c r="J337" s="12">
        <v>21319.028873154493</v>
      </c>
      <c r="K337" s="12">
        <v>23566.439310104182</v>
      </c>
      <c r="L337" s="40"/>
    </row>
    <row r="338" spans="1:12" x14ac:dyDescent="0.15">
      <c r="B338" s="12" t="s">
        <v>96</v>
      </c>
      <c r="C338" s="12">
        <v>152.94832574400002</v>
      </c>
      <c r="D338" s="12">
        <v>2108.7783752845321</v>
      </c>
      <c r="E338" s="12">
        <v>3672.8751136264996</v>
      </c>
      <c r="F338" s="12">
        <v>6156.6172512798967</v>
      </c>
      <c r="G338" s="12">
        <v>8893.2233799405622</v>
      </c>
      <c r="H338" s="12">
        <v>12493.573310340864</v>
      </c>
      <c r="I338" s="12">
        <v>16357.552469828015</v>
      </c>
      <c r="J338" s="12">
        <v>20960.520375571414</v>
      </c>
      <c r="K338" s="12">
        <v>26090.129176533937</v>
      </c>
      <c r="L338" s="40"/>
    </row>
    <row r="339" spans="1:12" x14ac:dyDescent="0.15">
      <c r="B339" s="12" t="s">
        <v>97</v>
      </c>
      <c r="C339" s="12">
        <v>3.738268116</v>
      </c>
      <c r="D339" s="12">
        <v>2404.8396640506853</v>
      </c>
      <c r="E339" s="12">
        <v>5863.5378415811183</v>
      </c>
      <c r="F339" s="12">
        <v>11452.580010526557</v>
      </c>
      <c r="G339" s="12">
        <v>17848.812097734251</v>
      </c>
      <c r="H339" s="12">
        <v>24059.81009822349</v>
      </c>
      <c r="I339" s="12">
        <v>30835.478092621168</v>
      </c>
      <c r="J339" s="12">
        <v>36593.488601687226</v>
      </c>
      <c r="K339" s="12">
        <v>43151.952310878936</v>
      </c>
      <c r="L339" s="40"/>
    </row>
    <row r="340" spans="1:12" x14ac:dyDescent="0.15">
      <c r="B340" s="12" t="s">
        <v>98</v>
      </c>
      <c r="C340" s="12">
        <v>2.8805184000000001E-2</v>
      </c>
      <c r="D340" s="12">
        <v>1.6742878444880647</v>
      </c>
      <c r="E340" s="12">
        <v>7.5383951168936294</v>
      </c>
      <c r="F340" s="12">
        <v>39.873675907300438</v>
      </c>
      <c r="G340" s="12">
        <v>114.19983520643945</v>
      </c>
      <c r="H340" s="12">
        <v>338.27401104524392</v>
      </c>
      <c r="I340" s="12">
        <v>827.0322685004935</v>
      </c>
      <c r="J340" s="12">
        <v>1279.3481647757869</v>
      </c>
      <c r="K340" s="12">
        <v>1644.7078946615352</v>
      </c>
      <c r="L340" s="40"/>
    </row>
    <row r="341" spans="1:12" x14ac:dyDescent="0.15">
      <c r="B341" s="12" t="s">
        <v>99</v>
      </c>
      <c r="C341" s="12">
        <v>0</v>
      </c>
      <c r="D341" s="12">
        <v>0</v>
      </c>
      <c r="E341" s="12">
        <v>0</v>
      </c>
      <c r="F341" s="12">
        <v>0</v>
      </c>
      <c r="G341" s="12">
        <v>0</v>
      </c>
      <c r="H341" s="12">
        <v>0</v>
      </c>
      <c r="I341" s="12">
        <v>0</v>
      </c>
      <c r="J341" s="12">
        <v>0</v>
      </c>
      <c r="K341" s="12">
        <v>0</v>
      </c>
      <c r="L341" s="40"/>
    </row>
    <row r="342" spans="1:12" x14ac:dyDescent="0.15">
      <c r="B342" s="12" t="s">
        <v>90</v>
      </c>
      <c r="C342" s="12">
        <v>0</v>
      </c>
      <c r="D342" s="12">
        <v>0</v>
      </c>
      <c r="E342" s="12">
        <v>0</v>
      </c>
      <c r="F342" s="12">
        <v>0</v>
      </c>
      <c r="G342" s="12">
        <v>0</v>
      </c>
      <c r="H342" s="12">
        <v>0</v>
      </c>
      <c r="I342" s="12">
        <v>0</v>
      </c>
      <c r="J342" s="12">
        <v>0</v>
      </c>
      <c r="K342" s="12">
        <v>0</v>
      </c>
      <c r="L342" s="40"/>
    </row>
    <row r="343" spans="1:12" ht="15" x14ac:dyDescent="0.2">
      <c r="A343" s="13"/>
      <c r="B343" s="13" t="s">
        <v>91</v>
      </c>
      <c r="C343" s="13">
        <v>124670.470041612</v>
      </c>
      <c r="D343" s="13">
        <v>140204.0738154547</v>
      </c>
      <c r="E343" s="13">
        <v>151876.88946568963</v>
      </c>
      <c r="F343" s="13">
        <v>168498.05726293221</v>
      </c>
      <c r="G343" s="13">
        <v>186104.15787707316</v>
      </c>
      <c r="H343" s="13">
        <v>202835.33750149977</v>
      </c>
      <c r="I343" s="13">
        <v>220574.73368528925</v>
      </c>
      <c r="J343" s="13">
        <v>243629.18198949049</v>
      </c>
      <c r="K343" s="13">
        <v>269982.11874553183</v>
      </c>
      <c r="L343" s="41"/>
    </row>
    <row r="344" spans="1:12" x14ac:dyDescent="0.15">
      <c r="L344" s="40"/>
    </row>
    <row r="345" spans="1:12" ht="19" x14ac:dyDescent="0.2">
      <c r="A345" s="26" t="s">
        <v>100</v>
      </c>
      <c r="B345" s="26"/>
      <c r="C345" s="26"/>
      <c r="D345" s="26"/>
      <c r="E345" s="26"/>
      <c r="F345" s="26"/>
      <c r="G345" s="26"/>
      <c r="H345" s="26"/>
      <c r="I345" s="26"/>
      <c r="J345" s="26"/>
      <c r="K345" s="26"/>
      <c r="L345" s="39"/>
    </row>
    <row r="346" spans="1:12" x14ac:dyDescent="0.15">
      <c r="B346" s="12" t="s">
        <v>84</v>
      </c>
      <c r="C346" s="12">
        <v>78909.18502734002</v>
      </c>
      <c r="D346" s="12">
        <v>86261.208219181543</v>
      </c>
      <c r="E346" s="12">
        <v>83652.297854653996</v>
      </c>
      <c r="F346" s="12">
        <v>78849.100973675639</v>
      </c>
      <c r="G346" s="12">
        <v>71608.422116120651</v>
      </c>
      <c r="H346" s="12">
        <v>63649.124560331918</v>
      </c>
      <c r="I346" s="12">
        <v>56619.672353346323</v>
      </c>
      <c r="J346" s="12">
        <v>50009.219196913677</v>
      </c>
      <c r="K346" s="12">
        <v>45574.669520786294</v>
      </c>
      <c r="L346" s="40"/>
    </row>
    <row r="347" spans="1:12" x14ac:dyDescent="0.15">
      <c r="B347" s="12" t="s">
        <v>85</v>
      </c>
      <c r="C347" s="12">
        <v>52524.65479683601</v>
      </c>
      <c r="D347" s="12">
        <v>38590.097806391423</v>
      </c>
      <c r="E347" s="12">
        <v>33630.931803014071</v>
      </c>
      <c r="F347" s="12">
        <v>30557.341001998626</v>
      </c>
      <c r="G347" s="12">
        <v>27590.931140740675</v>
      </c>
      <c r="H347" s="12">
        <v>24828.60012140149</v>
      </c>
      <c r="I347" s="12">
        <v>22716.555388361459</v>
      </c>
      <c r="J347" s="12">
        <v>21118.114588507771</v>
      </c>
      <c r="K347" s="12">
        <v>18747.323925278943</v>
      </c>
      <c r="L347" s="40"/>
    </row>
    <row r="348" spans="1:12" x14ac:dyDescent="0.15">
      <c r="B348" s="12" t="s">
        <v>86</v>
      </c>
      <c r="C348" s="12">
        <v>27171.863162136004</v>
      </c>
      <c r="D348" s="12">
        <v>34116.84013901843</v>
      </c>
      <c r="E348" s="12">
        <v>32515.424497331602</v>
      </c>
      <c r="F348" s="12">
        <v>31663.194748567454</v>
      </c>
      <c r="G348" s="12">
        <v>30835.112199437481</v>
      </c>
      <c r="H348" s="12">
        <v>30988.148564077317</v>
      </c>
      <c r="I348" s="12">
        <v>30322.860795154305</v>
      </c>
      <c r="J348" s="12">
        <v>31198.94569649503</v>
      </c>
      <c r="K348" s="12">
        <v>31041.487306688821</v>
      </c>
      <c r="L348" s="40"/>
    </row>
    <row r="349" spans="1:12" x14ac:dyDescent="0.15">
      <c r="B349" s="12" t="s">
        <v>37</v>
      </c>
      <c r="C349" s="12">
        <v>37748.599525080004</v>
      </c>
      <c r="D349" s="12">
        <v>52091.77454041734</v>
      </c>
      <c r="E349" s="12">
        <v>59394.460813343023</v>
      </c>
      <c r="F349" s="12">
        <v>67391.509336560586</v>
      </c>
      <c r="G349" s="12">
        <v>75433.493489514396</v>
      </c>
      <c r="H349" s="12">
        <v>83227.647596788491</v>
      </c>
      <c r="I349" s="12">
        <v>92073.675475430064</v>
      </c>
      <c r="J349" s="12">
        <v>101980.93390375376</v>
      </c>
      <c r="K349" s="12">
        <v>112890.37615784285</v>
      </c>
      <c r="L349" s="40"/>
    </row>
    <row r="350" spans="1:12" x14ac:dyDescent="0.15">
      <c r="B350" s="12" t="s">
        <v>101</v>
      </c>
      <c r="C350" s="12">
        <v>9073.8772597800016</v>
      </c>
      <c r="D350" s="12">
        <v>9939.3802794995809</v>
      </c>
      <c r="E350" s="12">
        <v>9213.2004920863455</v>
      </c>
      <c r="F350" s="12">
        <v>9035.9078641732704</v>
      </c>
      <c r="G350" s="12">
        <v>8391.9617034542825</v>
      </c>
      <c r="H350" s="12">
        <v>8159.4065135080255</v>
      </c>
      <c r="I350" s="12">
        <v>8049.917236200532</v>
      </c>
      <c r="J350" s="12">
        <v>8112.1672141494755</v>
      </c>
      <c r="K350" s="12">
        <v>8315.1922868007696</v>
      </c>
      <c r="L350" s="40"/>
    </row>
    <row r="351" spans="1:12" x14ac:dyDescent="0.15">
      <c r="B351" s="12" t="s">
        <v>88</v>
      </c>
      <c r="C351" s="12">
        <v>33656.530382988007</v>
      </c>
      <c r="D351" s="12">
        <v>42125.973953271256</v>
      </c>
      <c r="E351" s="12">
        <v>45241.207582383686</v>
      </c>
      <c r="F351" s="12">
        <v>47639.187039132034</v>
      </c>
      <c r="G351" s="12">
        <v>49739.7553888408</v>
      </c>
      <c r="H351" s="12">
        <v>52054.393357169887</v>
      </c>
      <c r="I351" s="12">
        <v>53723.046430417351</v>
      </c>
      <c r="J351" s="12">
        <v>54742.320090639827</v>
      </c>
      <c r="K351" s="12">
        <v>54995.813124978726</v>
      </c>
      <c r="L351" s="40"/>
    </row>
    <row r="352" spans="1:12" x14ac:dyDescent="0.15">
      <c r="B352" s="12" t="s">
        <v>99</v>
      </c>
      <c r="C352" s="12">
        <v>0</v>
      </c>
      <c r="D352" s="12">
        <v>24.044025143500406</v>
      </c>
      <c r="E352" s="12">
        <v>66.125250172812358</v>
      </c>
      <c r="F352" s="12">
        <v>129.21520928304381</v>
      </c>
      <c r="G352" s="12">
        <v>209.20918729321207</v>
      </c>
      <c r="H352" s="12">
        <v>314.60577063395544</v>
      </c>
      <c r="I352" s="12">
        <v>430.63805037808658</v>
      </c>
      <c r="J352" s="12">
        <v>534.6253447404514</v>
      </c>
      <c r="K352" s="12">
        <v>621.19366164682287</v>
      </c>
      <c r="L352" s="40"/>
    </row>
    <row r="353" spans="1:12" x14ac:dyDescent="0.15">
      <c r="B353" s="12" t="s">
        <v>90</v>
      </c>
      <c r="C353" s="12">
        <v>1106.0514906480003</v>
      </c>
      <c r="D353" s="12">
        <v>3068.2406651094184</v>
      </c>
      <c r="E353" s="12">
        <v>4672.7225214507043</v>
      </c>
      <c r="F353" s="12">
        <v>6085.4039878107087</v>
      </c>
      <c r="G353" s="12">
        <v>7206.7827783402518</v>
      </c>
      <c r="H353" s="12">
        <v>8179.6851570996514</v>
      </c>
      <c r="I353" s="12">
        <v>9028.0908341092781</v>
      </c>
      <c r="J353" s="12">
        <v>10037.75214400314</v>
      </c>
      <c r="K353" s="12">
        <v>10855.059426441643</v>
      </c>
      <c r="L353" s="40"/>
    </row>
    <row r="354" spans="1:12" ht="15" x14ac:dyDescent="0.2">
      <c r="B354" s="13" t="s">
        <v>91</v>
      </c>
      <c r="C354" s="13">
        <v>240190.76164480808</v>
      </c>
      <c r="D354" s="13">
        <v>266217.55962803244</v>
      </c>
      <c r="E354" s="13">
        <v>268386.37081443629</v>
      </c>
      <c r="F354" s="13">
        <v>271350.86016120139</v>
      </c>
      <c r="G354" s="13">
        <v>271015.66800374177</v>
      </c>
      <c r="H354" s="13">
        <v>271401.61164101074</v>
      </c>
      <c r="I354" s="13">
        <v>272964.45656339737</v>
      </c>
      <c r="J354" s="13">
        <v>277734.07817920309</v>
      </c>
      <c r="K354" s="13">
        <v>283041.11541046482</v>
      </c>
      <c r="L354" s="40"/>
    </row>
    <row r="355" spans="1:12" x14ac:dyDescent="0.15">
      <c r="L355" s="40"/>
    </row>
    <row r="356" spans="1:12" ht="19" x14ac:dyDescent="0.2">
      <c r="A356" s="26" t="s">
        <v>102</v>
      </c>
      <c r="B356" s="26"/>
      <c r="C356" s="26"/>
      <c r="D356" s="26"/>
      <c r="E356" s="26"/>
      <c r="F356" s="26"/>
      <c r="G356" s="26"/>
      <c r="H356" s="26"/>
      <c r="I356" s="26"/>
      <c r="J356" s="26"/>
      <c r="K356" s="26"/>
      <c r="L356" s="39"/>
    </row>
    <row r="357" spans="1:12" x14ac:dyDescent="0.15">
      <c r="B357" s="12" t="s">
        <v>84</v>
      </c>
      <c r="C357" s="12">
        <v>8690.7565476719992</v>
      </c>
      <c r="D357" s="12">
        <v>7781.589118102348</v>
      </c>
      <c r="E357" s="12">
        <v>7354.1797134374856</v>
      </c>
      <c r="F357" s="12">
        <v>7205.9597735391344</v>
      </c>
      <c r="G357" s="12">
        <v>7351.7305493852446</v>
      </c>
      <c r="H357" s="12">
        <v>6931.1916243669311</v>
      </c>
      <c r="I357" s="12">
        <v>6414.6332254446761</v>
      </c>
      <c r="J357" s="12">
        <v>5864.7229023757982</v>
      </c>
      <c r="K357" s="12">
        <v>5171.0318798138751</v>
      </c>
      <c r="L357" s="40"/>
    </row>
    <row r="358" spans="1:12" x14ac:dyDescent="0.15">
      <c r="B358" s="12" t="s">
        <v>85</v>
      </c>
      <c r="C358" s="12">
        <v>42796.969403004012</v>
      </c>
      <c r="D358" s="12">
        <v>32440.45499846949</v>
      </c>
      <c r="E358" s="12">
        <v>28825.911045087963</v>
      </c>
      <c r="F358" s="12">
        <v>26385.174044069001</v>
      </c>
      <c r="G358" s="12">
        <v>23922.209653400314</v>
      </c>
      <c r="H358" s="12">
        <v>21525.512654643335</v>
      </c>
      <c r="I358" s="12">
        <v>19671.419352309647</v>
      </c>
      <c r="J358" s="12">
        <v>18112.857037997175</v>
      </c>
      <c r="K358" s="12">
        <v>15758.633096966729</v>
      </c>
      <c r="L358" s="40"/>
    </row>
    <row r="359" spans="1:12" x14ac:dyDescent="0.15">
      <c r="B359" s="12" t="s">
        <v>86</v>
      </c>
      <c r="C359" s="12">
        <v>11806.901269055999</v>
      </c>
      <c r="D359" s="12">
        <v>18763.924844135625</v>
      </c>
      <c r="E359" s="12">
        <v>18966.746718111466</v>
      </c>
      <c r="F359" s="12">
        <v>19760.602322746898</v>
      </c>
      <c r="G359" s="12">
        <v>20036.985962736762</v>
      </c>
      <c r="H359" s="12">
        <v>20254.383961397314</v>
      </c>
      <c r="I359" s="12">
        <v>20523.165577480482</v>
      </c>
      <c r="J359" s="12">
        <v>21759.690060841593</v>
      </c>
      <c r="K359" s="12">
        <v>22346.26090738313</v>
      </c>
      <c r="L359" s="40"/>
    </row>
    <row r="360" spans="1:12" x14ac:dyDescent="0.15">
      <c r="B360" s="12" t="s">
        <v>37</v>
      </c>
      <c r="C360" s="12">
        <v>19625.864819904004</v>
      </c>
      <c r="D360" s="12">
        <v>23944.662432854933</v>
      </c>
      <c r="E360" s="12">
        <v>25436.955640167474</v>
      </c>
      <c r="F360" s="12">
        <v>26989.142943995877</v>
      </c>
      <c r="G360" s="12">
        <v>28011.780836364207</v>
      </c>
      <c r="H360" s="12">
        <v>28712.537929976075</v>
      </c>
      <c r="I360" s="12">
        <v>30198.344359004135</v>
      </c>
      <c r="J360" s="12">
        <v>32372.64868883396</v>
      </c>
      <c r="K360" s="12">
        <v>36136.197951494396</v>
      </c>
      <c r="L360" s="40"/>
    </row>
    <row r="361" spans="1:12" x14ac:dyDescent="0.15">
      <c r="B361" s="12" t="s">
        <v>101</v>
      </c>
      <c r="C361" s="12">
        <v>4143.6217409400006</v>
      </c>
      <c r="D361" s="12">
        <v>4646.414054020036</v>
      </c>
      <c r="E361" s="12">
        <v>4193.8484052815102</v>
      </c>
      <c r="F361" s="12">
        <v>4000.483117189156</v>
      </c>
      <c r="G361" s="12">
        <v>3431.0903114262346</v>
      </c>
      <c r="H361" s="12">
        <v>3372.8423026093801</v>
      </c>
      <c r="I361" s="12">
        <v>3463.7330300311846</v>
      </c>
      <c r="J361" s="12">
        <v>3768.3178638362874</v>
      </c>
      <c r="K361" s="12">
        <v>4207.6300785147678</v>
      </c>
      <c r="L361" s="40"/>
    </row>
    <row r="362" spans="1:12" x14ac:dyDescent="0.15">
      <c r="B362" s="12" t="s">
        <v>88</v>
      </c>
      <c r="C362" s="12">
        <v>4838.5280480760002</v>
      </c>
      <c r="D362" s="12">
        <v>7434.2578424315434</v>
      </c>
      <c r="E362" s="12">
        <v>9070.4944955173833</v>
      </c>
      <c r="F362" s="12">
        <v>10306.752127687963</v>
      </c>
      <c r="G362" s="12">
        <v>11418.329645170026</v>
      </c>
      <c r="H362" s="12">
        <v>12959.867256494583</v>
      </c>
      <c r="I362" s="12">
        <v>14622.734070968938</v>
      </c>
      <c r="J362" s="12">
        <v>15915.458020691574</v>
      </c>
      <c r="K362" s="12">
        <v>17991.214312577064</v>
      </c>
      <c r="L362" s="40"/>
    </row>
    <row r="363" spans="1:12" x14ac:dyDescent="0.15">
      <c r="B363" s="12" t="s">
        <v>99</v>
      </c>
      <c r="C363" s="12">
        <v>0</v>
      </c>
      <c r="D363" s="12">
        <v>0</v>
      </c>
      <c r="E363" s="12">
        <v>0</v>
      </c>
      <c r="F363" s="12">
        <v>0</v>
      </c>
      <c r="G363" s="12">
        <v>0</v>
      </c>
      <c r="H363" s="12">
        <v>0</v>
      </c>
      <c r="I363" s="12">
        <v>0</v>
      </c>
      <c r="J363" s="12">
        <v>0</v>
      </c>
      <c r="K363" s="12">
        <v>0</v>
      </c>
      <c r="L363" s="40"/>
    </row>
    <row r="364" spans="1:12" x14ac:dyDescent="0.15">
      <c r="B364" s="12" t="s">
        <v>90</v>
      </c>
      <c r="C364" s="12">
        <v>9.7691023080000008</v>
      </c>
      <c r="D364" s="12">
        <v>481.4941482232673</v>
      </c>
      <c r="E364" s="12">
        <v>1114.95586835373</v>
      </c>
      <c r="F364" s="12">
        <v>1636.9866555355277</v>
      </c>
      <c r="G364" s="12">
        <v>2022.7960021711979</v>
      </c>
      <c r="H364" s="12">
        <v>2353.9718678236027</v>
      </c>
      <c r="I364" s="12">
        <v>2590.6539379009419</v>
      </c>
      <c r="J364" s="12">
        <v>2965.2348369470587</v>
      </c>
      <c r="K364" s="12">
        <v>3176.271117834468</v>
      </c>
      <c r="L364" s="40"/>
    </row>
    <row r="365" spans="1:12" ht="15" x14ac:dyDescent="0.2">
      <c r="B365" s="13" t="s">
        <v>91</v>
      </c>
      <c r="C365" s="13">
        <v>91912.410930960003</v>
      </c>
      <c r="D365" s="13">
        <v>95492.797438237234</v>
      </c>
      <c r="E365" s="13">
        <v>94963.091885957008</v>
      </c>
      <c r="F365" s="13">
        <v>96285.100984763558</v>
      </c>
      <c r="G365" s="13">
        <v>96194.922960653988</v>
      </c>
      <c r="H365" s="13">
        <v>96110.307597311228</v>
      </c>
      <c r="I365" s="13">
        <v>97484.683553140014</v>
      </c>
      <c r="J365" s="13">
        <v>100758.92941152344</v>
      </c>
      <c r="K365" s="13">
        <v>104787.23934458442</v>
      </c>
      <c r="L365" s="40"/>
    </row>
    <row r="366" spans="1:12" x14ac:dyDescent="0.15">
      <c r="L366" s="40"/>
    </row>
    <row r="367" spans="1:12" ht="19" x14ac:dyDescent="0.2">
      <c r="A367" s="26" t="s">
        <v>103</v>
      </c>
      <c r="B367" s="26"/>
      <c r="C367" s="26"/>
      <c r="D367" s="26"/>
      <c r="E367" s="26"/>
      <c r="F367" s="26"/>
      <c r="G367" s="26"/>
      <c r="H367" s="26"/>
      <c r="I367" s="26"/>
      <c r="J367" s="26"/>
      <c r="K367" s="26"/>
      <c r="L367" s="39"/>
    </row>
    <row r="368" spans="1:12" ht="15" x14ac:dyDescent="0.2">
      <c r="B368" s="13" t="s">
        <v>91</v>
      </c>
      <c r="C368" s="13">
        <v>20279.850725484001</v>
      </c>
      <c r="D368" s="13">
        <v>25298.3558261117</v>
      </c>
      <c r="E368" s="13">
        <v>28071.247023520533</v>
      </c>
      <c r="F368" s="13">
        <v>30746.889983962883</v>
      </c>
      <c r="G368" s="13">
        <v>32659.588256165145</v>
      </c>
      <c r="H368" s="13">
        <v>33752.455625127302</v>
      </c>
      <c r="I368" s="13">
        <v>34171.810347799685</v>
      </c>
      <c r="J368" s="13">
        <v>35063.462284214263</v>
      </c>
      <c r="K368" s="13">
        <v>35261.675466913664</v>
      </c>
      <c r="L368" s="40"/>
    </row>
    <row r="369" spans="1:12" x14ac:dyDescent="0.15">
      <c r="L369" s="40"/>
    </row>
    <row r="370" spans="1:12" ht="19" x14ac:dyDescent="0.2">
      <c r="A370" s="26" t="s">
        <v>104</v>
      </c>
      <c r="B370" s="26"/>
      <c r="C370" s="26"/>
      <c r="D370" s="26"/>
      <c r="E370" s="26"/>
      <c r="F370" s="26"/>
      <c r="G370" s="26"/>
      <c r="H370" s="26"/>
      <c r="I370" s="26"/>
      <c r="J370" s="26"/>
      <c r="K370" s="26"/>
      <c r="L370" s="39"/>
    </row>
    <row r="371" spans="1:12" x14ac:dyDescent="0.15">
      <c r="B371" s="12" t="s">
        <v>84</v>
      </c>
      <c r="C371" s="12">
        <v>47470.33166612401</v>
      </c>
      <c r="D371" s="12">
        <v>52687.108851126934</v>
      </c>
      <c r="E371" s="12">
        <v>50652.677455494682</v>
      </c>
      <c r="F371" s="12">
        <v>45815.486040297714</v>
      </c>
      <c r="G371" s="12">
        <v>38424.739113994779</v>
      </c>
      <c r="H371" s="12">
        <v>31416.362557412296</v>
      </c>
      <c r="I371" s="12">
        <v>25141.899429619083</v>
      </c>
      <c r="J371" s="12">
        <v>18946.391230993286</v>
      </c>
      <c r="K371" s="12">
        <v>15142.409568853247</v>
      </c>
      <c r="L371" s="40"/>
    </row>
    <row r="372" spans="1:12" x14ac:dyDescent="0.15">
      <c r="B372" s="12" t="s">
        <v>85</v>
      </c>
      <c r="C372" s="12">
        <v>119.515011156</v>
      </c>
      <c r="D372" s="12">
        <v>0</v>
      </c>
      <c r="E372" s="12">
        <v>0</v>
      </c>
      <c r="F372" s="12">
        <v>0</v>
      </c>
      <c r="G372" s="12">
        <v>0</v>
      </c>
      <c r="H372" s="12">
        <v>0</v>
      </c>
      <c r="I372" s="12">
        <v>0</v>
      </c>
      <c r="J372" s="12">
        <v>0</v>
      </c>
      <c r="K372" s="12">
        <v>0</v>
      </c>
      <c r="L372" s="40"/>
    </row>
    <row r="373" spans="1:12" x14ac:dyDescent="0.15">
      <c r="B373" s="12" t="s">
        <v>86</v>
      </c>
      <c r="C373" s="12">
        <v>1467.1403819280001</v>
      </c>
      <c r="D373" s="12">
        <v>2737.7330887014332</v>
      </c>
      <c r="E373" s="12">
        <v>1611.9403451618816</v>
      </c>
      <c r="F373" s="12">
        <v>714.12509058137948</v>
      </c>
      <c r="G373" s="12">
        <v>164.48276667973698</v>
      </c>
      <c r="H373" s="12">
        <v>61.176337573749478</v>
      </c>
      <c r="I373" s="12">
        <v>35.341700917017064</v>
      </c>
      <c r="J373" s="12">
        <v>1.7169992935398892</v>
      </c>
      <c r="K373" s="12">
        <v>7.5997925989143989E-4</v>
      </c>
      <c r="L373" s="40"/>
    </row>
    <row r="374" spans="1:12" x14ac:dyDescent="0.15">
      <c r="B374" s="12" t="s">
        <v>37</v>
      </c>
      <c r="C374" s="12">
        <v>618.728151024</v>
      </c>
      <c r="D374" s="12">
        <v>1819.4920512423614</v>
      </c>
      <c r="E374" s="12">
        <v>3056.0221542426134</v>
      </c>
      <c r="F374" s="12">
        <v>5074.7790761713859</v>
      </c>
      <c r="G374" s="12">
        <v>8162.8994817933963</v>
      </c>
      <c r="H374" s="12">
        <v>11951.772323532483</v>
      </c>
      <c r="I374" s="12">
        <v>16565.047185091382</v>
      </c>
      <c r="J374" s="12">
        <v>21478.594576639603</v>
      </c>
      <c r="K374" s="12">
        <v>26079.080626092808</v>
      </c>
      <c r="L374" s="40"/>
    </row>
    <row r="375" spans="1:12" x14ac:dyDescent="0.15">
      <c r="B375" s="12" t="s">
        <v>105</v>
      </c>
      <c r="C375" s="12">
        <v>956.00302632000012</v>
      </c>
      <c r="D375" s="12">
        <v>4453.11146746124</v>
      </c>
      <c r="E375" s="12">
        <v>6476.4525895684046</v>
      </c>
      <c r="F375" s="12">
        <v>8761.3967882033121</v>
      </c>
      <c r="G375" s="12">
        <v>11117.327103068099</v>
      </c>
      <c r="H375" s="12">
        <v>13745.691433146518</v>
      </c>
      <c r="I375" s="12">
        <v>15211.062457320359</v>
      </c>
      <c r="J375" s="12">
        <v>16419.686636976578</v>
      </c>
      <c r="K375" s="12">
        <v>16551.937800017953</v>
      </c>
      <c r="L375" s="40"/>
    </row>
    <row r="376" spans="1:12" x14ac:dyDescent="0.15">
      <c r="B376" s="12" t="s">
        <v>99</v>
      </c>
      <c r="C376" s="12">
        <v>0</v>
      </c>
      <c r="D376" s="12">
        <v>24.044025143500406</v>
      </c>
      <c r="E376" s="12">
        <v>66.125250172812358</v>
      </c>
      <c r="F376" s="12">
        <v>129.21520928304381</v>
      </c>
      <c r="G376" s="12">
        <v>209.20918729321207</v>
      </c>
      <c r="H376" s="12">
        <v>314.60577063395544</v>
      </c>
      <c r="I376" s="12">
        <v>430.63805037808658</v>
      </c>
      <c r="J376" s="12">
        <v>534.6253447404514</v>
      </c>
      <c r="K376" s="12">
        <v>621.19366164682287</v>
      </c>
      <c r="L376" s="40"/>
    </row>
    <row r="377" spans="1:12" ht="15" x14ac:dyDescent="0.2">
      <c r="A377" s="13"/>
      <c r="B377" s="13" t="s">
        <v>91</v>
      </c>
      <c r="C377" s="13">
        <v>50631.718236552013</v>
      </c>
      <c r="D377" s="13">
        <v>61721.489483675468</v>
      </c>
      <c r="E377" s="13">
        <v>61863.217794640397</v>
      </c>
      <c r="F377" s="13">
        <v>60495.002204536831</v>
      </c>
      <c r="G377" s="13">
        <v>58078.657652829221</v>
      </c>
      <c r="H377" s="13">
        <v>57489.608422299003</v>
      </c>
      <c r="I377" s="13">
        <v>57383.988823325926</v>
      </c>
      <c r="J377" s="13">
        <v>57381.014788643464</v>
      </c>
      <c r="K377" s="13">
        <v>58394.622416590086</v>
      </c>
      <c r="L377" s="41"/>
    </row>
    <row r="378" spans="1:12" x14ac:dyDescent="0.15">
      <c r="L378" s="40"/>
    </row>
    <row r="379" spans="1:12" ht="19" x14ac:dyDescent="0.2">
      <c r="A379" s="26" t="s">
        <v>106</v>
      </c>
      <c r="B379" s="26"/>
      <c r="C379" s="26"/>
      <c r="D379" s="26"/>
      <c r="E379" s="26"/>
      <c r="F379" s="26"/>
      <c r="G379" s="26"/>
      <c r="H379" s="26"/>
      <c r="I379" s="26"/>
      <c r="J379" s="26"/>
      <c r="K379" s="26"/>
      <c r="L379" s="39"/>
    </row>
    <row r="380" spans="1:12" x14ac:dyDescent="0.15">
      <c r="B380" s="12" t="s">
        <v>84</v>
      </c>
      <c r="C380" s="12">
        <v>5220.0160756560008</v>
      </c>
      <c r="D380" s="12">
        <v>4268.7254095883645</v>
      </c>
      <c r="E380" s="12">
        <v>2831.3612798899499</v>
      </c>
      <c r="F380" s="12">
        <v>1796.1990120942851</v>
      </c>
      <c r="G380" s="12">
        <v>1237.5183020061918</v>
      </c>
      <c r="H380" s="12">
        <v>964.46861810581106</v>
      </c>
      <c r="I380" s="12">
        <v>773.54986428553832</v>
      </c>
      <c r="J380" s="12">
        <v>565.19234323443857</v>
      </c>
      <c r="K380" s="12">
        <v>381.62534527084347</v>
      </c>
      <c r="L380" s="40"/>
    </row>
    <row r="381" spans="1:12" x14ac:dyDescent="0.15">
      <c r="B381" s="12" t="s">
        <v>85</v>
      </c>
      <c r="C381" s="12">
        <v>4115.9892377520009</v>
      </c>
      <c r="D381" s="12">
        <v>1491.4121851896189</v>
      </c>
      <c r="E381" s="12">
        <v>729.4267279341708</v>
      </c>
      <c r="F381" s="12">
        <v>351.24791162803655</v>
      </c>
      <c r="G381" s="12">
        <v>172.23140190368764</v>
      </c>
      <c r="H381" s="12">
        <v>111.27812574255162</v>
      </c>
      <c r="I381" s="12">
        <v>61.810937385931901</v>
      </c>
      <c r="J381" s="12">
        <v>33.065313972374852</v>
      </c>
      <c r="K381" s="12">
        <v>24.079621212623248</v>
      </c>
      <c r="L381" s="40"/>
    </row>
    <row r="382" spans="1:12" x14ac:dyDescent="0.15">
      <c r="B382" s="12" t="s">
        <v>86</v>
      </c>
      <c r="C382" s="12">
        <v>6916.0704593400005</v>
      </c>
      <c r="D382" s="12">
        <v>6915.1759107409644</v>
      </c>
      <c r="E382" s="12">
        <v>5950.0308979170986</v>
      </c>
      <c r="F382" s="12">
        <v>4497.2332906629572</v>
      </c>
      <c r="G382" s="12">
        <v>3410.3506366398419</v>
      </c>
      <c r="H382" s="12">
        <v>2630.4529375834404</v>
      </c>
      <c r="I382" s="12">
        <v>1915.2621415476078</v>
      </c>
      <c r="J382" s="12">
        <v>1363.6230620443778</v>
      </c>
      <c r="K382" s="12">
        <v>1032.2881780725193</v>
      </c>
      <c r="L382" s="40"/>
    </row>
    <row r="383" spans="1:12" x14ac:dyDescent="0.15">
      <c r="B383" s="12" t="s">
        <v>37</v>
      </c>
      <c r="C383" s="12">
        <v>8756.1314200079996</v>
      </c>
      <c r="D383" s="12">
        <v>15756.332920819594</v>
      </c>
      <c r="E383" s="12">
        <v>19388.108651656094</v>
      </c>
      <c r="F383" s="12">
        <v>22888.213577035473</v>
      </c>
      <c r="G383" s="12">
        <v>26108.147422360849</v>
      </c>
      <c r="H383" s="12">
        <v>28951.687395137757</v>
      </c>
      <c r="I383" s="12">
        <v>31442.500857244962</v>
      </c>
      <c r="J383" s="12">
        <v>33823.494514280479</v>
      </c>
      <c r="K383" s="12">
        <v>36215.371521279063</v>
      </c>
      <c r="L383" s="40"/>
    </row>
    <row r="384" spans="1:12" x14ac:dyDescent="0.15">
      <c r="B384" s="12" t="s">
        <v>101</v>
      </c>
      <c r="C384" s="12">
        <v>3528.6597839880005</v>
      </c>
      <c r="D384" s="12">
        <v>4043.1874325614081</v>
      </c>
      <c r="E384" s="12">
        <v>3764.5566494729946</v>
      </c>
      <c r="F384" s="12">
        <v>3764.4899960458051</v>
      </c>
      <c r="G384" s="12">
        <v>3692.1098385774362</v>
      </c>
      <c r="H384" s="12">
        <v>3534.7327919158579</v>
      </c>
      <c r="I384" s="12">
        <v>3369.9185788877908</v>
      </c>
      <c r="J384" s="12">
        <v>3180.9945170007436</v>
      </c>
      <c r="K384" s="12">
        <v>3006.0798156090286</v>
      </c>
      <c r="L384" s="40"/>
    </row>
    <row r="385" spans="1:12" x14ac:dyDescent="0.15">
      <c r="B385" s="12" t="s">
        <v>88</v>
      </c>
      <c r="C385" s="12">
        <v>26868.967385712003</v>
      </c>
      <c r="D385" s="12">
        <v>28682.612730502515</v>
      </c>
      <c r="E385" s="12">
        <v>27715.430134398113</v>
      </c>
      <c r="F385" s="12">
        <v>26139.26617222936</v>
      </c>
      <c r="G385" s="12">
        <v>24348.409443871449</v>
      </c>
      <c r="H385" s="12">
        <v>22286.006560961869</v>
      </c>
      <c r="I385" s="12">
        <v>20659.415087314905</v>
      </c>
      <c r="J385" s="12">
        <v>19019.801257638435</v>
      </c>
      <c r="K385" s="12">
        <v>16897.225124909928</v>
      </c>
      <c r="L385" s="40"/>
    </row>
    <row r="386" spans="1:12" x14ac:dyDescent="0.15">
      <c r="B386" s="12" t="s">
        <v>99</v>
      </c>
      <c r="C386" s="12">
        <v>0</v>
      </c>
      <c r="D386" s="12">
        <v>0</v>
      </c>
      <c r="E386" s="12">
        <v>0</v>
      </c>
      <c r="F386" s="12">
        <v>0</v>
      </c>
      <c r="G386" s="12">
        <v>0</v>
      </c>
      <c r="H386" s="12">
        <v>0</v>
      </c>
      <c r="I386" s="12">
        <v>0</v>
      </c>
      <c r="J386" s="12">
        <v>0</v>
      </c>
      <c r="K386" s="12">
        <v>0</v>
      </c>
      <c r="L386" s="40"/>
    </row>
    <row r="387" spans="1:12" x14ac:dyDescent="0.15">
      <c r="B387" s="12" t="s">
        <v>90</v>
      </c>
      <c r="C387" s="12">
        <v>889.80896469600009</v>
      </c>
      <c r="D387" s="12">
        <v>1968.3709692818813</v>
      </c>
      <c r="E387" s="12">
        <v>2646.4616870973318</v>
      </c>
      <c r="F387" s="12">
        <v>3232.8884856128661</v>
      </c>
      <c r="G387" s="12">
        <v>3658.3329287391839</v>
      </c>
      <c r="H387" s="12">
        <v>4025.584822589562</v>
      </c>
      <c r="I387" s="12">
        <v>4369.4738589992294</v>
      </c>
      <c r="J387" s="12">
        <v>4680.6461223463848</v>
      </c>
      <c r="K387" s="12">
        <v>4982.0817814390339</v>
      </c>
      <c r="L387" s="40"/>
    </row>
    <row r="388" spans="1:12" ht="15" x14ac:dyDescent="0.2">
      <c r="B388" s="13" t="s">
        <v>91</v>
      </c>
      <c r="C388" s="13">
        <v>56295.643327152007</v>
      </c>
      <c r="D388" s="13">
        <v>63125.817558684343</v>
      </c>
      <c r="E388" s="13">
        <v>63025.376028365754</v>
      </c>
      <c r="F388" s="13">
        <v>62669.538445308783</v>
      </c>
      <c r="G388" s="13">
        <v>62627.099974098644</v>
      </c>
      <c r="H388" s="13">
        <v>62504.211252036846</v>
      </c>
      <c r="I388" s="13">
        <v>62591.931325665959</v>
      </c>
      <c r="J388" s="13">
        <v>62666.817130517229</v>
      </c>
      <c r="K388" s="13">
        <v>62538.75138779304</v>
      </c>
      <c r="L388" s="40"/>
    </row>
    <row r="389" spans="1:12" ht="15" x14ac:dyDescent="0.2">
      <c r="B389" s="13"/>
      <c r="C389" s="13"/>
      <c r="D389" s="13"/>
      <c r="E389" s="13"/>
      <c r="F389" s="13"/>
      <c r="G389" s="13"/>
      <c r="H389" s="13"/>
      <c r="I389" s="13"/>
      <c r="J389" s="13"/>
      <c r="K389" s="13"/>
      <c r="L389" s="40"/>
    </row>
    <row r="390" spans="1:12" ht="19" x14ac:dyDescent="0.2">
      <c r="A390" s="26" t="s">
        <v>107</v>
      </c>
      <c r="B390" s="26"/>
      <c r="C390" s="26"/>
      <c r="D390" s="26"/>
      <c r="E390" s="26"/>
      <c r="F390" s="26"/>
      <c r="G390" s="26"/>
      <c r="H390" s="26"/>
      <c r="I390" s="26"/>
      <c r="J390" s="26"/>
      <c r="K390" s="26"/>
      <c r="L390" s="39"/>
    </row>
    <row r="391" spans="1:12" x14ac:dyDescent="0.15">
      <c r="B391" s="12" t="s">
        <v>84</v>
      </c>
      <c r="C391" s="12">
        <v>2053.160413992</v>
      </c>
      <c r="D391" s="12">
        <v>1054.2690311321137</v>
      </c>
      <c r="E391" s="12">
        <v>595.69170432372493</v>
      </c>
      <c r="F391" s="12">
        <v>469.14902610825112</v>
      </c>
      <c r="G391" s="12">
        <v>313.74724911779924</v>
      </c>
      <c r="H391" s="12">
        <v>160.20201107039088</v>
      </c>
      <c r="I391" s="12">
        <v>0</v>
      </c>
      <c r="J391" s="12">
        <v>0</v>
      </c>
      <c r="K391" s="12">
        <v>0</v>
      </c>
      <c r="L391" s="40"/>
    </row>
    <row r="392" spans="1:12" x14ac:dyDescent="0.15">
      <c r="B392" s="12" t="s">
        <v>85</v>
      </c>
      <c r="C392" s="12">
        <v>2588.9561375399999</v>
      </c>
      <c r="D392" s="12">
        <v>959.21836464513683</v>
      </c>
      <c r="E392" s="12">
        <v>445.60822016771942</v>
      </c>
      <c r="F392" s="12">
        <v>295.46429529345363</v>
      </c>
      <c r="G392" s="12">
        <v>132.03272071680402</v>
      </c>
      <c r="H392" s="12">
        <v>65.018983109860187</v>
      </c>
      <c r="I392" s="12">
        <v>0</v>
      </c>
      <c r="J392" s="12">
        <v>0</v>
      </c>
      <c r="K392" s="12">
        <v>0</v>
      </c>
      <c r="L392" s="40"/>
    </row>
    <row r="393" spans="1:12" x14ac:dyDescent="0.15">
      <c r="B393" s="12" t="s">
        <v>86</v>
      </c>
      <c r="C393" s="12">
        <v>1531.0662027840001</v>
      </c>
      <c r="D393" s="12">
        <v>1168.8204467455498</v>
      </c>
      <c r="E393" s="12">
        <v>967.66783476146486</v>
      </c>
      <c r="F393" s="12">
        <v>900.13739848846103</v>
      </c>
      <c r="G393" s="12">
        <v>783.53303741886793</v>
      </c>
      <c r="H393" s="12">
        <v>664.97552282642664</v>
      </c>
      <c r="I393" s="12">
        <v>520.29520972863713</v>
      </c>
      <c r="J393" s="12">
        <v>490.82291126647823</v>
      </c>
      <c r="K393" s="12">
        <v>457.4233080347733</v>
      </c>
      <c r="L393" s="40"/>
    </row>
    <row r="394" spans="1:12" x14ac:dyDescent="0.15">
      <c r="B394" s="12" t="s">
        <v>37</v>
      </c>
      <c r="C394" s="12">
        <v>7165.0338739919998</v>
      </c>
      <c r="D394" s="12">
        <v>7893.7894984595205</v>
      </c>
      <c r="E394" s="12">
        <v>8456.4093641953987</v>
      </c>
      <c r="F394" s="12">
        <v>9078.689928240794</v>
      </c>
      <c r="G394" s="12">
        <v>9546.7907398190036</v>
      </c>
      <c r="H394" s="12">
        <v>9838.9489351602952</v>
      </c>
      <c r="I394" s="12">
        <v>10011.75399144921</v>
      </c>
      <c r="J394" s="12">
        <v>10364.296512828421</v>
      </c>
      <c r="K394" s="12">
        <v>10526.465024679561</v>
      </c>
      <c r="L394" s="40"/>
    </row>
    <row r="395" spans="1:12" x14ac:dyDescent="0.15">
      <c r="B395" s="12" t="s">
        <v>101</v>
      </c>
      <c r="C395" s="12">
        <v>1279.4991428160001</v>
      </c>
      <c r="D395" s="12">
        <v>1133.727809015189</v>
      </c>
      <c r="E395" s="12">
        <v>1141.2526674967255</v>
      </c>
      <c r="F395" s="12">
        <v>1162.1485581822958</v>
      </c>
      <c r="G395" s="12">
        <v>1166.5350606685515</v>
      </c>
      <c r="H395" s="12">
        <v>1154.8309372946844</v>
      </c>
      <c r="I395" s="12">
        <v>1123.5634933918427</v>
      </c>
      <c r="J395" s="12">
        <v>1073.8017147703481</v>
      </c>
      <c r="K395" s="12">
        <v>1015.5857778363554</v>
      </c>
      <c r="L395" s="40"/>
    </row>
    <row r="396" spans="1:12" x14ac:dyDescent="0.15">
      <c r="B396" s="12" t="s">
        <v>88</v>
      </c>
      <c r="C396" s="12">
        <v>719.86926477600002</v>
      </c>
      <c r="D396" s="12">
        <v>876.09132471494422</v>
      </c>
      <c r="E396" s="12">
        <v>967.36917624960711</v>
      </c>
      <c r="F396" s="12">
        <v>1076.8490611434404</v>
      </c>
      <c r="G396" s="12">
        <v>1156.6273192495423</v>
      </c>
      <c r="H396" s="12">
        <v>1218.8240897927947</v>
      </c>
      <c r="I396" s="12">
        <v>1251.4960376556774</v>
      </c>
      <c r="J396" s="12">
        <v>1198.126908179353</v>
      </c>
      <c r="K396" s="12">
        <v>1130.8629118571735</v>
      </c>
      <c r="L396" s="40"/>
    </row>
    <row r="397" spans="1:12" x14ac:dyDescent="0.15">
      <c r="B397" s="12" t="s">
        <v>99</v>
      </c>
      <c r="C397" s="12">
        <v>0</v>
      </c>
      <c r="D397" s="12">
        <v>0</v>
      </c>
      <c r="E397" s="12">
        <v>0</v>
      </c>
      <c r="F397" s="12">
        <v>0</v>
      </c>
      <c r="G397" s="12">
        <v>0</v>
      </c>
      <c r="H397" s="12">
        <v>0</v>
      </c>
      <c r="I397" s="12">
        <v>0</v>
      </c>
      <c r="J397" s="12">
        <v>0</v>
      </c>
      <c r="K397" s="12">
        <v>0</v>
      </c>
      <c r="L397" s="40"/>
    </row>
    <row r="398" spans="1:12" x14ac:dyDescent="0.15">
      <c r="B398" s="12" t="s">
        <v>90</v>
      </c>
      <c r="C398" s="12">
        <v>180.55838768400002</v>
      </c>
      <c r="D398" s="12">
        <v>492.57028645095949</v>
      </c>
      <c r="E398" s="12">
        <v>700.90848017814665</v>
      </c>
      <c r="F398" s="12">
        <v>924.9094488437687</v>
      </c>
      <c r="G398" s="12">
        <v>1162.7283646220787</v>
      </c>
      <c r="H398" s="12">
        <v>1381.5708711301031</v>
      </c>
      <c r="I398" s="12">
        <v>1602.579396079708</v>
      </c>
      <c r="J398" s="12">
        <v>1842.2988088819291</v>
      </c>
      <c r="K398" s="12">
        <v>2078.3262034058644</v>
      </c>
      <c r="L398" s="40"/>
    </row>
    <row r="399" spans="1:12" ht="15" x14ac:dyDescent="0.2">
      <c r="B399" s="13" t="s">
        <v>91</v>
      </c>
      <c r="C399" s="13">
        <v>15518.143423583999</v>
      </c>
      <c r="D399" s="13">
        <v>13578.486761163413</v>
      </c>
      <c r="E399" s="13">
        <v>13274.907447372787</v>
      </c>
      <c r="F399" s="13">
        <v>13907.347716300466</v>
      </c>
      <c r="G399" s="13">
        <v>14261.994491612648</v>
      </c>
      <c r="H399" s="13">
        <v>14484.371350384556</v>
      </c>
      <c r="I399" s="13">
        <v>14509.688128305075</v>
      </c>
      <c r="J399" s="13">
        <v>14969.346855926529</v>
      </c>
      <c r="K399" s="13">
        <v>15208.663225813727</v>
      </c>
      <c r="L399" s="40"/>
    </row>
    <row r="400" spans="1:12" ht="15" x14ac:dyDescent="0.2">
      <c r="B400" s="13"/>
      <c r="C400" s="13"/>
      <c r="D400" s="13"/>
      <c r="E400" s="13"/>
      <c r="F400" s="13"/>
      <c r="G400" s="13"/>
      <c r="H400" s="13"/>
      <c r="I400" s="13"/>
      <c r="J400" s="13"/>
      <c r="K400" s="13"/>
      <c r="L400" s="40"/>
    </row>
    <row r="401" spans="1:12" ht="19" x14ac:dyDescent="0.2">
      <c r="A401" s="26" t="s">
        <v>108</v>
      </c>
      <c r="B401" s="26"/>
      <c r="C401" s="26"/>
      <c r="D401" s="26"/>
      <c r="E401" s="26"/>
      <c r="F401" s="26"/>
      <c r="G401" s="26"/>
      <c r="H401" s="26"/>
      <c r="I401" s="26"/>
      <c r="J401" s="26"/>
      <c r="K401" s="26"/>
      <c r="L401" s="39"/>
    </row>
    <row r="402" spans="1:12" x14ac:dyDescent="0.15">
      <c r="B402" s="12" t="s">
        <v>84</v>
      </c>
      <c r="C402" s="12">
        <v>2840.7715584839998</v>
      </c>
      <c r="D402" s="12">
        <v>2818.782290605111</v>
      </c>
      <c r="E402" s="12">
        <v>2539.5912303318341</v>
      </c>
      <c r="F402" s="12">
        <v>2203.8766201867916</v>
      </c>
      <c r="G402" s="12">
        <v>1820.7623531382465</v>
      </c>
      <c r="H402" s="12">
        <v>1460.0441726639967</v>
      </c>
      <c r="I402" s="12">
        <v>1079.9733722435908</v>
      </c>
      <c r="J402" s="12">
        <v>827.87108648548667</v>
      </c>
      <c r="K402" s="12">
        <v>567.68546683484567</v>
      </c>
      <c r="L402" s="40"/>
    </row>
    <row r="403" spans="1:12" x14ac:dyDescent="0.15">
      <c r="B403" s="12" t="s">
        <v>85</v>
      </c>
      <c r="C403" s="12">
        <v>587.29675485600012</v>
      </c>
      <c r="D403" s="12">
        <v>627.43547621838809</v>
      </c>
      <c r="E403" s="12">
        <v>462.76116364301788</v>
      </c>
      <c r="F403" s="12">
        <v>315.90824396924148</v>
      </c>
      <c r="G403" s="12">
        <v>187.26208117975631</v>
      </c>
      <c r="H403" s="12">
        <v>83.193236643608159</v>
      </c>
      <c r="I403" s="12">
        <v>0</v>
      </c>
      <c r="J403" s="12">
        <v>0</v>
      </c>
      <c r="K403" s="12">
        <v>0</v>
      </c>
      <c r="L403" s="40"/>
    </row>
    <row r="404" spans="1:12" x14ac:dyDescent="0.15">
      <c r="B404" s="12" t="s">
        <v>86</v>
      </c>
      <c r="C404" s="12">
        <v>120.91114148400001</v>
      </c>
      <c r="D404" s="12">
        <v>131.7086743694089</v>
      </c>
      <c r="E404" s="12">
        <v>114.81262033626082</v>
      </c>
      <c r="F404" s="12">
        <v>92.522003522571453</v>
      </c>
      <c r="G404" s="12">
        <v>67.592805728412458</v>
      </c>
      <c r="H404" s="12">
        <v>48.865477773790964</v>
      </c>
      <c r="I404" s="12">
        <v>30.506483192468171</v>
      </c>
      <c r="J404" s="12">
        <v>0.57797263817423361</v>
      </c>
      <c r="K404" s="12">
        <v>0</v>
      </c>
      <c r="L404" s="40"/>
    </row>
    <row r="405" spans="1:12" x14ac:dyDescent="0.15">
      <c r="B405" s="12" t="s">
        <v>37</v>
      </c>
      <c r="C405" s="12">
        <v>1582.8412601520001</v>
      </c>
      <c r="D405" s="12">
        <v>2677.4976370409368</v>
      </c>
      <c r="E405" s="12">
        <v>3056.9650030814419</v>
      </c>
      <c r="F405" s="12">
        <v>3360.68381111705</v>
      </c>
      <c r="G405" s="12">
        <v>3603.8750091769425</v>
      </c>
      <c r="H405" s="12">
        <v>3772.7010129818877</v>
      </c>
      <c r="I405" s="12">
        <v>3856.0290826403848</v>
      </c>
      <c r="J405" s="12">
        <v>3941.8996111712877</v>
      </c>
      <c r="K405" s="12">
        <v>3933.2610342970288</v>
      </c>
      <c r="L405" s="40"/>
    </row>
    <row r="406" spans="1:12" x14ac:dyDescent="0.15">
      <c r="B406" s="12" t="s">
        <v>101</v>
      </c>
      <c r="C406" s="12">
        <v>122.09659203600002</v>
      </c>
      <c r="D406" s="12">
        <v>116.0509839029486</v>
      </c>
      <c r="E406" s="12">
        <v>113.54276983511636</v>
      </c>
      <c r="F406" s="12">
        <v>108.78619275601417</v>
      </c>
      <c r="G406" s="12">
        <v>102.22649278205958</v>
      </c>
      <c r="H406" s="12">
        <v>97.000481688102411</v>
      </c>
      <c r="I406" s="12">
        <v>92.702133889713608</v>
      </c>
      <c r="J406" s="12">
        <v>89.053118542096357</v>
      </c>
      <c r="K406" s="12">
        <v>85.896614840617517</v>
      </c>
      <c r="L406" s="40"/>
    </row>
    <row r="407" spans="1:12" x14ac:dyDescent="0.15">
      <c r="B407" s="12" t="s">
        <v>88</v>
      </c>
      <c r="C407" s="12">
        <v>273.16265810400006</v>
      </c>
      <c r="D407" s="12">
        <v>503.33223687021399</v>
      </c>
      <c r="E407" s="12">
        <v>690.46136153059081</v>
      </c>
      <c r="F407" s="12">
        <v>874.58455695862517</v>
      </c>
      <c r="G407" s="12">
        <v>1048.7604435688938</v>
      </c>
      <c r="H407" s="12">
        <v>1180.295416544044</v>
      </c>
      <c r="I407" s="12">
        <v>1297.7596720651964</v>
      </c>
      <c r="J407" s="12">
        <v>1485.5335437133861</v>
      </c>
      <c r="K407" s="12">
        <v>1644.9401290351643</v>
      </c>
      <c r="L407" s="40"/>
    </row>
    <row r="408" spans="1:12" x14ac:dyDescent="0.15">
      <c r="B408" s="12" t="s">
        <v>99</v>
      </c>
      <c r="C408" s="12">
        <v>0</v>
      </c>
      <c r="D408" s="12">
        <v>0</v>
      </c>
      <c r="E408" s="12">
        <v>0</v>
      </c>
      <c r="F408" s="12">
        <v>0</v>
      </c>
      <c r="G408" s="12">
        <v>0</v>
      </c>
      <c r="H408" s="12">
        <v>0</v>
      </c>
      <c r="I408" s="12">
        <v>0</v>
      </c>
      <c r="J408" s="12">
        <v>0</v>
      </c>
      <c r="K408" s="12">
        <v>0</v>
      </c>
      <c r="L408" s="40"/>
    </row>
    <row r="409" spans="1:12" x14ac:dyDescent="0.15">
      <c r="B409" s="12" t="s">
        <v>90</v>
      </c>
      <c r="C409" s="12">
        <v>25.915035960000001</v>
      </c>
      <c r="D409" s="12">
        <v>125.80526115331044</v>
      </c>
      <c r="E409" s="12">
        <v>210.39648582149596</v>
      </c>
      <c r="F409" s="12">
        <v>290.61939781854699</v>
      </c>
      <c r="G409" s="12">
        <v>362.9254828077917</v>
      </c>
      <c r="H409" s="12">
        <v>418.55759555638338</v>
      </c>
      <c r="I409" s="12">
        <v>465.38364112939894</v>
      </c>
      <c r="J409" s="12">
        <v>549.57237582776747</v>
      </c>
      <c r="K409" s="12">
        <v>618.38032376227716</v>
      </c>
      <c r="L409" s="40"/>
    </row>
    <row r="410" spans="1:12" ht="15" x14ac:dyDescent="0.2">
      <c r="B410" s="13" t="s">
        <v>91</v>
      </c>
      <c r="C410" s="13">
        <v>5552.9950010760003</v>
      </c>
      <c r="D410" s="13">
        <v>7000.6125601603171</v>
      </c>
      <c r="E410" s="13">
        <v>7188.530634579758</v>
      </c>
      <c r="F410" s="13">
        <v>7246.9808263288414</v>
      </c>
      <c r="G410" s="13">
        <v>7193.4046683821034</v>
      </c>
      <c r="H410" s="13">
        <v>7060.657393851814</v>
      </c>
      <c r="I410" s="13">
        <v>6822.3543851607528</v>
      </c>
      <c r="J410" s="13">
        <v>6894.507708378198</v>
      </c>
      <c r="K410" s="13">
        <v>6850.1635687699327</v>
      </c>
      <c r="L410" s="40"/>
    </row>
    <row r="411" spans="1:12" ht="19" x14ac:dyDescent="0.25">
      <c r="A411" s="16"/>
      <c r="B411" s="16"/>
      <c r="L411" s="42"/>
    </row>
    <row r="412" spans="1:12" ht="19" x14ac:dyDescent="0.2">
      <c r="A412" s="26" t="s">
        <v>109</v>
      </c>
      <c r="B412" s="26"/>
      <c r="C412" s="26"/>
      <c r="D412" s="26"/>
      <c r="E412" s="26"/>
      <c r="F412" s="26"/>
      <c r="G412" s="26"/>
      <c r="H412" s="26"/>
      <c r="I412" s="26"/>
      <c r="J412" s="26"/>
      <c r="K412" s="26"/>
      <c r="L412" s="39"/>
    </row>
    <row r="413" spans="1:12" x14ac:dyDescent="0.15">
      <c r="B413" s="12" t="s">
        <v>84</v>
      </c>
      <c r="C413" s="12">
        <v>745.81499999999994</v>
      </c>
      <c r="D413" s="12">
        <v>519.33320424693227</v>
      </c>
      <c r="E413" s="12">
        <v>359.22928818208703</v>
      </c>
      <c r="F413" s="12">
        <v>257.95055255445226</v>
      </c>
      <c r="G413" s="12">
        <v>199.58083828131194</v>
      </c>
      <c r="H413" s="12">
        <v>140.72273394857623</v>
      </c>
      <c r="I413" s="12">
        <v>87.081461942743658</v>
      </c>
      <c r="J413" s="12">
        <v>51.785756694981025</v>
      </c>
      <c r="K413" s="12">
        <v>13.246296043972571</v>
      </c>
      <c r="L413" s="40"/>
    </row>
    <row r="414" spans="1:12" x14ac:dyDescent="0.15">
      <c r="B414" s="12" t="s">
        <v>85</v>
      </c>
      <c r="C414" s="12">
        <v>6229.6850000000004</v>
      </c>
      <c r="D414" s="12">
        <v>4505.5389749934948</v>
      </c>
      <c r="E414" s="12">
        <v>2876.6478484623781</v>
      </c>
      <c r="F414" s="12">
        <v>1175.8501478890685</v>
      </c>
      <c r="G414" s="12">
        <v>81.936770033234239</v>
      </c>
      <c r="H414" s="12">
        <v>40.160079010520995</v>
      </c>
      <c r="I414" s="12">
        <v>18.831816915726517</v>
      </c>
      <c r="J414" s="12">
        <v>16.22688811162994</v>
      </c>
      <c r="K414" s="12">
        <v>7.9112194809746121</v>
      </c>
      <c r="L414" s="40"/>
    </row>
    <row r="415" spans="1:12" x14ac:dyDescent="0.15">
      <c r="B415" s="12" t="s">
        <v>110</v>
      </c>
      <c r="C415" s="12">
        <v>0</v>
      </c>
      <c r="D415" s="12">
        <v>31.731020987315965</v>
      </c>
      <c r="E415" s="12">
        <v>253.14566757024588</v>
      </c>
      <c r="F415" s="12">
        <v>825.38876572599622</v>
      </c>
      <c r="G415" s="12">
        <v>1615.9505949355209</v>
      </c>
      <c r="H415" s="12">
        <v>1857.2797853857608</v>
      </c>
      <c r="I415" s="12">
        <v>1363.1258357215936</v>
      </c>
      <c r="J415" s="12">
        <v>1216.4916712489905</v>
      </c>
      <c r="K415" s="12">
        <v>1183.6798147928469</v>
      </c>
      <c r="L415" s="40"/>
    </row>
    <row r="416" spans="1:12" x14ac:dyDescent="0.15">
      <c r="B416" s="12" t="s">
        <v>86</v>
      </c>
      <c r="C416" s="12">
        <v>2537.366</v>
      </c>
      <c r="D416" s="12">
        <v>4126.5779474658466</v>
      </c>
      <c r="E416" s="12">
        <v>4611.7374854251384</v>
      </c>
      <c r="F416" s="12">
        <v>4484.6658761128083</v>
      </c>
      <c r="G416" s="12">
        <v>3242.5480405373992</v>
      </c>
      <c r="H416" s="12">
        <v>1285.0483614097257</v>
      </c>
      <c r="I416" s="12">
        <v>564.58011854845677</v>
      </c>
      <c r="J416" s="12">
        <v>283.93852620752767</v>
      </c>
      <c r="K416" s="12">
        <v>208.03286897916036</v>
      </c>
      <c r="L416" s="40"/>
    </row>
    <row r="417" spans="1:12" x14ac:dyDescent="0.15">
      <c r="B417" s="12" t="s">
        <v>111</v>
      </c>
      <c r="C417" s="12">
        <v>0</v>
      </c>
      <c r="D417" s="12">
        <v>0.99569070979261309</v>
      </c>
      <c r="E417" s="12">
        <v>72.967083539768382</v>
      </c>
      <c r="F417" s="12">
        <v>264.19098490914774</v>
      </c>
      <c r="G417" s="12">
        <v>518.28833623970195</v>
      </c>
      <c r="H417" s="12">
        <v>872.3453838835112</v>
      </c>
      <c r="I417" s="12">
        <v>1063.0754575373592</v>
      </c>
      <c r="J417" s="12">
        <v>1249.2649883224944</v>
      </c>
      <c r="K417" s="12">
        <v>1758.157711917386</v>
      </c>
      <c r="L417" s="40"/>
    </row>
    <row r="418" spans="1:12" x14ac:dyDescent="0.15">
      <c r="B418" s="12" t="s">
        <v>87</v>
      </c>
      <c r="C418" s="12">
        <v>554.673</v>
      </c>
      <c r="D418" s="12">
        <v>1571.3024368779677</v>
      </c>
      <c r="E418" s="12">
        <v>2276.300647125297</v>
      </c>
      <c r="F418" s="12">
        <v>2916.9395522730424</v>
      </c>
      <c r="G418" s="12">
        <v>3425.8469384009345</v>
      </c>
      <c r="H418" s="12">
        <v>3920.7004667666884</v>
      </c>
      <c r="I418" s="12">
        <v>4337.8308721302437</v>
      </c>
      <c r="J418" s="12">
        <v>4706.1409150059917</v>
      </c>
      <c r="K418" s="12">
        <v>5033.3630835311342</v>
      </c>
      <c r="L418" s="40"/>
    </row>
    <row r="419" spans="1:12" x14ac:dyDescent="0.15">
      <c r="B419" s="12" t="s">
        <v>88</v>
      </c>
      <c r="C419" s="12">
        <v>164.44899999999998</v>
      </c>
      <c r="D419" s="12">
        <v>809.4957925059141</v>
      </c>
      <c r="E419" s="12">
        <v>1184.3692658884352</v>
      </c>
      <c r="F419" s="12">
        <v>1651.5929809893396</v>
      </c>
      <c r="G419" s="12">
        <v>2217.5739718457571</v>
      </c>
      <c r="H419" s="12">
        <v>2709.9512798160927</v>
      </c>
      <c r="I419" s="12">
        <v>2884.2994631155198</v>
      </c>
      <c r="J419" s="12">
        <v>2689.5241509358002</v>
      </c>
      <c r="K419" s="12">
        <v>2002.47291044295</v>
      </c>
      <c r="L419" s="40"/>
    </row>
    <row r="420" spans="1:12" x14ac:dyDescent="0.15">
      <c r="B420" s="12" t="s">
        <v>112</v>
      </c>
      <c r="C420" s="12">
        <v>0</v>
      </c>
      <c r="D420" s="12">
        <v>3.4569764943445489</v>
      </c>
      <c r="E420" s="12">
        <v>10.989011883988391</v>
      </c>
      <c r="F420" s="12">
        <v>56.93219609293817</v>
      </c>
      <c r="G420" s="12">
        <v>189.18889400984116</v>
      </c>
      <c r="H420" s="12">
        <v>465.62351237116428</v>
      </c>
      <c r="I420" s="12">
        <v>738.16487009111904</v>
      </c>
      <c r="J420" s="12">
        <v>1042.1551722505378</v>
      </c>
      <c r="K420" s="12">
        <v>1373.6678542573125</v>
      </c>
      <c r="L420" s="40"/>
    </row>
    <row r="421" spans="1:12" x14ac:dyDescent="0.15">
      <c r="B421" s="12" t="s">
        <v>113</v>
      </c>
      <c r="C421" s="12">
        <v>2491.8919999999998</v>
      </c>
      <c r="D421" s="12">
        <v>3520.1137252108651</v>
      </c>
      <c r="E421" s="12">
        <v>4022.6996600179732</v>
      </c>
      <c r="F421" s="12">
        <v>4408.9401869257708</v>
      </c>
      <c r="G421" s="12">
        <v>4993.3180972055397</v>
      </c>
      <c r="H421" s="12">
        <v>5565.7909466599867</v>
      </c>
      <c r="I421" s="12">
        <v>6127.837244339421</v>
      </c>
      <c r="J421" s="12">
        <v>6700.7503867941059</v>
      </c>
      <c r="K421" s="12">
        <v>7286.8238289637447</v>
      </c>
      <c r="L421" s="40"/>
    </row>
    <row r="422" spans="1:12" x14ac:dyDescent="0.15">
      <c r="B422" s="12" t="s">
        <v>94</v>
      </c>
      <c r="C422" s="12">
        <v>29.009999999999998</v>
      </c>
      <c r="D422" s="12">
        <v>101.81673066914277</v>
      </c>
      <c r="E422" s="12">
        <v>170.92627253974101</v>
      </c>
      <c r="F422" s="12">
        <v>264.56559840400274</v>
      </c>
      <c r="G422" s="12">
        <v>359.50954837094196</v>
      </c>
      <c r="H422" s="12">
        <v>460.47455990074559</v>
      </c>
      <c r="I422" s="12">
        <v>571.21206991320776</v>
      </c>
      <c r="J422" s="12">
        <v>681.1863230819049</v>
      </c>
      <c r="K422" s="12">
        <v>799.00199720407795</v>
      </c>
      <c r="L422" s="40"/>
    </row>
    <row r="423" spans="1:12" x14ac:dyDescent="0.15">
      <c r="B423" s="12" t="s">
        <v>114</v>
      </c>
      <c r="C423" s="12">
        <v>228.11042119999999</v>
      </c>
      <c r="D423" s="12">
        <v>1413.1231362175949</v>
      </c>
      <c r="E423" s="12">
        <v>2146.6152954547251</v>
      </c>
      <c r="F423" s="12">
        <v>2755.3268833420784</v>
      </c>
      <c r="G423" s="12">
        <v>3248.0569649115032</v>
      </c>
      <c r="H423" s="12">
        <v>3623.7177057054278</v>
      </c>
      <c r="I423" s="12">
        <v>4116.2365680008861</v>
      </c>
      <c r="J423" s="12">
        <v>4450.8889000631898</v>
      </c>
      <c r="K423" s="12">
        <v>4701.6926942525306</v>
      </c>
      <c r="L423" s="40"/>
    </row>
    <row r="424" spans="1:12" x14ac:dyDescent="0.15">
      <c r="B424" s="12" t="s">
        <v>115</v>
      </c>
      <c r="C424" s="12">
        <v>23.719893319999997</v>
      </c>
      <c r="D424" s="12">
        <v>127.58357452013064</v>
      </c>
      <c r="E424" s="12">
        <v>203.936673842282</v>
      </c>
      <c r="F424" s="12">
        <v>293.2283658448826</v>
      </c>
      <c r="G424" s="12">
        <v>388.96150732791915</v>
      </c>
      <c r="H424" s="12">
        <v>497.09118519436009</v>
      </c>
      <c r="I424" s="12">
        <v>642.76539853287181</v>
      </c>
      <c r="J424" s="12">
        <v>812.55079238314568</v>
      </c>
      <c r="K424" s="12">
        <v>984.57972740537673</v>
      </c>
      <c r="L424" s="40"/>
    </row>
    <row r="425" spans="1:12" x14ac:dyDescent="0.15">
      <c r="B425" s="12" t="s">
        <v>96</v>
      </c>
      <c r="C425" s="12">
        <v>42.477999999999987</v>
      </c>
      <c r="D425" s="12">
        <v>582.12090816402247</v>
      </c>
      <c r="E425" s="12">
        <v>1016.4110143702345</v>
      </c>
      <c r="F425" s="12">
        <v>1706.6594413104056</v>
      </c>
      <c r="G425" s="12">
        <v>2466.127639190669</v>
      </c>
      <c r="H425" s="12">
        <v>3465.934415366552</v>
      </c>
      <c r="I425" s="12">
        <v>4538.9306984807918</v>
      </c>
      <c r="J425" s="12">
        <v>5817.5829280105754</v>
      </c>
      <c r="K425" s="12">
        <v>7242.0218585885059</v>
      </c>
      <c r="L425" s="40"/>
    </row>
    <row r="426" spans="1:12" x14ac:dyDescent="0.15">
      <c r="B426" s="12" t="s">
        <v>97</v>
      </c>
      <c r="C426" s="12">
        <v>0.34300000000000003</v>
      </c>
      <c r="D426" s="12">
        <v>248.70753413794523</v>
      </c>
      <c r="E426" s="12">
        <v>604.16290877853362</v>
      </c>
      <c r="F426" s="12">
        <v>1178.5613516339406</v>
      </c>
      <c r="G426" s="12">
        <v>1835.9078425021376</v>
      </c>
      <c r="H426" s="12">
        <v>2473.4518992788544</v>
      </c>
      <c r="I426" s="12">
        <v>3169.7532450833864</v>
      </c>
      <c r="J426" s="12">
        <v>3761.3470953887854</v>
      </c>
      <c r="K426" s="12">
        <v>4434.2452052157942</v>
      </c>
      <c r="L426" s="40"/>
    </row>
    <row r="427" spans="1:12" x14ac:dyDescent="0.15">
      <c r="B427" s="12" t="s">
        <v>98</v>
      </c>
      <c r="C427" s="12">
        <v>8.0000000000000002E-3</v>
      </c>
      <c r="D427" s="12">
        <v>0.46507851693499697</v>
      </c>
      <c r="E427" s="12">
        <v>2.0939972310040926</v>
      </c>
      <c r="F427" s="12">
        <v>11.076020071600249</v>
      </c>
      <c r="G427" s="12">
        <v>31.7221761930582</v>
      </c>
      <c r="H427" s="12">
        <v>93.965002814584423</v>
      </c>
      <c r="I427" s="12">
        <v>229.73118544110832</v>
      </c>
      <c r="J427" s="12">
        <v>355.37444872441432</v>
      </c>
      <c r="K427" s="12">
        <v>456.86323506846094</v>
      </c>
      <c r="L427" s="40"/>
    </row>
    <row r="428" spans="1:12" x14ac:dyDescent="0.15">
      <c r="B428" s="12" t="s">
        <v>90</v>
      </c>
      <c r="C428" s="12">
        <v>0.86699999999999999</v>
      </c>
      <c r="D428" s="12">
        <v>0</v>
      </c>
      <c r="E428" s="12">
        <v>0</v>
      </c>
      <c r="F428" s="12">
        <v>0</v>
      </c>
      <c r="G428" s="12">
        <v>0</v>
      </c>
      <c r="H428" s="12">
        <v>0</v>
      </c>
      <c r="I428" s="12">
        <v>0</v>
      </c>
      <c r="J428" s="12">
        <v>0</v>
      </c>
      <c r="K428" s="12">
        <v>0</v>
      </c>
      <c r="L428" s="40"/>
    </row>
    <row r="429" spans="1:12" ht="15" x14ac:dyDescent="0.2">
      <c r="A429" s="13"/>
      <c r="B429" s="13" t="s">
        <v>91</v>
      </c>
      <c r="C429" s="13">
        <v>13048.41631452</v>
      </c>
      <c r="D429" s="13">
        <v>17562.362731718247</v>
      </c>
      <c r="E429" s="13">
        <v>19812.232120311834</v>
      </c>
      <c r="F429" s="13">
        <v>22251.868904079471</v>
      </c>
      <c r="G429" s="13">
        <v>24814.51815998547</v>
      </c>
      <c r="H429" s="13">
        <v>27472.257317512547</v>
      </c>
      <c r="I429" s="13">
        <v>30453.456305794436</v>
      </c>
      <c r="J429" s="13">
        <v>33835.208943224075</v>
      </c>
      <c r="K429" s="13">
        <v>37485.760306144235</v>
      </c>
      <c r="L429" s="41"/>
    </row>
    <row r="430" spans="1:12" ht="15" x14ac:dyDescent="0.2">
      <c r="B430" s="17"/>
      <c r="L430" s="40"/>
    </row>
    <row r="431" spans="1:12" ht="19" x14ac:dyDescent="0.2">
      <c r="A431" s="26" t="s">
        <v>116</v>
      </c>
      <c r="B431" s="26"/>
      <c r="C431" s="26"/>
      <c r="D431" s="26"/>
      <c r="E431" s="26"/>
      <c r="F431" s="26"/>
      <c r="G431" s="26"/>
      <c r="H431" s="26"/>
      <c r="I431" s="26"/>
      <c r="J431" s="26"/>
      <c r="K431" s="26"/>
      <c r="L431" s="39"/>
    </row>
    <row r="432" spans="1:12" x14ac:dyDescent="0.15">
      <c r="B432" s="12" t="s">
        <v>84</v>
      </c>
      <c r="C432" s="12">
        <v>241.39182219137018</v>
      </c>
      <c r="D432" s="12">
        <v>283.30068721060644</v>
      </c>
      <c r="E432" s="12">
        <v>245.34431782028261</v>
      </c>
      <c r="F432" s="12">
        <v>218.46263248609452</v>
      </c>
      <c r="G432" s="12">
        <v>180.72448878603606</v>
      </c>
      <c r="H432" s="12">
        <v>166.33121296025749</v>
      </c>
      <c r="I432" s="12">
        <v>154.05179546843465</v>
      </c>
      <c r="J432" s="12">
        <v>118.09496223196398</v>
      </c>
      <c r="K432" s="12">
        <v>123.18814502887345</v>
      </c>
      <c r="L432" s="40"/>
    </row>
    <row r="433" spans="1:12" x14ac:dyDescent="0.15">
      <c r="B433" s="12" t="s">
        <v>85</v>
      </c>
      <c r="C433" s="12">
        <v>1169.8470395225056</v>
      </c>
      <c r="D433" s="12">
        <v>1301.3499014551123</v>
      </c>
      <c r="E433" s="12">
        <v>1126.4912390221716</v>
      </c>
      <c r="F433" s="12">
        <v>662.27210249797645</v>
      </c>
      <c r="G433" s="12">
        <v>312.14801409103683</v>
      </c>
      <c r="H433" s="12">
        <v>81.391515311728796</v>
      </c>
      <c r="I433" s="12">
        <v>69.22513444137897</v>
      </c>
      <c r="J433" s="12">
        <v>56.269660514885473</v>
      </c>
      <c r="K433" s="12">
        <v>9.4283117448500775</v>
      </c>
      <c r="L433" s="40"/>
    </row>
    <row r="434" spans="1:12" x14ac:dyDescent="0.15">
      <c r="B434" s="12" t="s">
        <v>110</v>
      </c>
      <c r="C434" s="12">
        <v>0</v>
      </c>
      <c r="D434" s="12">
        <v>4.6214144803854822</v>
      </c>
      <c r="E434" s="12">
        <v>35.408933354272335</v>
      </c>
      <c r="F434" s="12">
        <v>117.66635802990221</v>
      </c>
      <c r="G434" s="12">
        <v>224.04693970998665</v>
      </c>
      <c r="H434" s="12">
        <v>289.2260167709706</v>
      </c>
      <c r="I434" s="12">
        <v>225.78622176940036</v>
      </c>
      <c r="J434" s="12">
        <v>185.50727539696035</v>
      </c>
      <c r="K434" s="12">
        <v>210.76879019127375</v>
      </c>
      <c r="L434" s="40"/>
    </row>
    <row r="435" spans="1:12" x14ac:dyDescent="0.15">
      <c r="B435" s="12" t="s">
        <v>86</v>
      </c>
      <c r="C435" s="12">
        <v>728.62561469998025</v>
      </c>
      <c r="D435" s="12">
        <v>1071.626902268056</v>
      </c>
      <c r="E435" s="12">
        <v>1124.7279703139477</v>
      </c>
      <c r="F435" s="12">
        <v>1118.3338841358732</v>
      </c>
      <c r="G435" s="12">
        <v>1098.2418634326002</v>
      </c>
      <c r="H435" s="12">
        <v>1119.1513638373954</v>
      </c>
      <c r="I435" s="12">
        <v>1001.3119889059556</v>
      </c>
      <c r="J435" s="12">
        <v>624.45182174837066</v>
      </c>
      <c r="K435" s="12">
        <v>718.03604419709188</v>
      </c>
      <c r="L435" s="40"/>
    </row>
    <row r="436" spans="1:12" x14ac:dyDescent="0.15">
      <c r="B436" s="12" t="s">
        <v>111</v>
      </c>
      <c r="C436" s="12">
        <v>0</v>
      </c>
      <c r="D436" s="12">
        <v>0.14917786356457319</v>
      </c>
      <c r="E436" s="12">
        <v>10.318863008380765</v>
      </c>
      <c r="F436" s="12">
        <v>38.147969831246101</v>
      </c>
      <c r="G436" s="12">
        <v>74.027977677785955</v>
      </c>
      <c r="H436" s="12">
        <v>122.25800855112371</v>
      </c>
      <c r="I436" s="12">
        <v>181.96558669344239</v>
      </c>
      <c r="J436" s="12">
        <v>234.47709056746226</v>
      </c>
      <c r="K436" s="12">
        <v>297.92454595338643</v>
      </c>
      <c r="L436" s="40"/>
    </row>
    <row r="437" spans="1:12" x14ac:dyDescent="0.15">
      <c r="B437" s="12" t="s">
        <v>87</v>
      </c>
      <c r="C437" s="12">
        <v>82.702999999999207</v>
      </c>
      <c r="D437" s="12">
        <v>225.90851103452999</v>
      </c>
      <c r="E437" s="12">
        <v>318.43215858615713</v>
      </c>
      <c r="F437" s="12">
        <v>402.73646623513446</v>
      </c>
      <c r="G437" s="12">
        <v>468.73666530185329</v>
      </c>
      <c r="H437" s="12">
        <v>532.76481752952441</v>
      </c>
      <c r="I437" s="12">
        <v>587.67233624747143</v>
      </c>
      <c r="J437" s="12">
        <v>636.59812662094851</v>
      </c>
      <c r="K437" s="12">
        <v>678.82996045353673</v>
      </c>
      <c r="L437" s="40"/>
    </row>
    <row r="438" spans="1:12" x14ac:dyDescent="0.15">
      <c r="B438" s="12" t="s">
        <v>88</v>
      </c>
      <c r="C438" s="12">
        <v>43.250592031623405</v>
      </c>
      <c r="D438" s="12">
        <v>174.71299063692697</v>
      </c>
      <c r="E438" s="12">
        <v>227.84266946543522</v>
      </c>
      <c r="F438" s="12">
        <v>333.11107334249328</v>
      </c>
      <c r="G438" s="12">
        <v>471.54370433359617</v>
      </c>
      <c r="H438" s="12">
        <v>658.21547049950289</v>
      </c>
      <c r="I438" s="12">
        <v>786.4274514313978</v>
      </c>
      <c r="J438" s="12">
        <v>923.02830019116618</v>
      </c>
      <c r="K438" s="12">
        <v>1065.0268905175685</v>
      </c>
      <c r="L438" s="40"/>
    </row>
    <row r="439" spans="1:12" x14ac:dyDescent="0.15">
      <c r="B439" s="12" t="s">
        <v>112</v>
      </c>
      <c r="C439" s="12">
        <v>0</v>
      </c>
      <c r="D439" s="12">
        <v>0.50264258158016484</v>
      </c>
      <c r="E439" s="12">
        <v>1.4758281164682794</v>
      </c>
      <c r="F439" s="12">
        <v>7.6460114326435704</v>
      </c>
      <c r="G439" s="12">
        <v>25.408125034064359</v>
      </c>
      <c r="H439" s="12">
        <v>66.173388492932759</v>
      </c>
      <c r="I439" s="12">
        <v>103.73030898668607</v>
      </c>
      <c r="J439" s="12">
        <v>142.1954540983447</v>
      </c>
      <c r="K439" s="12">
        <v>189.67442462848268</v>
      </c>
      <c r="L439" s="40"/>
    </row>
    <row r="440" spans="1:12" x14ac:dyDescent="0.15">
      <c r="B440" s="12" t="s">
        <v>113</v>
      </c>
      <c r="C440" s="12">
        <v>661.39455343473151</v>
      </c>
      <c r="D440" s="12">
        <v>962.49751705926258</v>
      </c>
      <c r="E440" s="12">
        <v>1108.307088465489</v>
      </c>
      <c r="F440" s="12">
        <v>1216.0165845558272</v>
      </c>
      <c r="G440" s="12">
        <v>1375.3247436400043</v>
      </c>
      <c r="H440" s="12">
        <v>1529.3375181730355</v>
      </c>
      <c r="I440" s="12">
        <v>1676.6156398573894</v>
      </c>
      <c r="J440" s="12">
        <v>1838.2991329175347</v>
      </c>
      <c r="K440" s="12">
        <v>2046.9299170207776</v>
      </c>
      <c r="L440" s="40"/>
    </row>
    <row r="441" spans="1:12" x14ac:dyDescent="0.15">
      <c r="B441" s="12" t="s">
        <v>94</v>
      </c>
      <c r="C441" s="12">
        <v>4.5111888613908002</v>
      </c>
      <c r="D441" s="12">
        <v>14.017580874948168</v>
      </c>
      <c r="E441" s="12">
        <v>23.312090536190016</v>
      </c>
      <c r="F441" s="12">
        <v>35.974567169351104</v>
      </c>
      <c r="G441" s="12">
        <v>49.434018746240525</v>
      </c>
      <c r="H441" s="12">
        <v>64.580265143932706</v>
      </c>
      <c r="I441" s="12">
        <v>77.585943469916117</v>
      </c>
      <c r="J441" s="12">
        <v>95.380952359419865</v>
      </c>
      <c r="K441" s="12">
        <v>118.69505966512808</v>
      </c>
      <c r="L441" s="40"/>
    </row>
    <row r="442" spans="1:12" x14ac:dyDescent="0.15">
      <c r="B442" s="12" t="s">
        <v>114</v>
      </c>
      <c r="C442" s="12">
        <v>135.66977799998898</v>
      </c>
      <c r="D442" s="12">
        <v>662.89914102091325</v>
      </c>
      <c r="E442" s="12">
        <v>990.43297922547276</v>
      </c>
      <c r="F442" s="12">
        <v>1265.4888462747037</v>
      </c>
      <c r="G442" s="12">
        <v>1484.3653627094154</v>
      </c>
      <c r="H442" s="12">
        <v>1637.9214155166719</v>
      </c>
      <c r="I442" s="12">
        <v>1869.4999475966258</v>
      </c>
      <c r="J442" s="12">
        <v>2031.3875782860082</v>
      </c>
      <c r="K442" s="12">
        <v>2169.7710688448133</v>
      </c>
      <c r="L442" s="40"/>
    </row>
    <row r="443" spans="1:12" x14ac:dyDescent="0.15">
      <c r="B443" s="12" t="s">
        <v>115</v>
      </c>
      <c r="C443" s="12">
        <v>0.65788000000000002</v>
      </c>
      <c r="D443" s="12">
        <v>24.916791575007789</v>
      </c>
      <c r="E443" s="12">
        <v>65.128100591154592</v>
      </c>
      <c r="F443" s="12">
        <v>115.41612339527829</v>
      </c>
      <c r="G443" s="12">
        <v>167.77629930781453</v>
      </c>
      <c r="H443" s="12">
        <v>220.14750603405784</v>
      </c>
      <c r="I443" s="12">
        <v>280.83807234379083</v>
      </c>
      <c r="J443" s="12">
        <v>360.6857814925815</v>
      </c>
      <c r="K443" s="12">
        <v>452.27913760520249</v>
      </c>
      <c r="L443" s="40"/>
    </row>
    <row r="444" spans="1:12" x14ac:dyDescent="0.15">
      <c r="B444" s="12" t="s">
        <v>96</v>
      </c>
      <c r="C444" s="12">
        <v>41.655676970970198</v>
      </c>
      <c r="D444" s="12">
        <v>451.63676384386849</v>
      </c>
      <c r="E444" s="12">
        <v>773.90857507836381</v>
      </c>
      <c r="F444" s="12">
        <v>1269.181929744992</v>
      </c>
      <c r="G444" s="12">
        <v>1816.6604363095153</v>
      </c>
      <c r="H444" s="12">
        <v>2539.6669419635018</v>
      </c>
      <c r="I444" s="12">
        <v>3321.8779599778991</v>
      </c>
      <c r="J444" s="12">
        <v>4284.084913179986</v>
      </c>
      <c r="K444" s="12">
        <v>5290.6418163166354</v>
      </c>
      <c r="L444" s="40"/>
    </row>
    <row r="445" spans="1:12" x14ac:dyDescent="0.15">
      <c r="B445" s="12" t="s">
        <v>97</v>
      </c>
      <c r="C445" s="12">
        <v>3.3395465063983201</v>
      </c>
      <c r="D445" s="12">
        <v>76.879562271167771</v>
      </c>
      <c r="E445" s="12">
        <v>164.1076407089511</v>
      </c>
      <c r="F445" s="12">
        <v>299.46654674019902</v>
      </c>
      <c r="G445" s="12">
        <v>454.31622430863882</v>
      </c>
      <c r="H445" s="12">
        <v>603.38844234346766</v>
      </c>
      <c r="I445" s="12">
        <v>758.1532500111723</v>
      </c>
      <c r="J445" s="12">
        <v>906.14182868885678</v>
      </c>
      <c r="K445" s="12">
        <v>1014.9998893348785</v>
      </c>
      <c r="L445" s="40"/>
    </row>
    <row r="446" spans="1:12" x14ac:dyDescent="0.15">
      <c r="B446" s="12" t="s">
        <v>98</v>
      </c>
      <c r="C446" s="12">
        <v>8.3499999999999998E-3</v>
      </c>
      <c r="D446" s="12">
        <v>0.15758874574383872</v>
      </c>
      <c r="E446" s="12">
        <v>0.68629417848696739</v>
      </c>
      <c r="F446" s="12">
        <v>3.5939980250087338</v>
      </c>
      <c r="G446" s="12">
        <v>10.281342122639495</v>
      </c>
      <c r="H446" s="12">
        <v>30.295605755794448</v>
      </c>
      <c r="I446" s="12">
        <v>73.86751210204622</v>
      </c>
      <c r="J446" s="12">
        <v>114.06628216536727</v>
      </c>
      <c r="K446" s="12">
        <v>146.33087920404259</v>
      </c>
      <c r="L446" s="40"/>
    </row>
    <row r="447" spans="1:12" x14ac:dyDescent="0.15">
      <c r="B447" s="12" t="s">
        <v>90</v>
      </c>
      <c r="C447" s="12">
        <v>0</v>
      </c>
      <c r="D447" s="12">
        <v>0</v>
      </c>
      <c r="E447" s="12">
        <v>0</v>
      </c>
      <c r="F447" s="12">
        <v>0</v>
      </c>
      <c r="G447" s="12">
        <v>0</v>
      </c>
      <c r="H447" s="12">
        <v>0</v>
      </c>
      <c r="I447" s="12">
        <v>0</v>
      </c>
      <c r="J447" s="12">
        <v>0</v>
      </c>
      <c r="K447" s="12">
        <v>0</v>
      </c>
      <c r="L447" s="40"/>
    </row>
    <row r="448" spans="1:12" ht="15" x14ac:dyDescent="0.2">
      <c r="A448" s="13"/>
      <c r="B448" s="13" t="s">
        <v>91</v>
      </c>
      <c r="C448" s="13">
        <v>3113.055042218959</v>
      </c>
      <c r="D448" s="13">
        <v>5255.1771729216734</v>
      </c>
      <c r="E448" s="13">
        <v>6215.9247484712241</v>
      </c>
      <c r="F448" s="13">
        <v>7103.5150938967245</v>
      </c>
      <c r="G448" s="13">
        <v>8213.0362055112273</v>
      </c>
      <c r="H448" s="13">
        <v>9660.8494888838995</v>
      </c>
      <c r="I448" s="13">
        <v>11168.609149303005</v>
      </c>
      <c r="J448" s="13">
        <v>12550.669160459858</v>
      </c>
      <c r="K448" s="13">
        <v>14532.524880706542</v>
      </c>
      <c r="L448" s="41"/>
    </row>
    <row r="449" spans="1:12" ht="15" x14ac:dyDescent="0.2">
      <c r="B449" s="17"/>
      <c r="L449" s="40"/>
    </row>
    <row r="450" spans="1:12" ht="19" x14ac:dyDescent="0.2">
      <c r="A450" s="26" t="s">
        <v>117</v>
      </c>
      <c r="B450" s="26"/>
      <c r="C450" s="26"/>
      <c r="D450" s="26"/>
      <c r="E450" s="26"/>
      <c r="F450" s="26"/>
      <c r="G450" s="26"/>
      <c r="H450" s="26"/>
      <c r="I450" s="26"/>
      <c r="J450" s="26"/>
      <c r="K450" s="26"/>
      <c r="L450" s="39"/>
    </row>
    <row r="451" spans="1:12" ht="14" x14ac:dyDescent="0.15">
      <c r="B451" s="18" t="s">
        <v>118</v>
      </c>
      <c r="C451" s="12">
        <v>6535.8618184974457</v>
      </c>
      <c r="D451" s="12">
        <v>5602.2227642170355</v>
      </c>
      <c r="E451" s="12">
        <v>4893.7891669914043</v>
      </c>
      <c r="F451" s="12">
        <v>4345.1042469647791</v>
      </c>
      <c r="G451" s="12">
        <v>3844.0816601974902</v>
      </c>
      <c r="H451" s="12">
        <v>3375.6135960953811</v>
      </c>
      <c r="I451" s="12">
        <v>2716.2719683055857</v>
      </c>
      <c r="J451" s="12">
        <v>2293.517265811714</v>
      </c>
      <c r="K451" s="12">
        <v>1760.8449329775733</v>
      </c>
      <c r="L451" s="40"/>
    </row>
    <row r="452" spans="1:12" ht="28" x14ac:dyDescent="0.15">
      <c r="B452" s="18" t="s">
        <v>119</v>
      </c>
      <c r="C452" s="12">
        <v>1710.3450460000004</v>
      </c>
      <c r="D452" s="12">
        <v>1307.9025310156189</v>
      </c>
      <c r="E452" s="12">
        <v>958.41222021339831</v>
      </c>
      <c r="F452" s="12">
        <v>707.76481365709992</v>
      </c>
      <c r="G452" s="12">
        <v>519.43979309624171</v>
      </c>
      <c r="H452" s="12">
        <v>391.24916971498101</v>
      </c>
      <c r="I452" s="12">
        <v>271.89409032424032</v>
      </c>
      <c r="J452" s="12">
        <v>202.79067896442891</v>
      </c>
      <c r="K452" s="12">
        <v>150.38666875828957</v>
      </c>
      <c r="L452" s="40"/>
    </row>
    <row r="453" spans="1:12" ht="14" x14ac:dyDescent="0.15">
      <c r="B453" s="18" t="s">
        <v>120</v>
      </c>
      <c r="C453" s="12">
        <v>3497.8615300000001</v>
      </c>
      <c r="D453" s="12">
        <v>3963.4938235712398</v>
      </c>
      <c r="E453" s="12">
        <v>3756.9693172957682</v>
      </c>
      <c r="F453" s="12">
        <v>3361.0539570411233</v>
      </c>
      <c r="G453" s="12">
        <v>2796.800595962553</v>
      </c>
      <c r="H453" s="12">
        <v>2282.8279622574551</v>
      </c>
      <c r="I453" s="12">
        <v>1826.7044447818716</v>
      </c>
      <c r="J453" s="12">
        <v>1373.2976658379519</v>
      </c>
      <c r="K453" s="12">
        <v>1096.9951534301729</v>
      </c>
      <c r="L453" s="40"/>
    </row>
    <row r="454" spans="1:12" ht="14" x14ac:dyDescent="0.15">
      <c r="B454" s="18" t="s">
        <v>29</v>
      </c>
      <c r="C454" s="12">
        <v>8871.2562230000021</v>
      </c>
      <c r="D454" s="12">
        <v>6805.1502599078231</v>
      </c>
      <c r="E454" s="12">
        <v>5261.813265936803</v>
      </c>
      <c r="F454" s="12">
        <v>3607.8382402521197</v>
      </c>
      <c r="G454" s="12">
        <v>2068.7240458003475</v>
      </c>
      <c r="H454" s="12">
        <v>733.31249291730342</v>
      </c>
      <c r="I454" s="12">
        <v>-94.190875545261335</v>
      </c>
      <c r="J454" s="12">
        <v>-642.26266815906297</v>
      </c>
      <c r="K454" s="12">
        <v>-971.7196308925968</v>
      </c>
      <c r="L454" s="40"/>
    </row>
    <row r="455" spans="1:12" ht="14" x14ac:dyDescent="0.15">
      <c r="B455" s="18" t="s">
        <v>121</v>
      </c>
      <c r="C455" s="12">
        <v>905.53599299999996</v>
      </c>
      <c r="D455" s="12">
        <v>1008.1469727767762</v>
      </c>
      <c r="E455" s="12">
        <v>828.13425556755271</v>
      </c>
      <c r="F455" s="12">
        <v>516.1191832602085</v>
      </c>
      <c r="G455" s="12">
        <v>25.142046235900942</v>
      </c>
      <c r="H455" s="12">
        <v>-457.87405103647035</v>
      </c>
      <c r="I455" s="12">
        <v>-790.89243642481608</v>
      </c>
      <c r="J455" s="12">
        <v>-1277.0841032013193</v>
      </c>
      <c r="K455" s="12">
        <v>-1455.6174707528189</v>
      </c>
      <c r="L455" s="40"/>
    </row>
    <row r="456" spans="1:12" ht="16" x14ac:dyDescent="0.2">
      <c r="B456" s="19" t="s">
        <v>91</v>
      </c>
      <c r="C456" s="13">
        <v>21520.86061049745</v>
      </c>
      <c r="D456" s="13">
        <v>18686.916351488493</v>
      </c>
      <c r="E456" s="13">
        <v>15699.118226004926</v>
      </c>
      <c r="F456" s="13">
        <v>12537.880441175332</v>
      </c>
      <c r="G456" s="13">
        <v>9254.1881412925322</v>
      </c>
      <c r="H456" s="13">
        <v>6325.1291699486501</v>
      </c>
      <c r="I456" s="13">
        <v>3929.7871914416201</v>
      </c>
      <c r="J456" s="13">
        <v>1950.258839253712</v>
      </c>
      <c r="K456" s="13">
        <v>580.88965352062041</v>
      </c>
      <c r="L456" s="40"/>
    </row>
    <row r="457" spans="1:12" x14ac:dyDescent="0.15">
      <c r="L457" s="40"/>
    </row>
    <row r="458" spans="1:12" ht="19" x14ac:dyDescent="0.2">
      <c r="A458" s="26" t="s">
        <v>122</v>
      </c>
      <c r="B458" s="26"/>
      <c r="C458" s="26"/>
      <c r="D458" s="26"/>
      <c r="E458" s="26"/>
      <c r="F458" s="26"/>
      <c r="G458" s="26"/>
      <c r="H458" s="26"/>
      <c r="I458" s="26"/>
      <c r="J458" s="26"/>
      <c r="K458" s="26"/>
      <c r="L458" s="39"/>
    </row>
    <row r="459" spans="1:12" ht="14" x14ac:dyDescent="0.15">
      <c r="B459" s="18" t="s">
        <v>118</v>
      </c>
      <c r="C459" s="12">
        <v>0</v>
      </c>
      <c r="D459" s="12">
        <v>626.30722777461301</v>
      </c>
      <c r="E459" s="12">
        <v>1102.8204281701619</v>
      </c>
      <c r="F459" s="12">
        <v>1551.0914588764076</v>
      </c>
      <c r="G459" s="12">
        <v>1997.8176659513995</v>
      </c>
      <c r="H459" s="12">
        <v>2312.6969918697391</v>
      </c>
      <c r="I459" s="12">
        <v>2827.5110894157451</v>
      </c>
      <c r="J459" s="12">
        <v>3114.6432119082333</v>
      </c>
      <c r="K459" s="12">
        <v>3484.1639264970836</v>
      </c>
      <c r="L459" s="40"/>
    </row>
    <row r="460" spans="1:12" ht="14" x14ac:dyDescent="0.15">
      <c r="B460" s="18" t="s">
        <v>29</v>
      </c>
      <c r="C460" s="12">
        <v>0</v>
      </c>
      <c r="D460" s="12">
        <v>30.093162117441675</v>
      </c>
      <c r="E460" s="12">
        <v>271.04287232984956</v>
      </c>
      <c r="F460" s="12">
        <v>917.06120698826567</v>
      </c>
      <c r="G460" s="12">
        <v>1785.9710678442866</v>
      </c>
      <c r="H460" s="12">
        <v>2435.3512473822343</v>
      </c>
      <c r="I460" s="12">
        <v>2350.0625653690722</v>
      </c>
      <c r="J460" s="12">
        <v>2648.502745099659</v>
      </c>
      <c r="K460" s="12">
        <v>3279.952284652592</v>
      </c>
      <c r="L460" s="40"/>
    </row>
    <row r="461" spans="1:12" ht="14" x14ac:dyDescent="0.15">
      <c r="B461" s="18" t="s">
        <v>121</v>
      </c>
      <c r="C461" s="12">
        <v>0</v>
      </c>
      <c r="D461" s="12">
        <v>22.123971659459748</v>
      </c>
      <c r="E461" s="12">
        <v>127.4684241858147</v>
      </c>
      <c r="F461" s="12">
        <v>300.48927549386389</v>
      </c>
      <c r="G461" s="12">
        <v>639.25613520056368</v>
      </c>
      <c r="H461" s="12">
        <v>956.97764084208234</v>
      </c>
      <c r="I461" s="12">
        <v>1201.8717773452677</v>
      </c>
      <c r="J461" s="12">
        <v>1637.288722767227</v>
      </c>
      <c r="K461" s="12">
        <v>1812.7160215516324</v>
      </c>
      <c r="L461" s="40"/>
    </row>
    <row r="462" spans="1:12" ht="16" x14ac:dyDescent="0.2">
      <c r="B462" s="19" t="s">
        <v>91</v>
      </c>
      <c r="C462" s="13">
        <v>0</v>
      </c>
      <c r="D462" s="13">
        <v>678.5243615515144</v>
      </c>
      <c r="E462" s="13">
        <v>1501.3317246858262</v>
      </c>
      <c r="F462" s="13">
        <v>2768.6419413585372</v>
      </c>
      <c r="G462" s="13">
        <v>4423.0448689962504</v>
      </c>
      <c r="H462" s="13">
        <v>5705.0258800940555</v>
      </c>
      <c r="I462" s="13">
        <v>6379.4454321300855</v>
      </c>
      <c r="J462" s="13">
        <v>7400.4346797751195</v>
      </c>
      <c r="K462" s="13">
        <v>8576.8322327013084</v>
      </c>
      <c r="L462" s="40"/>
    </row>
    <row r="463" spans="1:12" x14ac:dyDescent="0.15">
      <c r="L463" s="40"/>
    </row>
    <row r="464" spans="1:12" ht="19" x14ac:dyDescent="0.2">
      <c r="A464" s="26" t="s">
        <v>123</v>
      </c>
      <c r="B464" s="26"/>
      <c r="C464" s="26"/>
      <c r="D464" s="26"/>
      <c r="E464" s="26"/>
      <c r="F464" s="26"/>
      <c r="G464" s="26"/>
      <c r="H464" s="26"/>
      <c r="I464" s="26"/>
      <c r="J464" s="26"/>
      <c r="K464" s="26"/>
      <c r="L464" s="39"/>
    </row>
    <row r="465" spans="2:12" x14ac:dyDescent="0.15">
      <c r="B465" s="12" t="s">
        <v>118</v>
      </c>
      <c r="C465" s="12">
        <v>0</v>
      </c>
      <c r="D465" s="12">
        <v>8.8414315908277565</v>
      </c>
      <c r="E465" s="12">
        <v>21.026994261495386</v>
      </c>
      <c r="F465" s="12">
        <v>36.266330717629899</v>
      </c>
      <c r="G465" s="12">
        <v>70.145628149119318</v>
      </c>
      <c r="H465" s="12">
        <v>114.58283678949419</v>
      </c>
      <c r="I465" s="12">
        <v>150.89885218221309</v>
      </c>
      <c r="J465" s="12">
        <v>164.56009227915752</v>
      </c>
      <c r="K465" s="12">
        <v>259.7384573493963</v>
      </c>
      <c r="L465" s="40"/>
    </row>
    <row r="466" spans="2:12" x14ac:dyDescent="0.15">
      <c r="B466" s="12" t="s">
        <v>29</v>
      </c>
      <c r="C466" s="12">
        <v>0</v>
      </c>
      <c r="D466" s="12">
        <v>0</v>
      </c>
      <c r="E466" s="12">
        <v>1.0588454024377256</v>
      </c>
      <c r="F466" s="12">
        <v>8.4170648337777525</v>
      </c>
      <c r="G466" s="12">
        <v>67.838071455005277</v>
      </c>
      <c r="H466" s="12">
        <v>340.30737516531678</v>
      </c>
      <c r="I466" s="12">
        <v>650.97142575145551</v>
      </c>
      <c r="J466" s="12">
        <v>999.35308908381523</v>
      </c>
      <c r="K466" s="12">
        <v>1272.2813207855343</v>
      </c>
      <c r="L466" s="40"/>
    </row>
    <row r="467" spans="2:12" x14ac:dyDescent="0.15">
      <c r="B467" s="12" t="s">
        <v>121</v>
      </c>
      <c r="C467" s="12">
        <v>0</v>
      </c>
      <c r="D467" s="12">
        <v>7.9048314857998179</v>
      </c>
      <c r="E467" s="12">
        <v>95.315060087692302</v>
      </c>
      <c r="F467" s="12">
        <v>245.42061695642036</v>
      </c>
      <c r="G467" s="12">
        <v>566.41341281633504</v>
      </c>
      <c r="H467" s="12">
        <v>879.16988308325483</v>
      </c>
      <c r="I467" s="12">
        <v>1116.0437929505949</v>
      </c>
      <c r="J467" s="12">
        <v>1556.0149116603563</v>
      </c>
      <c r="K467" s="12">
        <v>1728.3663888139736</v>
      </c>
      <c r="L467" s="40"/>
    </row>
    <row r="468" spans="2:12" ht="15" x14ac:dyDescent="0.2">
      <c r="B468" s="35" t="s">
        <v>91</v>
      </c>
      <c r="C468" s="35">
        <v>0</v>
      </c>
      <c r="D468" s="35">
        <v>16.746263076627574</v>
      </c>
      <c r="E468" s="35">
        <v>117.40089975162542</v>
      </c>
      <c r="F468" s="35">
        <v>290.10401250782803</v>
      </c>
      <c r="G468" s="35">
        <v>704.39711242045962</v>
      </c>
      <c r="H468" s="35">
        <v>1334.0600950380658</v>
      </c>
      <c r="I468" s="35">
        <v>1917.9140708842635</v>
      </c>
      <c r="J468" s="35">
        <v>2719.928093023329</v>
      </c>
      <c r="K468" s="35">
        <v>3260.3861669489042</v>
      </c>
      <c r="L468" s="40"/>
    </row>
  </sheetData>
  <sheetProtection algorithmName="SHA-512" hashValue="qrRG4i2SQ2fNg1wAWwAHeN5rPdYHktq86Gi7P3z6wF2QynE5Dbr6dBRjCTSeYW94OIsvEarTsJZKE0AIAtqEwQ==" saltValue="+wrBN/9BuNvE1CzIfetspQ==" spinCount="100000" sheet="1" objects="1" scenarios="1"/>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F0EE-2499-483A-B0B6-2E22B1DDF571}">
  <sheetPr codeName="Sheet9"/>
  <dimension ref="A1:AQ173"/>
  <sheetViews>
    <sheetView topLeftCell="A64" zoomScale="110" zoomScaleNormal="110" workbookViewId="0">
      <selection activeCell="E103" sqref="E103"/>
    </sheetView>
  </sheetViews>
  <sheetFormatPr baseColWidth="10" defaultColWidth="8.83203125" defaultRowHeight="13" x14ac:dyDescent="0.15"/>
  <cols>
    <col min="1" max="1" width="39.5" customWidth="1"/>
    <col min="2" max="2" width="15.5" customWidth="1"/>
    <col min="3" max="3" width="77.5" customWidth="1"/>
    <col min="4" max="4" width="14.5" customWidth="1"/>
    <col min="5" max="5" width="12" customWidth="1"/>
    <col min="6" max="6" width="17.5" customWidth="1"/>
    <col min="7" max="8" width="12.1640625" customWidth="1"/>
    <col min="9" max="9" width="11.5" customWidth="1"/>
    <col min="10" max="13" width="11.5" bestFit="1" customWidth="1"/>
    <col min="14" max="15" width="12.5" bestFit="1" customWidth="1"/>
    <col min="16" max="34" width="11.5" bestFit="1" customWidth="1"/>
    <col min="35" max="35" width="12.5" bestFit="1" customWidth="1"/>
    <col min="36" max="40" width="10.1640625" bestFit="1" customWidth="1"/>
  </cols>
  <sheetData>
    <row r="1" spans="1:43" ht="14" thickBot="1" x14ac:dyDescent="0.2"/>
    <row r="2" spans="1:43" s="495" customFormat="1" ht="16" thickBot="1" x14ac:dyDescent="0.25">
      <c r="A2" s="494" t="s">
        <v>443</v>
      </c>
    </row>
    <row r="3" spans="1:43" ht="15" x14ac:dyDescent="0.2">
      <c r="A3" s="496"/>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row>
    <row r="4" spans="1:43" x14ac:dyDescent="0.15">
      <c r="A4" s="497" t="s">
        <v>444</v>
      </c>
      <c r="B4" s="497" t="s">
        <v>445</v>
      </c>
      <c r="C4" s="497" t="s">
        <v>446</v>
      </c>
      <c r="D4" s="497" t="s">
        <v>15</v>
      </c>
      <c r="E4" s="497">
        <v>2015</v>
      </c>
      <c r="F4" s="497">
        <v>2016</v>
      </c>
      <c r="G4" s="497">
        <v>2017</v>
      </c>
      <c r="H4" s="497">
        <v>2018</v>
      </c>
      <c r="I4" s="497">
        <v>2019</v>
      </c>
      <c r="J4" s="497">
        <v>2020</v>
      </c>
      <c r="K4" s="497">
        <f>J4+1</f>
        <v>2021</v>
      </c>
      <c r="L4" s="497">
        <f t="shared" ref="L4:AN4" si="0">K4+1</f>
        <v>2022</v>
      </c>
      <c r="M4" s="497">
        <f t="shared" si="0"/>
        <v>2023</v>
      </c>
      <c r="N4" s="497">
        <f t="shared" si="0"/>
        <v>2024</v>
      </c>
      <c r="O4" s="497">
        <f t="shared" si="0"/>
        <v>2025</v>
      </c>
      <c r="P4" s="497">
        <f t="shared" si="0"/>
        <v>2026</v>
      </c>
      <c r="Q4" s="497">
        <f t="shared" si="0"/>
        <v>2027</v>
      </c>
      <c r="R4" s="497">
        <f t="shared" si="0"/>
        <v>2028</v>
      </c>
      <c r="S4" s="497">
        <f t="shared" si="0"/>
        <v>2029</v>
      </c>
      <c r="T4" s="497">
        <f t="shared" si="0"/>
        <v>2030</v>
      </c>
      <c r="U4" s="497">
        <f t="shared" si="0"/>
        <v>2031</v>
      </c>
      <c r="V4" s="497">
        <f t="shared" si="0"/>
        <v>2032</v>
      </c>
      <c r="W4" s="497">
        <f t="shared" si="0"/>
        <v>2033</v>
      </c>
      <c r="X4" s="497">
        <f t="shared" si="0"/>
        <v>2034</v>
      </c>
      <c r="Y4" s="497">
        <f t="shared" si="0"/>
        <v>2035</v>
      </c>
      <c r="Z4" s="497">
        <f t="shared" si="0"/>
        <v>2036</v>
      </c>
      <c r="AA4" s="497">
        <f t="shared" si="0"/>
        <v>2037</v>
      </c>
      <c r="AB4" s="497">
        <f t="shared" si="0"/>
        <v>2038</v>
      </c>
      <c r="AC4" s="497">
        <f t="shared" si="0"/>
        <v>2039</v>
      </c>
      <c r="AD4" s="497">
        <f t="shared" si="0"/>
        <v>2040</v>
      </c>
      <c r="AE4" s="497">
        <f t="shared" si="0"/>
        <v>2041</v>
      </c>
      <c r="AF4" s="497">
        <f t="shared" si="0"/>
        <v>2042</v>
      </c>
      <c r="AG4" s="497">
        <f t="shared" si="0"/>
        <v>2043</v>
      </c>
      <c r="AH4" s="497">
        <f t="shared" si="0"/>
        <v>2044</v>
      </c>
      <c r="AI4" s="497">
        <f t="shared" si="0"/>
        <v>2045</v>
      </c>
      <c r="AJ4" s="497">
        <f t="shared" si="0"/>
        <v>2046</v>
      </c>
      <c r="AK4" s="497">
        <f t="shared" si="0"/>
        <v>2047</v>
      </c>
      <c r="AL4" s="497">
        <f t="shared" si="0"/>
        <v>2048</v>
      </c>
      <c r="AM4" s="497">
        <f t="shared" si="0"/>
        <v>2049</v>
      </c>
      <c r="AN4" s="497">
        <f t="shared" si="0"/>
        <v>2050</v>
      </c>
    </row>
    <row r="5" spans="1:43" x14ac:dyDescent="0.15">
      <c r="A5" t="s">
        <v>447</v>
      </c>
      <c r="C5" t="s">
        <v>448</v>
      </c>
      <c r="D5" t="s">
        <v>449</v>
      </c>
      <c r="E5" s="38">
        <f>Database!J37/10^6</f>
        <v>1869</v>
      </c>
      <c r="F5" s="38">
        <f>Database!K37/10^6</f>
        <v>1869</v>
      </c>
      <c r="G5" s="38">
        <f>Database!L37/10^6</f>
        <v>1869</v>
      </c>
      <c r="H5" s="38">
        <f>Database!M37/10^6</f>
        <v>1869</v>
      </c>
      <c r="I5" s="38">
        <f>Database!N37/10^6</f>
        <v>1869</v>
      </c>
      <c r="J5" s="498">
        <v>1781</v>
      </c>
      <c r="K5" s="498">
        <v>1881</v>
      </c>
      <c r="L5" s="498">
        <v>1888</v>
      </c>
      <c r="M5" s="498">
        <v>1894</v>
      </c>
      <c r="N5" s="498">
        <v>1900</v>
      </c>
      <c r="O5" s="498">
        <v>1906</v>
      </c>
      <c r="P5" s="498">
        <v>1912</v>
      </c>
      <c r="Q5" s="498">
        <v>1918</v>
      </c>
      <c r="R5" s="498">
        <v>1925</v>
      </c>
      <c r="S5" s="498">
        <v>1931</v>
      </c>
      <c r="T5" s="498">
        <v>1937</v>
      </c>
      <c r="U5" s="498">
        <v>1939</v>
      </c>
      <c r="V5" s="498">
        <v>1941</v>
      </c>
      <c r="W5" s="498">
        <v>1943</v>
      </c>
      <c r="X5" s="498">
        <v>1945</v>
      </c>
      <c r="Y5" s="498">
        <v>1948</v>
      </c>
      <c r="Z5" s="498">
        <v>1950</v>
      </c>
      <c r="AA5" s="498">
        <v>1952</v>
      </c>
      <c r="AB5" s="498">
        <v>1954</v>
      </c>
      <c r="AC5" s="498">
        <v>1956</v>
      </c>
      <c r="AD5" s="498">
        <v>1958</v>
      </c>
      <c r="AE5" s="498">
        <v>1961</v>
      </c>
      <c r="AF5" s="498">
        <v>1964</v>
      </c>
      <c r="AG5" s="498">
        <v>1967</v>
      </c>
      <c r="AH5" s="498">
        <v>1970</v>
      </c>
      <c r="AI5" s="498">
        <v>1973</v>
      </c>
      <c r="AJ5" s="498">
        <v>1975</v>
      </c>
      <c r="AK5" s="498">
        <v>1978</v>
      </c>
      <c r="AL5" s="498">
        <v>1981</v>
      </c>
      <c r="AM5" s="498">
        <v>1984</v>
      </c>
      <c r="AN5" s="498">
        <v>1987</v>
      </c>
      <c r="AO5" s="91"/>
    </row>
    <row r="6" spans="1:43" x14ac:dyDescent="0.15">
      <c r="A6" t="s">
        <v>450</v>
      </c>
      <c r="C6" t="s">
        <v>448</v>
      </c>
      <c r="D6" t="s">
        <v>451</v>
      </c>
      <c r="E6" s="38">
        <f t="shared" ref="E6:AN6" si="1">E9*E5*$C$75</f>
        <v>591.86219178082195</v>
      </c>
      <c r="F6" s="38">
        <f t="shared" si="1"/>
        <v>604.1076164383561</v>
      </c>
      <c r="G6" s="38">
        <f t="shared" si="1"/>
        <v>616.35304109589038</v>
      </c>
      <c r="H6" s="38">
        <f t="shared" si="1"/>
        <v>628.59846575342476</v>
      </c>
      <c r="I6" s="38">
        <f t="shared" si="1"/>
        <v>640.84389041095892</v>
      </c>
      <c r="J6" s="38">
        <f t="shared" si="1"/>
        <v>622.33925636007825</v>
      </c>
      <c r="K6" s="38">
        <f t="shared" si="1"/>
        <v>669.60655185909991</v>
      </c>
      <c r="L6" s="38">
        <f t="shared" si="1"/>
        <v>684.46835225048926</v>
      </c>
      <c r="M6" s="38">
        <f t="shared" si="1"/>
        <v>699.05279060665373</v>
      </c>
      <c r="N6" s="38">
        <f t="shared" si="1"/>
        <v>713.7158512720157</v>
      </c>
      <c r="O6" s="38">
        <f t="shared" si="1"/>
        <v>728.45753424657539</v>
      </c>
      <c r="P6" s="38">
        <f t="shared" si="1"/>
        <v>743.2778395303327</v>
      </c>
      <c r="Q6" s="38">
        <f t="shared" si="1"/>
        <v>758.17676712328773</v>
      </c>
      <c r="R6" s="38">
        <f t="shared" si="1"/>
        <v>773.55616438356174</v>
      </c>
      <c r="S6" s="38">
        <f t="shared" si="1"/>
        <v>788.61888845401188</v>
      </c>
      <c r="T6" s="38">
        <f t="shared" si="1"/>
        <v>803.76023483365964</v>
      </c>
      <c r="U6" s="38">
        <f t="shared" si="1"/>
        <v>813.05950684931508</v>
      </c>
      <c r="V6" s="38">
        <f t="shared" si="1"/>
        <v>822.3762504892369</v>
      </c>
      <c r="W6" s="38">
        <f t="shared" si="1"/>
        <v>831.71046575342473</v>
      </c>
      <c r="X6" s="38">
        <f t="shared" si="1"/>
        <v>841.0621526418787</v>
      </c>
      <c r="Y6" s="38">
        <f t="shared" si="1"/>
        <v>850.86810176125255</v>
      </c>
      <c r="Z6" s="38">
        <f t="shared" si="1"/>
        <v>860.25909980430538</v>
      </c>
      <c r="AA6" s="38">
        <f t="shared" si="1"/>
        <v>869.66756947162435</v>
      </c>
      <c r="AB6" s="38">
        <f t="shared" si="1"/>
        <v>879.09351076320957</v>
      </c>
      <c r="AC6" s="38">
        <f t="shared" si="1"/>
        <v>888.53692367906069</v>
      </c>
      <c r="AD6" s="38">
        <f t="shared" si="1"/>
        <v>897.9978082191783</v>
      </c>
      <c r="AE6" s="38">
        <f t="shared" si="1"/>
        <v>907.93916242661453</v>
      </c>
      <c r="AF6" s="38">
        <f t="shared" si="1"/>
        <v>917.9067240704502</v>
      </c>
      <c r="AG6" s="38">
        <f t="shared" si="1"/>
        <v>927.90049315068518</v>
      </c>
      <c r="AH6" s="38">
        <f t="shared" si="1"/>
        <v>937.92046966731914</v>
      </c>
      <c r="AI6" s="38">
        <f t="shared" si="1"/>
        <v>947.96665362035242</v>
      </c>
      <c r="AJ6" s="38">
        <f t="shared" si="1"/>
        <v>957.55420743639934</v>
      </c>
      <c r="AK6" s="38">
        <f t="shared" si="1"/>
        <v>967.64843835616455</v>
      </c>
      <c r="AL6" s="38">
        <f t="shared" si="1"/>
        <v>977.76887671232896</v>
      </c>
      <c r="AM6" s="38">
        <f t="shared" si="1"/>
        <v>987.91552250489258</v>
      </c>
      <c r="AN6" s="38">
        <f t="shared" si="1"/>
        <v>998.08837573385529</v>
      </c>
    </row>
    <row r="7" spans="1:43" x14ac:dyDescent="0.15">
      <c r="A7" t="s">
        <v>452</v>
      </c>
      <c r="C7" t="s">
        <v>453</v>
      </c>
      <c r="D7" t="s">
        <v>449</v>
      </c>
      <c r="E7" s="2">
        <f t="shared" ref="E7:AN7" si="2">E6/$C$75</f>
        <v>542.01</v>
      </c>
      <c r="F7" s="2">
        <f t="shared" si="2"/>
        <v>553.22399999999993</v>
      </c>
      <c r="G7" s="2">
        <f t="shared" si="2"/>
        <v>564.43799999999999</v>
      </c>
      <c r="H7" s="2">
        <f t="shared" si="2"/>
        <v>575.65200000000004</v>
      </c>
      <c r="I7" s="2">
        <f t="shared" si="2"/>
        <v>586.86599999999999</v>
      </c>
      <c r="J7" s="2">
        <f t="shared" si="2"/>
        <v>569.91999999999996</v>
      </c>
      <c r="K7" s="2">
        <f t="shared" si="2"/>
        <v>613.20600000000002</v>
      </c>
      <c r="L7" s="2">
        <f t="shared" si="2"/>
        <v>626.81600000000003</v>
      </c>
      <c r="M7" s="2">
        <f t="shared" si="2"/>
        <v>640.17200000000003</v>
      </c>
      <c r="N7" s="2">
        <f t="shared" si="2"/>
        <v>653.6</v>
      </c>
      <c r="O7" s="2">
        <f t="shared" si="2"/>
        <v>667.1</v>
      </c>
      <c r="P7" s="2">
        <f t="shared" si="2"/>
        <v>680.67200000000003</v>
      </c>
      <c r="Q7" s="2">
        <f t="shared" si="2"/>
        <v>694.31600000000003</v>
      </c>
      <c r="R7" s="2">
        <f t="shared" si="2"/>
        <v>708.40000000000009</v>
      </c>
      <c r="S7" s="2">
        <f t="shared" si="2"/>
        <v>722.19400000000007</v>
      </c>
      <c r="T7" s="2">
        <f t="shared" si="2"/>
        <v>736.06000000000006</v>
      </c>
      <c r="U7" s="2">
        <f t="shared" si="2"/>
        <v>744.57600000000002</v>
      </c>
      <c r="V7" s="2">
        <f t="shared" si="2"/>
        <v>753.10800000000006</v>
      </c>
      <c r="W7" s="2">
        <f t="shared" si="2"/>
        <v>761.65600000000006</v>
      </c>
      <c r="X7" s="2">
        <f t="shared" si="2"/>
        <v>770.22</v>
      </c>
      <c r="Y7" s="2">
        <f t="shared" si="2"/>
        <v>779.2</v>
      </c>
      <c r="Z7" s="2">
        <f t="shared" si="2"/>
        <v>787.80000000000007</v>
      </c>
      <c r="AA7" s="2">
        <f t="shared" si="2"/>
        <v>796.41600000000005</v>
      </c>
      <c r="AB7" s="2">
        <f t="shared" si="2"/>
        <v>805.04800000000012</v>
      </c>
      <c r="AC7" s="2">
        <f t="shared" si="2"/>
        <v>813.69600000000003</v>
      </c>
      <c r="AD7" s="2">
        <f t="shared" si="2"/>
        <v>822.36000000000013</v>
      </c>
      <c r="AE7" s="2">
        <f t="shared" si="2"/>
        <v>831.46400000000006</v>
      </c>
      <c r="AF7" s="2">
        <f t="shared" si="2"/>
        <v>840.5920000000001</v>
      </c>
      <c r="AG7" s="2">
        <f t="shared" si="2"/>
        <v>849.74400000000014</v>
      </c>
      <c r="AH7" s="2">
        <f t="shared" si="2"/>
        <v>858.92000000000007</v>
      </c>
      <c r="AI7" s="2">
        <f t="shared" si="2"/>
        <v>868.12000000000012</v>
      </c>
      <c r="AJ7" s="2">
        <f t="shared" si="2"/>
        <v>876.90000000000009</v>
      </c>
      <c r="AK7" s="2">
        <f t="shared" si="2"/>
        <v>886.14400000000012</v>
      </c>
      <c r="AL7" s="2">
        <f t="shared" si="2"/>
        <v>895.41200000000015</v>
      </c>
      <c r="AM7" s="2">
        <f t="shared" si="2"/>
        <v>904.70400000000018</v>
      </c>
      <c r="AN7" s="2">
        <f t="shared" si="2"/>
        <v>914.0200000000001</v>
      </c>
    </row>
    <row r="8" spans="1:43" x14ac:dyDescent="0.15">
      <c r="A8" t="s">
        <v>454</v>
      </c>
      <c r="C8" t="s">
        <v>455</v>
      </c>
      <c r="D8" t="s">
        <v>449</v>
      </c>
      <c r="E8" s="2">
        <f t="shared" ref="E8:I8" si="3">E5-E7</f>
        <v>1326.99</v>
      </c>
      <c r="F8" s="2">
        <f t="shared" si="3"/>
        <v>1315.7760000000001</v>
      </c>
      <c r="G8" s="2">
        <f t="shared" si="3"/>
        <v>1304.5619999999999</v>
      </c>
      <c r="H8" s="2">
        <f t="shared" si="3"/>
        <v>1293.348</v>
      </c>
      <c r="I8" s="2">
        <f t="shared" si="3"/>
        <v>1282.134</v>
      </c>
      <c r="J8" s="2">
        <f>J5-J7</f>
        <v>1211.08</v>
      </c>
      <c r="K8" s="2">
        <f t="shared" ref="K8:AN8" si="4">K5-K7</f>
        <v>1267.7939999999999</v>
      </c>
      <c r="L8" s="2">
        <f t="shared" si="4"/>
        <v>1261.184</v>
      </c>
      <c r="M8" s="2">
        <f t="shared" si="4"/>
        <v>1253.828</v>
      </c>
      <c r="N8" s="2">
        <f t="shared" si="4"/>
        <v>1246.4000000000001</v>
      </c>
      <c r="O8" s="2">
        <f t="shared" si="4"/>
        <v>1238.9000000000001</v>
      </c>
      <c r="P8" s="2">
        <f t="shared" si="4"/>
        <v>1231.328</v>
      </c>
      <c r="Q8" s="2">
        <f t="shared" si="4"/>
        <v>1223.684</v>
      </c>
      <c r="R8" s="2">
        <f t="shared" si="4"/>
        <v>1216.5999999999999</v>
      </c>
      <c r="S8" s="2">
        <f t="shared" si="4"/>
        <v>1208.806</v>
      </c>
      <c r="T8" s="2">
        <f t="shared" si="4"/>
        <v>1200.94</v>
      </c>
      <c r="U8" s="2">
        <f t="shared" si="4"/>
        <v>1194.424</v>
      </c>
      <c r="V8" s="2">
        <f t="shared" si="4"/>
        <v>1187.8919999999998</v>
      </c>
      <c r="W8" s="2">
        <f t="shared" si="4"/>
        <v>1181.3440000000001</v>
      </c>
      <c r="X8" s="2">
        <f t="shared" si="4"/>
        <v>1174.78</v>
      </c>
      <c r="Y8" s="2">
        <f t="shared" si="4"/>
        <v>1168.8</v>
      </c>
      <c r="Z8" s="2">
        <f t="shared" si="4"/>
        <v>1162.1999999999998</v>
      </c>
      <c r="AA8" s="2">
        <f t="shared" si="4"/>
        <v>1155.5839999999998</v>
      </c>
      <c r="AB8" s="2">
        <f t="shared" si="4"/>
        <v>1148.9519999999998</v>
      </c>
      <c r="AC8" s="2">
        <f t="shared" si="4"/>
        <v>1142.3040000000001</v>
      </c>
      <c r="AD8" s="2">
        <f t="shared" si="4"/>
        <v>1135.6399999999999</v>
      </c>
      <c r="AE8" s="2">
        <f t="shared" si="4"/>
        <v>1129.5360000000001</v>
      </c>
      <c r="AF8" s="2">
        <f t="shared" si="4"/>
        <v>1123.4079999999999</v>
      </c>
      <c r="AG8" s="2">
        <f t="shared" si="4"/>
        <v>1117.2559999999999</v>
      </c>
      <c r="AH8" s="2">
        <f t="shared" si="4"/>
        <v>1111.08</v>
      </c>
      <c r="AI8" s="2">
        <f t="shared" si="4"/>
        <v>1104.8799999999999</v>
      </c>
      <c r="AJ8" s="2">
        <f t="shared" si="4"/>
        <v>1098.0999999999999</v>
      </c>
      <c r="AK8" s="2">
        <f t="shared" si="4"/>
        <v>1091.8559999999998</v>
      </c>
      <c r="AL8" s="2">
        <f t="shared" si="4"/>
        <v>1085.5879999999997</v>
      </c>
      <c r="AM8" s="2">
        <f t="shared" si="4"/>
        <v>1079.2959999999998</v>
      </c>
      <c r="AN8" s="2">
        <f t="shared" si="4"/>
        <v>1072.98</v>
      </c>
    </row>
    <row r="9" spans="1:43" x14ac:dyDescent="0.15">
      <c r="C9" t="s">
        <v>507</v>
      </c>
      <c r="D9" t="s">
        <v>220</v>
      </c>
      <c r="E9" s="499">
        <f>F9-($T$9-$J$9)/10</f>
        <v>0.28999999999999998</v>
      </c>
      <c r="F9" s="499">
        <f t="shared" ref="F9:H9" si="5">G9-($T$9-$J$9)/10</f>
        <v>0.29599999999999999</v>
      </c>
      <c r="G9" s="499">
        <f t="shared" si="5"/>
        <v>0.30199999999999999</v>
      </c>
      <c r="H9" s="499">
        <f t="shared" si="5"/>
        <v>0.308</v>
      </c>
      <c r="I9" s="499">
        <f>J9-($T$9-$J$9)/10</f>
        <v>0.314</v>
      </c>
      <c r="J9" s="511">
        <v>0.32</v>
      </c>
      <c r="K9" s="499">
        <f t="shared" ref="K9:S9" si="6">J9+($T$9-$J$9)/10</f>
        <v>0.32600000000000001</v>
      </c>
      <c r="L9" s="499">
        <f t="shared" si="6"/>
        <v>0.33200000000000002</v>
      </c>
      <c r="M9" s="499">
        <f t="shared" si="6"/>
        <v>0.33800000000000002</v>
      </c>
      <c r="N9" s="499">
        <f t="shared" si="6"/>
        <v>0.34400000000000003</v>
      </c>
      <c r="O9" s="499">
        <f t="shared" si="6"/>
        <v>0.35000000000000003</v>
      </c>
      <c r="P9" s="499">
        <f t="shared" si="6"/>
        <v>0.35600000000000004</v>
      </c>
      <c r="Q9" s="499">
        <f t="shared" si="6"/>
        <v>0.36200000000000004</v>
      </c>
      <c r="R9" s="499">
        <f t="shared" si="6"/>
        <v>0.36800000000000005</v>
      </c>
      <c r="S9" s="499">
        <f t="shared" si="6"/>
        <v>0.37400000000000005</v>
      </c>
      <c r="T9" s="511">
        <v>0.38</v>
      </c>
      <c r="U9" s="499">
        <f t="shared" ref="U9:AM9" si="7">T9+($AN$9-$T$9)/20</f>
        <v>0.38400000000000001</v>
      </c>
      <c r="V9" s="499">
        <f t="shared" si="7"/>
        <v>0.38800000000000001</v>
      </c>
      <c r="W9" s="499">
        <f t="shared" si="7"/>
        <v>0.39200000000000002</v>
      </c>
      <c r="X9" s="499">
        <f t="shared" si="7"/>
        <v>0.39600000000000002</v>
      </c>
      <c r="Y9" s="499">
        <f t="shared" si="7"/>
        <v>0.4</v>
      </c>
      <c r="Z9" s="499">
        <f t="shared" si="7"/>
        <v>0.40400000000000003</v>
      </c>
      <c r="AA9" s="499">
        <f t="shared" si="7"/>
        <v>0.40800000000000003</v>
      </c>
      <c r="AB9" s="499">
        <f t="shared" si="7"/>
        <v>0.41200000000000003</v>
      </c>
      <c r="AC9" s="499">
        <f t="shared" si="7"/>
        <v>0.41600000000000004</v>
      </c>
      <c r="AD9" s="499">
        <f t="shared" si="7"/>
        <v>0.42000000000000004</v>
      </c>
      <c r="AE9" s="499">
        <f t="shared" si="7"/>
        <v>0.42400000000000004</v>
      </c>
      <c r="AF9" s="499">
        <f t="shared" si="7"/>
        <v>0.42800000000000005</v>
      </c>
      <c r="AG9" s="499">
        <f t="shared" si="7"/>
        <v>0.43200000000000005</v>
      </c>
      <c r="AH9" s="499">
        <f t="shared" si="7"/>
        <v>0.43600000000000005</v>
      </c>
      <c r="AI9" s="499">
        <f t="shared" si="7"/>
        <v>0.44000000000000006</v>
      </c>
      <c r="AJ9" s="499">
        <f t="shared" si="7"/>
        <v>0.44400000000000006</v>
      </c>
      <c r="AK9" s="499">
        <f t="shared" si="7"/>
        <v>0.44800000000000006</v>
      </c>
      <c r="AL9" s="499">
        <f t="shared" si="7"/>
        <v>0.45200000000000007</v>
      </c>
      <c r="AM9" s="499">
        <f t="shared" si="7"/>
        <v>0.45600000000000007</v>
      </c>
      <c r="AN9" s="511">
        <v>0.46</v>
      </c>
    </row>
    <row r="10" spans="1:43" x14ac:dyDescent="0.15">
      <c r="E10" s="38"/>
      <c r="F10" s="38"/>
      <c r="G10" s="38"/>
      <c r="H10" s="38"/>
      <c r="I10" s="38"/>
      <c r="T10" s="499"/>
    </row>
    <row r="11" spans="1:43" x14ac:dyDescent="0.15">
      <c r="A11" t="s">
        <v>456</v>
      </c>
      <c r="C11" t="s">
        <v>457</v>
      </c>
      <c r="D11" t="s">
        <v>458</v>
      </c>
      <c r="E11" s="38">
        <f t="shared" ref="E11:H11" si="8">F$11-($AN11-$J11)/($AN$4-$J$4)</f>
        <v>565.12499999999989</v>
      </c>
      <c r="F11" s="38">
        <f t="shared" si="8"/>
        <v>552.09999999999991</v>
      </c>
      <c r="G11" s="38">
        <f t="shared" si="8"/>
        <v>539.07499999999993</v>
      </c>
      <c r="H11" s="38">
        <f t="shared" si="8"/>
        <v>526.04999999999995</v>
      </c>
      <c r="I11" s="38">
        <f>J$11-($AN11-$J11)/($AN$4-$J$4)</f>
        <v>513.02499999999998</v>
      </c>
      <c r="J11" s="500">
        <v>500</v>
      </c>
      <c r="K11" s="38">
        <f>($AN11-$J11)/($AN$4-$J$4)+J11</f>
        <v>486.97500000000002</v>
      </c>
      <c r="L11" s="38">
        <f t="shared" ref="L11:AM11" si="9">($AN11-$J11)/($AN$4-$J$4)+K11</f>
        <v>473.95000000000005</v>
      </c>
      <c r="M11" s="38">
        <f t="shared" si="9"/>
        <v>460.92500000000007</v>
      </c>
      <c r="N11" s="38">
        <f t="shared" si="9"/>
        <v>447.90000000000009</v>
      </c>
      <c r="O11" s="38">
        <f t="shared" si="9"/>
        <v>434.87500000000011</v>
      </c>
      <c r="P11" s="38">
        <f t="shared" si="9"/>
        <v>421.85000000000014</v>
      </c>
      <c r="Q11" s="38">
        <f t="shared" si="9"/>
        <v>408.82500000000016</v>
      </c>
      <c r="R11" s="38">
        <f t="shared" si="9"/>
        <v>395.80000000000018</v>
      </c>
      <c r="S11" s="38">
        <f t="shared" si="9"/>
        <v>382.7750000000002</v>
      </c>
      <c r="T11" s="38">
        <f t="shared" si="9"/>
        <v>369.75000000000023</v>
      </c>
      <c r="U11" s="38">
        <f t="shared" si="9"/>
        <v>356.72500000000025</v>
      </c>
      <c r="V11" s="38">
        <f t="shared" si="9"/>
        <v>343.70000000000027</v>
      </c>
      <c r="W11" s="38">
        <f t="shared" si="9"/>
        <v>330.6750000000003</v>
      </c>
      <c r="X11" s="38">
        <f t="shared" si="9"/>
        <v>317.65000000000032</v>
      </c>
      <c r="Y11" s="38">
        <f t="shared" si="9"/>
        <v>304.62500000000034</v>
      </c>
      <c r="Z11" s="38">
        <f t="shared" si="9"/>
        <v>291.60000000000036</v>
      </c>
      <c r="AA11" s="38">
        <f t="shared" si="9"/>
        <v>278.57500000000039</v>
      </c>
      <c r="AB11" s="38">
        <f t="shared" si="9"/>
        <v>265.55000000000041</v>
      </c>
      <c r="AC11" s="38">
        <f t="shared" si="9"/>
        <v>252.5250000000004</v>
      </c>
      <c r="AD11" s="38">
        <f t="shared" si="9"/>
        <v>239.5000000000004</v>
      </c>
      <c r="AE11" s="38">
        <f t="shared" si="9"/>
        <v>226.47500000000039</v>
      </c>
      <c r="AF11" s="38">
        <f t="shared" si="9"/>
        <v>213.45000000000039</v>
      </c>
      <c r="AG11" s="38">
        <f t="shared" si="9"/>
        <v>200.42500000000038</v>
      </c>
      <c r="AH11" s="38">
        <f t="shared" si="9"/>
        <v>187.40000000000038</v>
      </c>
      <c r="AI11" s="38">
        <f t="shared" si="9"/>
        <v>174.37500000000037</v>
      </c>
      <c r="AJ11" s="38">
        <f t="shared" si="9"/>
        <v>161.35000000000036</v>
      </c>
      <c r="AK11" s="38">
        <f t="shared" si="9"/>
        <v>148.32500000000036</v>
      </c>
      <c r="AL11" s="38">
        <f t="shared" si="9"/>
        <v>135.30000000000035</v>
      </c>
      <c r="AM11" s="38">
        <f t="shared" si="9"/>
        <v>122.27500000000035</v>
      </c>
      <c r="AN11" s="501">
        <f>J18</f>
        <v>109.25</v>
      </c>
      <c r="AO11" s="513"/>
    </row>
    <row r="12" spans="1:43" x14ac:dyDescent="0.15">
      <c r="A12" t="s">
        <v>459</v>
      </c>
      <c r="C12" t="s">
        <v>460</v>
      </c>
      <c r="D12" t="s">
        <v>461</v>
      </c>
      <c r="E12" s="4">
        <f t="shared" ref="E12:I12" si="10">E7*E11/10^6</f>
        <v>0.30630340124999994</v>
      </c>
      <c r="F12" s="4">
        <f t="shared" si="10"/>
        <v>0.30543497039999995</v>
      </c>
      <c r="G12" s="4">
        <f t="shared" si="10"/>
        <v>0.30427441484999995</v>
      </c>
      <c r="H12" s="4">
        <f t="shared" si="10"/>
        <v>0.3028217346</v>
      </c>
      <c r="I12" s="4">
        <f t="shared" si="10"/>
        <v>0.30107692964999999</v>
      </c>
      <c r="J12" s="4">
        <f>J7*J11/10^6</f>
        <v>0.28495999999999999</v>
      </c>
      <c r="K12" s="4">
        <f t="shared" ref="K12:AN12" si="11">K7*K11/10^6</f>
        <v>0.29861599185000004</v>
      </c>
      <c r="L12" s="4">
        <f t="shared" si="11"/>
        <v>0.29707944320000002</v>
      </c>
      <c r="M12" s="4">
        <f t="shared" si="11"/>
        <v>0.29507127910000003</v>
      </c>
      <c r="N12" s="4">
        <f t="shared" si="11"/>
        <v>0.29274744000000008</v>
      </c>
      <c r="O12" s="4">
        <f t="shared" si="11"/>
        <v>0.2901051125000001</v>
      </c>
      <c r="P12" s="4">
        <f t="shared" si="11"/>
        <v>0.2871414832000001</v>
      </c>
      <c r="Q12" s="4">
        <f t="shared" si="11"/>
        <v>0.28385373870000008</v>
      </c>
      <c r="R12" s="4">
        <f t="shared" si="11"/>
        <v>0.28038472000000014</v>
      </c>
      <c r="S12" s="4">
        <f t="shared" si="11"/>
        <v>0.2764378083500002</v>
      </c>
      <c r="T12" s="4">
        <f t="shared" si="11"/>
        <v>0.27215818500000016</v>
      </c>
      <c r="U12" s="4">
        <f t="shared" si="11"/>
        <v>0.26560887360000018</v>
      </c>
      <c r="V12" s="4">
        <f t="shared" si="11"/>
        <v>0.25884321960000023</v>
      </c>
      <c r="W12" s="4">
        <f t="shared" si="11"/>
        <v>0.25186059780000025</v>
      </c>
      <c r="X12" s="4">
        <f t="shared" si="11"/>
        <v>0.24466038300000026</v>
      </c>
      <c r="Y12" s="4">
        <f t="shared" si="11"/>
        <v>0.23736380000000029</v>
      </c>
      <c r="Z12" s="4">
        <f t="shared" si="11"/>
        <v>0.22972248000000031</v>
      </c>
      <c r="AA12" s="4">
        <f t="shared" si="11"/>
        <v>0.22186158720000032</v>
      </c>
      <c r="AB12" s="4">
        <f t="shared" si="11"/>
        <v>0.21378049640000035</v>
      </c>
      <c r="AC12" s="4">
        <f t="shared" si="11"/>
        <v>0.20547858240000033</v>
      </c>
      <c r="AD12" s="4">
        <f t="shared" si="11"/>
        <v>0.19695522000000035</v>
      </c>
      <c r="AE12" s="4">
        <f t="shared" si="11"/>
        <v>0.18830580940000036</v>
      </c>
      <c r="AF12" s="4">
        <f t="shared" si="11"/>
        <v>0.17942436240000034</v>
      </c>
      <c r="AG12" s="4">
        <f t="shared" si="11"/>
        <v>0.17030994120000034</v>
      </c>
      <c r="AH12" s="4">
        <f t="shared" si="11"/>
        <v>0.16096160800000034</v>
      </c>
      <c r="AI12" s="4">
        <f t="shared" si="11"/>
        <v>0.15137842500000034</v>
      </c>
      <c r="AJ12" s="4">
        <f t="shared" si="11"/>
        <v>0.14148781500000032</v>
      </c>
      <c r="AK12" s="4">
        <f t="shared" si="11"/>
        <v>0.13143730880000035</v>
      </c>
      <c r="AL12" s="4">
        <f t="shared" si="11"/>
        <v>0.12114924360000033</v>
      </c>
      <c r="AM12" s="4">
        <f t="shared" si="11"/>
        <v>0.11062268160000033</v>
      </c>
      <c r="AN12" s="4">
        <f t="shared" si="11"/>
        <v>9.9856685000000014E-2</v>
      </c>
      <c r="AO12" s="513">
        <f>SUM(J12:AN12)</f>
        <v>6.9396243219000082</v>
      </c>
    </row>
    <row r="13" spans="1:43" x14ac:dyDescent="0.15">
      <c r="A13" t="s">
        <v>617</v>
      </c>
      <c r="C13" t="s">
        <v>463</v>
      </c>
      <c r="D13" t="s">
        <v>618</v>
      </c>
      <c r="E13" s="2">
        <f>D101</f>
        <v>3519.0886528101346</v>
      </c>
      <c r="F13" s="2">
        <f t="shared" ref="F13:AN13" si="12">E101</f>
        <v>3519.0886528101346</v>
      </c>
      <c r="G13" s="2">
        <f t="shared" si="12"/>
        <v>3519.0886528101346</v>
      </c>
      <c r="H13" s="2">
        <f t="shared" si="12"/>
        <v>3519.4657579772156</v>
      </c>
      <c r="I13" s="2">
        <f t="shared" si="12"/>
        <v>3519.0886528101346</v>
      </c>
      <c r="J13" s="2">
        <f t="shared" si="12"/>
        <v>3219.6710209068819</v>
      </c>
      <c r="K13" s="2">
        <f t="shared" si="12"/>
        <v>3210.7754604904781</v>
      </c>
      <c r="L13" s="2">
        <f t="shared" si="12"/>
        <v>3112.7439591503644</v>
      </c>
      <c r="M13" s="2">
        <f t="shared" si="12"/>
        <v>3014.6892759920693</v>
      </c>
      <c r="N13" s="2">
        <f t="shared" si="12"/>
        <v>2916.6114110155927</v>
      </c>
      <c r="O13" s="2">
        <f t="shared" si="12"/>
        <v>2818.5103642209342</v>
      </c>
      <c r="P13" s="2">
        <f t="shared" si="12"/>
        <v>2720.3861356080938</v>
      </c>
      <c r="Q13" s="2">
        <f t="shared" si="12"/>
        <v>2622.2387251770715</v>
      </c>
      <c r="R13" s="2">
        <f t="shared" si="12"/>
        <v>2524.0681329278673</v>
      </c>
      <c r="S13" s="2">
        <f t="shared" si="12"/>
        <v>2425.8743588604812</v>
      </c>
      <c r="T13" s="2">
        <f t="shared" si="12"/>
        <v>2327.6574029749131</v>
      </c>
      <c r="U13" s="2">
        <f t="shared" si="12"/>
        <v>2201.686700601289</v>
      </c>
      <c r="V13" s="2">
        <f t="shared" si="12"/>
        <v>2075.7123494776642</v>
      </c>
      <c r="W13" s="2">
        <f t="shared" si="12"/>
        <v>1949.7343496040398</v>
      </c>
      <c r="X13" s="2">
        <f t="shared" si="12"/>
        <v>1823.7527009804153</v>
      </c>
      <c r="Y13" s="2">
        <f t="shared" si="12"/>
        <v>1697.767403606791</v>
      </c>
      <c r="Z13" s="2">
        <f t="shared" si="12"/>
        <v>1571.7784574831667</v>
      </c>
      <c r="AA13" s="2">
        <f t="shared" si="12"/>
        <v>1445.7858626095419</v>
      </c>
      <c r="AB13" s="2">
        <f t="shared" si="12"/>
        <v>1319.7896189859175</v>
      </c>
      <c r="AC13" s="2">
        <f t="shared" si="12"/>
        <v>1193.7897266122932</v>
      </c>
      <c r="AD13" s="2">
        <f t="shared" si="12"/>
        <v>1067.7861854886687</v>
      </c>
      <c r="AE13" s="2">
        <f t="shared" si="12"/>
        <v>982.72435331584961</v>
      </c>
      <c r="AF13" s="2">
        <f t="shared" si="12"/>
        <v>897.66237614303054</v>
      </c>
      <c r="AG13" s="2">
        <f t="shared" si="12"/>
        <v>812.60025397021138</v>
      </c>
      <c r="AH13" s="2">
        <f t="shared" si="12"/>
        <v>727.53798679739225</v>
      </c>
      <c r="AI13" s="2">
        <f t="shared" si="12"/>
        <v>642.47557462457314</v>
      </c>
      <c r="AJ13" s="2">
        <f t="shared" si="12"/>
        <v>557.41301745175406</v>
      </c>
      <c r="AK13" s="2">
        <f t="shared" si="12"/>
        <v>472.35031527893489</v>
      </c>
      <c r="AL13" s="2">
        <f t="shared" si="12"/>
        <v>387.2874681061158</v>
      </c>
      <c r="AM13" s="2">
        <f t="shared" si="12"/>
        <v>302.22447593329667</v>
      </c>
      <c r="AN13" s="2">
        <f t="shared" si="12"/>
        <v>217.16133876047749</v>
      </c>
      <c r="AO13" s="91">
        <f>SUM(J13:AN13)</f>
        <v>53260.246763156174</v>
      </c>
      <c r="AQ13" s="4"/>
    </row>
    <row r="14" spans="1:43" x14ac:dyDescent="0.15">
      <c r="A14" t="s">
        <v>462</v>
      </c>
      <c r="C14" t="s">
        <v>463</v>
      </c>
      <c r="D14" t="s">
        <v>461</v>
      </c>
      <c r="E14" s="4">
        <f>E13/1000</f>
        <v>3.5190886528101344</v>
      </c>
      <c r="F14" s="4">
        <f t="shared" ref="F14:AN14" si="13">F13/1000</f>
        <v>3.5190886528101344</v>
      </c>
      <c r="G14" s="4">
        <f t="shared" si="13"/>
        <v>3.5190886528101344</v>
      </c>
      <c r="H14" s="4">
        <f t="shared" si="13"/>
        <v>3.5194657579772155</v>
      </c>
      <c r="I14" s="4">
        <f t="shared" si="13"/>
        <v>3.5190886528101344</v>
      </c>
      <c r="J14" s="4">
        <f t="shared" si="13"/>
        <v>3.219671020906882</v>
      </c>
      <c r="K14" s="4">
        <f t="shared" si="13"/>
        <v>3.2107754604904781</v>
      </c>
      <c r="L14" s="4">
        <f t="shared" si="13"/>
        <v>3.1127439591503645</v>
      </c>
      <c r="M14" s="4">
        <f t="shared" si="13"/>
        <v>3.0146892759920694</v>
      </c>
      <c r="N14" s="4">
        <f t="shared" si="13"/>
        <v>2.9166114110155927</v>
      </c>
      <c r="O14" s="4">
        <f t="shared" si="13"/>
        <v>2.8185103642209342</v>
      </c>
      <c r="P14" s="4">
        <f t="shared" si="13"/>
        <v>2.7203861356080936</v>
      </c>
      <c r="Q14" s="4">
        <f t="shared" si="13"/>
        <v>2.6222387251770716</v>
      </c>
      <c r="R14" s="4">
        <f t="shared" si="13"/>
        <v>2.5240681329278671</v>
      </c>
      <c r="S14" s="4">
        <f t="shared" si="13"/>
        <v>2.4258743588604812</v>
      </c>
      <c r="T14" s="4">
        <f t="shared" si="13"/>
        <v>2.3276574029749133</v>
      </c>
      <c r="U14" s="4">
        <f t="shared" si="13"/>
        <v>2.201686700601289</v>
      </c>
      <c r="V14" s="4">
        <f t="shared" si="13"/>
        <v>2.0757123494776644</v>
      </c>
      <c r="W14" s="4">
        <f t="shared" si="13"/>
        <v>1.9497343496040398</v>
      </c>
      <c r="X14" s="4">
        <f t="shared" si="13"/>
        <v>1.8237527009804153</v>
      </c>
      <c r="Y14" s="4">
        <f t="shared" si="13"/>
        <v>1.6977674036067911</v>
      </c>
      <c r="Z14" s="4">
        <f t="shared" si="13"/>
        <v>1.5717784574831666</v>
      </c>
      <c r="AA14" s="4">
        <f t="shared" si="13"/>
        <v>1.4457858626095419</v>
      </c>
      <c r="AB14" s="4">
        <f t="shared" si="13"/>
        <v>1.3197896189859175</v>
      </c>
      <c r="AC14" s="4">
        <f t="shared" si="13"/>
        <v>1.1937897266122932</v>
      </c>
      <c r="AD14" s="4">
        <f t="shared" si="13"/>
        <v>1.0677861854886688</v>
      </c>
      <c r="AE14" s="4">
        <f t="shared" si="13"/>
        <v>0.98272435331584962</v>
      </c>
      <c r="AF14" s="4">
        <f t="shared" si="13"/>
        <v>0.89766237614303057</v>
      </c>
      <c r="AG14" s="4">
        <f t="shared" si="13"/>
        <v>0.81260025397021141</v>
      </c>
      <c r="AH14" s="4">
        <f t="shared" si="13"/>
        <v>0.72753798679739223</v>
      </c>
      <c r="AI14" s="4">
        <f t="shared" si="13"/>
        <v>0.64247557462457316</v>
      </c>
      <c r="AJ14" s="4">
        <f t="shared" si="13"/>
        <v>0.55741301745175409</v>
      </c>
      <c r="AK14" s="4">
        <f t="shared" si="13"/>
        <v>0.4723503152789349</v>
      </c>
      <c r="AL14" s="4">
        <f t="shared" si="13"/>
        <v>0.38728746810611581</v>
      </c>
      <c r="AM14" s="4">
        <f t="shared" si="13"/>
        <v>0.30222447593329665</v>
      </c>
      <c r="AN14" s="4">
        <f t="shared" si="13"/>
        <v>0.2171613387604775</v>
      </c>
      <c r="AO14" s="513">
        <f>SUM(J14:AN14)</f>
        <v>53.260246763156175</v>
      </c>
    </row>
    <row r="15" spans="1:43" x14ac:dyDescent="0.15">
      <c r="A15" t="s">
        <v>464</v>
      </c>
      <c r="C15" t="s">
        <v>465</v>
      </c>
      <c r="D15" t="s">
        <v>461</v>
      </c>
      <c r="E15" s="502">
        <f t="shared" ref="E15:AJ15" si="14">E14-E12</f>
        <v>3.2127852515601343</v>
      </c>
      <c r="F15" s="502">
        <f t="shared" si="14"/>
        <v>3.2136536824101345</v>
      </c>
      <c r="G15" s="502">
        <f t="shared" si="14"/>
        <v>3.2148142379601343</v>
      </c>
      <c r="H15" s="502">
        <f t="shared" si="14"/>
        <v>3.2166440233772153</v>
      </c>
      <c r="I15" s="502">
        <f t="shared" si="14"/>
        <v>3.2180117231601342</v>
      </c>
      <c r="J15" s="502">
        <f t="shared" si="14"/>
        <v>2.9347110209068821</v>
      </c>
      <c r="K15" s="502">
        <f t="shared" si="14"/>
        <v>2.9121594686404779</v>
      </c>
      <c r="L15" s="502">
        <f t="shared" si="14"/>
        <v>2.8156645159503646</v>
      </c>
      <c r="M15" s="502">
        <f t="shared" si="14"/>
        <v>2.7196179968920693</v>
      </c>
      <c r="N15" s="502">
        <f t="shared" si="14"/>
        <v>2.6238639710155924</v>
      </c>
      <c r="O15" s="502">
        <f t="shared" si="14"/>
        <v>2.5284052517209341</v>
      </c>
      <c r="P15" s="502">
        <f t="shared" si="14"/>
        <v>2.4332446524080935</v>
      </c>
      <c r="Q15" s="502">
        <f t="shared" si="14"/>
        <v>2.3383849864770716</v>
      </c>
      <c r="R15" s="502">
        <f t="shared" si="14"/>
        <v>2.2436834129278669</v>
      </c>
      <c r="S15" s="502">
        <f t="shared" si="14"/>
        <v>2.1494365505104809</v>
      </c>
      <c r="T15" s="502">
        <f t="shared" si="14"/>
        <v>2.055499217974913</v>
      </c>
      <c r="U15" s="502">
        <f t="shared" si="14"/>
        <v>1.9360778270012888</v>
      </c>
      <c r="V15" s="502">
        <f t="shared" si="14"/>
        <v>1.8168691298776642</v>
      </c>
      <c r="W15" s="502">
        <f t="shared" si="14"/>
        <v>1.6978737518040394</v>
      </c>
      <c r="X15" s="502">
        <f t="shared" si="14"/>
        <v>1.5790923179804151</v>
      </c>
      <c r="Y15" s="502">
        <f t="shared" si="14"/>
        <v>1.4604036036067909</v>
      </c>
      <c r="Z15" s="502">
        <f t="shared" si="14"/>
        <v>1.3420559774831662</v>
      </c>
      <c r="AA15" s="502">
        <f t="shared" si="14"/>
        <v>1.2239242754095416</v>
      </c>
      <c r="AB15" s="502">
        <f t="shared" si="14"/>
        <v>1.1060091225859172</v>
      </c>
      <c r="AC15" s="502">
        <f t="shared" si="14"/>
        <v>0.98831114421229294</v>
      </c>
      <c r="AD15" s="502">
        <f t="shared" si="14"/>
        <v>0.87083096548866845</v>
      </c>
      <c r="AE15" s="502">
        <f t="shared" si="14"/>
        <v>0.79441854391584932</v>
      </c>
      <c r="AF15" s="502">
        <f t="shared" si="14"/>
        <v>0.7182380137430302</v>
      </c>
      <c r="AG15" s="502">
        <f t="shared" si="14"/>
        <v>0.64229031277021109</v>
      </c>
      <c r="AH15" s="502">
        <f t="shared" si="14"/>
        <v>0.56657637879739187</v>
      </c>
      <c r="AI15" s="502">
        <f t="shared" si="14"/>
        <v>0.49109714962457285</v>
      </c>
      <c r="AJ15" s="502">
        <f t="shared" si="14"/>
        <v>0.41592520245175379</v>
      </c>
      <c r="AK15" s="502">
        <f t="shared" ref="AK15:AN15" si="15">AK14-AK12</f>
        <v>0.34091300647893452</v>
      </c>
      <c r="AL15" s="502">
        <f t="shared" si="15"/>
        <v>0.26613822450611546</v>
      </c>
      <c r="AM15" s="502">
        <f t="shared" si="15"/>
        <v>0.19160179433329633</v>
      </c>
      <c r="AN15" s="502">
        <f t="shared" si="15"/>
        <v>0.11730465376047748</v>
      </c>
      <c r="AO15" s="513">
        <f>SUM(J15:AN15)</f>
        <v>46.320622441256162</v>
      </c>
      <c r="AP15" s="4">
        <f>AO12+AO15</f>
        <v>53.260246763156168</v>
      </c>
    </row>
    <row r="16" spans="1:43" x14ac:dyDescent="0.15">
      <c r="C16" t="s">
        <v>466</v>
      </c>
      <c r="D16" t="s">
        <v>458</v>
      </c>
      <c r="E16" s="2">
        <f t="shared" ref="E16:AJ16" si="16">E15/E8*10^6</f>
        <v>2421.1073569206505</v>
      </c>
      <c r="F16" s="2">
        <f t="shared" si="16"/>
        <v>2442.4018088262246</v>
      </c>
      <c r="G16" s="2">
        <f t="shared" si="16"/>
        <v>2464.2862799622667</v>
      </c>
      <c r="H16" s="2">
        <f t="shared" si="16"/>
        <v>2487.0676905034188</v>
      </c>
      <c r="I16" s="2">
        <f t="shared" si="16"/>
        <v>2509.887206142364</v>
      </c>
      <c r="J16" s="2">
        <f t="shared" si="16"/>
        <v>2423.2181366275408</v>
      </c>
      <c r="K16" s="2">
        <f t="shared" si="16"/>
        <v>2297.0289089871685</v>
      </c>
      <c r="L16" s="2">
        <f t="shared" si="16"/>
        <v>2232.5564833920862</v>
      </c>
      <c r="M16" s="2">
        <f t="shared" si="16"/>
        <v>2169.0518929965428</v>
      </c>
      <c r="N16" s="2">
        <f t="shared" si="16"/>
        <v>2105.1540203912004</v>
      </c>
      <c r="O16" s="2">
        <f t="shared" si="16"/>
        <v>2040.8469220445022</v>
      </c>
      <c r="P16" s="2">
        <f t="shared" si="16"/>
        <v>1976.1141242691576</v>
      </c>
      <c r="Q16" s="2">
        <f t="shared" si="16"/>
        <v>1910.9385972825269</v>
      </c>
      <c r="R16" s="2">
        <f t="shared" si="16"/>
        <v>1844.2244064835336</v>
      </c>
      <c r="S16" s="2">
        <f t="shared" si="16"/>
        <v>1778.148479169098</v>
      </c>
      <c r="T16" s="2">
        <f t="shared" si="16"/>
        <v>1711.5752810089703</v>
      </c>
      <c r="U16" s="2">
        <f t="shared" si="16"/>
        <v>1620.9301110839106</v>
      </c>
      <c r="V16" s="2">
        <f t="shared" si="16"/>
        <v>1529.4901639860059</v>
      </c>
      <c r="W16" s="2">
        <f t="shared" si="16"/>
        <v>1437.2390699102373</v>
      </c>
      <c r="X16" s="2">
        <f t="shared" si="16"/>
        <v>1344.1600282439395</v>
      </c>
      <c r="Y16" s="2">
        <f t="shared" si="16"/>
        <v>1249.4897361454405</v>
      </c>
      <c r="Z16" s="2">
        <f t="shared" si="16"/>
        <v>1154.7547560515973</v>
      </c>
      <c r="AA16" s="2">
        <f t="shared" si="16"/>
        <v>1059.1391672172181</v>
      </c>
      <c r="AB16" s="2">
        <f t="shared" si="16"/>
        <v>962.62430683433024</v>
      </c>
      <c r="AC16" s="2">
        <f t="shared" si="16"/>
        <v>865.19100363151392</v>
      </c>
      <c r="AD16" s="2">
        <f t="shared" si="16"/>
        <v>766.81956032604398</v>
      </c>
      <c r="AE16" s="2">
        <f t="shared" si="16"/>
        <v>703.3140545461581</v>
      </c>
      <c r="AF16" s="2">
        <f t="shared" si="16"/>
        <v>639.33852504435629</v>
      </c>
      <c r="AG16" s="2">
        <f t="shared" si="16"/>
        <v>574.8819543329472</v>
      </c>
      <c r="AH16" s="2">
        <f t="shared" si="16"/>
        <v>509.93301904218589</v>
      </c>
      <c r="AI16" s="2">
        <f t="shared" si="16"/>
        <v>444.48007894483828</v>
      </c>
      <c r="AJ16" s="2">
        <f t="shared" si="16"/>
        <v>378.76805614402502</v>
      </c>
      <c r="AK16" s="2">
        <f t="shared" ref="AK16:AN16" si="17">AK15/AK8*10^6</f>
        <v>312.23257140038118</v>
      </c>
      <c r="AL16" s="2">
        <f t="shared" si="17"/>
        <v>245.15582753873062</v>
      </c>
      <c r="AM16" s="2">
        <f t="shared" si="17"/>
        <v>177.52478868938303</v>
      </c>
      <c r="AN16" s="2">
        <f t="shared" si="17"/>
        <v>109.32603940472094</v>
      </c>
      <c r="AO16" s="91">
        <f>SUM(J16:AN16)</f>
        <v>38573.65007117029</v>
      </c>
    </row>
    <row r="17" spans="1:42" x14ac:dyDescent="0.15">
      <c r="A17" t="s">
        <v>467</v>
      </c>
      <c r="B17" t="s">
        <v>468</v>
      </c>
      <c r="C17" t="s">
        <v>469</v>
      </c>
      <c r="D17" t="s">
        <v>458</v>
      </c>
      <c r="J17" s="567">
        <f>AN15/AN8*1000000</f>
        <v>109.32603940472094</v>
      </c>
      <c r="L17" s="499"/>
      <c r="T17" s="499"/>
    </row>
    <row r="18" spans="1:42" x14ac:dyDescent="0.15">
      <c r="A18" t="s">
        <v>470</v>
      </c>
      <c r="B18" t="s">
        <v>471</v>
      </c>
      <c r="C18" t="s">
        <v>472</v>
      </c>
      <c r="D18" t="s">
        <v>458</v>
      </c>
      <c r="J18" s="568">
        <v>109.25</v>
      </c>
      <c r="K18" t="s">
        <v>473</v>
      </c>
    </row>
    <row r="19" spans="1:42" x14ac:dyDescent="0.15">
      <c r="E19" s="2"/>
      <c r="F19" s="2"/>
      <c r="G19" s="2"/>
      <c r="H19" s="2"/>
      <c r="I19" s="2"/>
    </row>
    <row r="20" spans="1:42" x14ac:dyDescent="0.15">
      <c r="A20" s="503"/>
      <c r="B20" s="503"/>
      <c r="C20" s="503" t="s">
        <v>474</v>
      </c>
      <c r="D20" s="503" t="s">
        <v>449</v>
      </c>
      <c r="E20" s="503"/>
      <c r="F20" s="503"/>
      <c r="G20" s="503"/>
      <c r="H20" s="503"/>
      <c r="I20" s="503"/>
      <c r="J20" s="504">
        <v>1781</v>
      </c>
      <c r="K20" s="503">
        <v>1881</v>
      </c>
      <c r="L20" s="503">
        <v>1888</v>
      </c>
      <c r="M20" s="503">
        <v>1894</v>
      </c>
      <c r="N20" s="503">
        <v>1900</v>
      </c>
      <c r="O20" s="503">
        <v>1906</v>
      </c>
      <c r="P20" s="503">
        <v>1912</v>
      </c>
      <c r="Q20" s="503">
        <v>1918</v>
      </c>
      <c r="R20" s="503">
        <v>1925</v>
      </c>
      <c r="S20" s="503">
        <v>1931</v>
      </c>
      <c r="T20" s="503">
        <v>1937</v>
      </c>
      <c r="U20" s="503">
        <v>1939</v>
      </c>
      <c r="V20" s="503">
        <v>1941</v>
      </c>
      <c r="W20" s="503">
        <v>1943</v>
      </c>
      <c r="X20" s="503">
        <v>1945</v>
      </c>
      <c r="Y20" s="503">
        <v>1948</v>
      </c>
      <c r="Z20" s="503">
        <v>1950</v>
      </c>
      <c r="AA20" s="503">
        <v>1952</v>
      </c>
      <c r="AB20" s="503">
        <v>1954</v>
      </c>
      <c r="AC20" s="503">
        <v>1956</v>
      </c>
      <c r="AD20" s="503">
        <v>1958</v>
      </c>
      <c r="AE20" s="503">
        <v>1961</v>
      </c>
      <c r="AF20" s="503">
        <v>1964</v>
      </c>
      <c r="AG20" s="503">
        <v>1967</v>
      </c>
      <c r="AH20" s="503">
        <v>1970</v>
      </c>
      <c r="AI20" s="503">
        <v>1973</v>
      </c>
      <c r="AJ20" s="503">
        <v>1975</v>
      </c>
      <c r="AK20" s="503">
        <v>1978</v>
      </c>
      <c r="AL20" s="503">
        <v>1981</v>
      </c>
      <c r="AM20" s="503">
        <v>1984</v>
      </c>
      <c r="AN20" s="503">
        <v>1987</v>
      </c>
      <c r="AO20" s="510">
        <f>SUM(J20:AN20)</f>
        <v>60099</v>
      </c>
      <c r="AP20" s="2">
        <f>AO20-AO5</f>
        <v>60099</v>
      </c>
    </row>
    <row r="21" spans="1:42" x14ac:dyDescent="0.15">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row>
    <row r="22" spans="1:42" ht="14" thickBot="1" x14ac:dyDescent="0.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2" s="495" customFormat="1" ht="16" thickBot="1" x14ac:dyDescent="0.25">
      <c r="A23" s="505" t="s">
        <v>475</v>
      </c>
    </row>
    <row r="24" spans="1:42" ht="15" x14ac:dyDescent="0.2">
      <c r="A24" s="496"/>
    </row>
    <row r="25" spans="1:42" s="497" customFormat="1" x14ac:dyDescent="0.15">
      <c r="A25" s="497" t="s">
        <v>476</v>
      </c>
      <c r="B25" s="497" t="s">
        <v>445</v>
      </c>
      <c r="C25" s="497" t="s">
        <v>446</v>
      </c>
      <c r="D25" s="497" t="s">
        <v>15</v>
      </c>
      <c r="E25" s="497">
        <v>2015</v>
      </c>
      <c r="F25" s="497">
        <v>2016</v>
      </c>
      <c r="G25" s="497">
        <v>2017</v>
      </c>
      <c r="H25" s="497">
        <v>2018</v>
      </c>
      <c r="I25" s="497">
        <v>2019</v>
      </c>
      <c r="J25" s="497">
        <v>2020</v>
      </c>
      <c r="K25" s="497">
        <f>J25+1</f>
        <v>2021</v>
      </c>
      <c r="L25" s="497">
        <f t="shared" ref="L25:AN25" si="18">K25+1</f>
        <v>2022</v>
      </c>
      <c r="M25" s="497">
        <f t="shared" si="18"/>
        <v>2023</v>
      </c>
      <c r="N25" s="497">
        <f t="shared" si="18"/>
        <v>2024</v>
      </c>
      <c r="O25" s="497">
        <f t="shared" si="18"/>
        <v>2025</v>
      </c>
      <c r="P25" s="497">
        <f t="shared" si="18"/>
        <v>2026</v>
      </c>
      <c r="Q25" s="497">
        <f t="shared" si="18"/>
        <v>2027</v>
      </c>
      <c r="R25" s="497">
        <f>Q25+1</f>
        <v>2028</v>
      </c>
      <c r="S25" s="497">
        <f t="shared" si="18"/>
        <v>2029</v>
      </c>
      <c r="T25" s="497">
        <f t="shared" si="18"/>
        <v>2030</v>
      </c>
      <c r="U25" s="497">
        <f t="shared" si="18"/>
        <v>2031</v>
      </c>
      <c r="V25" s="497">
        <f t="shared" si="18"/>
        <v>2032</v>
      </c>
      <c r="W25" s="497">
        <f t="shared" si="18"/>
        <v>2033</v>
      </c>
      <c r="X25" s="497">
        <f t="shared" si="18"/>
        <v>2034</v>
      </c>
      <c r="Y25" s="497">
        <f t="shared" si="18"/>
        <v>2035</v>
      </c>
      <c r="Z25" s="497">
        <f t="shared" si="18"/>
        <v>2036</v>
      </c>
      <c r="AA25" s="497">
        <f t="shared" si="18"/>
        <v>2037</v>
      </c>
      <c r="AB25" s="497">
        <f t="shared" si="18"/>
        <v>2038</v>
      </c>
      <c r="AC25" s="497">
        <f t="shared" si="18"/>
        <v>2039</v>
      </c>
      <c r="AD25" s="497">
        <f t="shared" si="18"/>
        <v>2040</v>
      </c>
      <c r="AE25" s="497">
        <f t="shared" si="18"/>
        <v>2041</v>
      </c>
      <c r="AF25" s="497">
        <f t="shared" si="18"/>
        <v>2042</v>
      </c>
      <c r="AG25" s="497">
        <f t="shared" si="18"/>
        <v>2043</v>
      </c>
      <c r="AH25" s="497">
        <f t="shared" si="18"/>
        <v>2044</v>
      </c>
      <c r="AI25" s="497">
        <f t="shared" si="18"/>
        <v>2045</v>
      </c>
      <c r="AJ25" s="497">
        <f t="shared" si="18"/>
        <v>2046</v>
      </c>
      <c r="AK25" s="497">
        <f>AJ25+1</f>
        <v>2047</v>
      </c>
      <c r="AL25" s="497">
        <f t="shared" si="18"/>
        <v>2048</v>
      </c>
      <c r="AM25" s="497">
        <f t="shared" si="18"/>
        <v>2049</v>
      </c>
      <c r="AN25" s="497">
        <f t="shared" si="18"/>
        <v>2050</v>
      </c>
    </row>
    <row r="26" spans="1:42" x14ac:dyDescent="0.15">
      <c r="A26" t="s">
        <v>477</v>
      </c>
      <c r="C26" t="s">
        <v>478</v>
      </c>
      <c r="D26" t="s">
        <v>220</v>
      </c>
      <c r="E26" s="499">
        <f>'Iron &amp; Steelmaker Tool'!$D$24</f>
        <v>0</v>
      </c>
      <c r="F26" s="499">
        <f>IF(F$25&gt;='Iron &amp; Steelmaker Tool'!$D$20,'Iron &amp; Steelmaker Tool'!$D$25,IF(F$25&lt;='Iron &amp; Steelmaker Tool'!$D$16,'Steel-data'!E26,'Steel-data'!E26+('Iron &amp; Steelmaker Tool'!$D$25-'Iron &amp; Steelmaker Tool'!$D$24)/('Iron &amp; Steelmaker Tool'!$D$20-'Iron &amp; Steelmaker Tool'!$D$16)))</f>
        <v>0</v>
      </c>
      <c r="G26" s="499">
        <f>IF(G$25&gt;='Iron &amp; Steelmaker Tool'!$D$20,'Iron &amp; Steelmaker Tool'!$D$25,IF(G$25&lt;='Iron &amp; Steelmaker Tool'!$D$16,'Steel-data'!F26,'Steel-data'!F26+('Iron &amp; Steelmaker Tool'!$D$25-'Iron &amp; Steelmaker Tool'!$D$24)/('Iron &amp; Steelmaker Tool'!$D$20-'Iron &amp; Steelmaker Tool'!$D$16)))</f>
        <v>0</v>
      </c>
      <c r="H26" s="499">
        <f>IF(H$25&gt;='Iron &amp; Steelmaker Tool'!$D$20,'Iron &amp; Steelmaker Tool'!$D$25,IF(H$25&lt;='Iron &amp; Steelmaker Tool'!$D$16,'Steel-data'!G26,'Steel-data'!G26+('Iron &amp; Steelmaker Tool'!$D$25-'Iron &amp; Steelmaker Tool'!$D$24)/('Iron &amp; Steelmaker Tool'!$D$20-'Iron &amp; Steelmaker Tool'!$D$16)))</f>
        <v>0</v>
      </c>
      <c r="I26" s="499">
        <f>IF(I$25&gt;='Iron &amp; Steelmaker Tool'!$D$20,'Iron &amp; Steelmaker Tool'!$D$25,IF(I$25&lt;='Iron &amp; Steelmaker Tool'!$D$16,'Steel-data'!H26,'Steel-data'!H26+('Iron &amp; Steelmaker Tool'!$D$25-'Iron &amp; Steelmaker Tool'!$D$24)/('Iron &amp; Steelmaker Tool'!$D$20-'Iron &amp; Steelmaker Tool'!$D$16)))</f>
        <v>0</v>
      </c>
      <c r="J26" s="499">
        <f>IF(J$25&gt;='Iron &amp; Steelmaker Tool'!$D$20,'Iron &amp; Steelmaker Tool'!$D$25,IF(J$25&lt;='Iron &amp; Steelmaker Tool'!$D$16,'Steel-data'!I26,'Steel-data'!I26+('Iron &amp; Steelmaker Tool'!$D$25-'Iron &amp; Steelmaker Tool'!$D$24)/('Iron &amp; Steelmaker Tool'!$D$20-'Iron &amp; Steelmaker Tool'!$D$16)))</f>
        <v>0</v>
      </c>
      <c r="K26" s="499">
        <f>IF(K$25&gt;='Iron &amp; Steelmaker Tool'!$D$20,'Iron &amp; Steelmaker Tool'!$D$25,IF(K$25&lt;='Iron &amp; Steelmaker Tool'!$D$16,'Steel-data'!J26,'Steel-data'!J26+('Iron &amp; Steelmaker Tool'!$D$25-'Iron &amp; Steelmaker Tool'!$D$24)/('Iron &amp; Steelmaker Tool'!$D$20-'Iron &amp; Steelmaker Tool'!$D$16)))</f>
        <v>0</v>
      </c>
      <c r="L26" s="499">
        <f>IF(L$25&gt;='Iron &amp; Steelmaker Tool'!$D$20,'Iron &amp; Steelmaker Tool'!$D$25,IF(L$25&lt;='Iron &amp; Steelmaker Tool'!$D$16,'Steel-data'!K26,'Steel-data'!K26+('Iron &amp; Steelmaker Tool'!$D$25-'Iron &amp; Steelmaker Tool'!$D$24)/('Iron &amp; Steelmaker Tool'!$D$20-'Iron &amp; Steelmaker Tool'!$D$16)))</f>
        <v>0</v>
      </c>
      <c r="M26" s="499">
        <f>IF(M$25&gt;='Iron &amp; Steelmaker Tool'!$D$20,'Iron &amp; Steelmaker Tool'!$D$25,IF(M$25&lt;='Iron &amp; Steelmaker Tool'!$D$16,'Steel-data'!L26,'Steel-data'!L26+('Iron &amp; Steelmaker Tool'!$D$25-'Iron &amp; Steelmaker Tool'!$D$24)/('Iron &amp; Steelmaker Tool'!$D$20-'Iron &amp; Steelmaker Tool'!$D$16)))</f>
        <v>0</v>
      </c>
      <c r="N26" s="499">
        <f>IF(N$25&gt;='Iron &amp; Steelmaker Tool'!$D$20,'Iron &amp; Steelmaker Tool'!$D$25,IF(N$25&lt;='Iron &amp; Steelmaker Tool'!$D$16,'Steel-data'!M26,'Steel-data'!M26+('Iron &amp; Steelmaker Tool'!$D$25-'Iron &amp; Steelmaker Tool'!$D$24)/('Iron &amp; Steelmaker Tool'!$D$20-'Iron &amp; Steelmaker Tool'!$D$16)))</f>
        <v>0</v>
      </c>
      <c r="O26" s="499">
        <f>IF(O$25&gt;='Iron &amp; Steelmaker Tool'!$D$20,'Iron &amp; Steelmaker Tool'!$D$25,IF(O$25&lt;='Iron &amp; Steelmaker Tool'!$D$16,'Steel-data'!N26,'Steel-data'!N26+('Iron &amp; Steelmaker Tool'!$D$25-'Iron &amp; Steelmaker Tool'!$D$24)/('Iron &amp; Steelmaker Tool'!$D$20-'Iron &amp; Steelmaker Tool'!$D$16)))</f>
        <v>0</v>
      </c>
      <c r="P26" s="499">
        <f>IF(P$25&gt;='Iron &amp; Steelmaker Tool'!$D$20,'Iron &amp; Steelmaker Tool'!$D$25,IF(P$25&lt;='Iron &amp; Steelmaker Tool'!$D$16,'Steel-data'!O26,'Steel-data'!O26+('Iron &amp; Steelmaker Tool'!$D$25-'Iron &amp; Steelmaker Tool'!$D$24)/('Iron &amp; Steelmaker Tool'!$D$20-'Iron &amp; Steelmaker Tool'!$D$16)))</f>
        <v>0</v>
      </c>
      <c r="Q26" s="499">
        <f>IF(Q$25&gt;='Iron &amp; Steelmaker Tool'!$D$20,'Iron &amp; Steelmaker Tool'!$D$25,IF(Q$25&lt;='Iron &amp; Steelmaker Tool'!$D$16,'Steel-data'!P26,'Steel-data'!P26+('Iron &amp; Steelmaker Tool'!$D$25-'Iron &amp; Steelmaker Tool'!$D$24)/('Iron &amp; Steelmaker Tool'!$D$20-'Iron &amp; Steelmaker Tool'!$D$16)))</f>
        <v>0</v>
      </c>
      <c r="R26" s="499">
        <f>IF(R$25&gt;='Iron &amp; Steelmaker Tool'!$D$20,'Iron &amp; Steelmaker Tool'!$D$25,IF(R$25&lt;='Iron &amp; Steelmaker Tool'!$D$16,'Steel-data'!Q26,'Steel-data'!Q26+('Iron &amp; Steelmaker Tool'!$D$25-'Iron &amp; Steelmaker Tool'!$D$24)/('Iron &amp; Steelmaker Tool'!$D$20-'Iron &amp; Steelmaker Tool'!$D$16)))</f>
        <v>0</v>
      </c>
      <c r="S26" s="499">
        <f>IF(S$25&gt;='Iron &amp; Steelmaker Tool'!$D$20,'Iron &amp; Steelmaker Tool'!$D$25,IF(S$25&lt;='Iron &amp; Steelmaker Tool'!$D$16,'Steel-data'!R26,'Steel-data'!R26+('Iron &amp; Steelmaker Tool'!$D$25-'Iron &amp; Steelmaker Tool'!$D$24)/('Iron &amp; Steelmaker Tool'!$D$20-'Iron &amp; Steelmaker Tool'!$D$16)))</f>
        <v>0</v>
      </c>
      <c r="T26" s="499">
        <f>IF(T$25&gt;='Iron &amp; Steelmaker Tool'!$D$20,'Iron &amp; Steelmaker Tool'!$D$25,IF(T$25&lt;='Iron &amp; Steelmaker Tool'!$D$16,'Steel-data'!S26,'Steel-data'!S26+('Iron &amp; Steelmaker Tool'!$D$25-'Iron &amp; Steelmaker Tool'!$D$24)/('Iron &amp; Steelmaker Tool'!$D$20-'Iron &amp; Steelmaker Tool'!$D$16)))</f>
        <v>0</v>
      </c>
      <c r="U26" s="499">
        <f>IF(U$25&gt;='Iron &amp; Steelmaker Tool'!$D$20,'Iron &amp; Steelmaker Tool'!$D$25,IF(U$25&lt;='Iron &amp; Steelmaker Tool'!$D$16,'Steel-data'!T26,'Steel-data'!T26+('Iron &amp; Steelmaker Tool'!$D$25-'Iron &amp; Steelmaker Tool'!$D$24)/('Iron &amp; Steelmaker Tool'!$D$20-'Iron &amp; Steelmaker Tool'!$D$16)))</f>
        <v>0</v>
      </c>
      <c r="V26" s="499">
        <f>IF(V$25&gt;='Iron &amp; Steelmaker Tool'!$D$20,'Iron &amp; Steelmaker Tool'!$D$25,IF(V$25&lt;='Iron &amp; Steelmaker Tool'!$D$16,'Steel-data'!U26,'Steel-data'!U26+('Iron &amp; Steelmaker Tool'!$D$25-'Iron &amp; Steelmaker Tool'!$D$24)/('Iron &amp; Steelmaker Tool'!$D$20-'Iron &amp; Steelmaker Tool'!$D$16)))</f>
        <v>0</v>
      </c>
      <c r="W26" s="499">
        <f>IF(W$25&gt;='Iron &amp; Steelmaker Tool'!$D$20,'Iron &amp; Steelmaker Tool'!$D$25,IF(W$25&lt;='Iron &amp; Steelmaker Tool'!$D$16,'Steel-data'!V26,'Steel-data'!V26+('Iron &amp; Steelmaker Tool'!$D$25-'Iron &amp; Steelmaker Tool'!$D$24)/('Iron &amp; Steelmaker Tool'!$D$20-'Iron &amp; Steelmaker Tool'!$D$16)))</f>
        <v>0</v>
      </c>
      <c r="X26" s="499">
        <f>IF(X$25&gt;='Iron &amp; Steelmaker Tool'!$D$20,'Iron &amp; Steelmaker Tool'!$D$25,IF(X$25&lt;='Iron &amp; Steelmaker Tool'!$D$16,'Steel-data'!W26,'Steel-data'!W26+('Iron &amp; Steelmaker Tool'!$D$25-'Iron &amp; Steelmaker Tool'!$D$24)/('Iron &amp; Steelmaker Tool'!$D$20-'Iron &amp; Steelmaker Tool'!$D$16)))</f>
        <v>0</v>
      </c>
      <c r="Y26" s="499">
        <f>IF(Y$25&gt;='Iron &amp; Steelmaker Tool'!$D$20,'Iron &amp; Steelmaker Tool'!$D$25,IF(Y$25&lt;='Iron &amp; Steelmaker Tool'!$D$16,'Steel-data'!X26,'Steel-data'!X26+('Iron &amp; Steelmaker Tool'!$D$25-'Iron &amp; Steelmaker Tool'!$D$24)/('Iron &amp; Steelmaker Tool'!$D$20-'Iron &amp; Steelmaker Tool'!$D$16)))</f>
        <v>0</v>
      </c>
      <c r="Z26" s="499">
        <f>IF(Z$25&gt;='Iron &amp; Steelmaker Tool'!$D$20,'Iron &amp; Steelmaker Tool'!$D$25,IF(Z$25&lt;='Iron &amp; Steelmaker Tool'!$D$16,'Steel-data'!Y26,'Steel-data'!Y26+('Iron &amp; Steelmaker Tool'!$D$25-'Iron &amp; Steelmaker Tool'!$D$24)/('Iron &amp; Steelmaker Tool'!$D$20-'Iron &amp; Steelmaker Tool'!$D$16)))</f>
        <v>0</v>
      </c>
      <c r="AA26" s="499">
        <f>IF(AA$25&gt;='Iron &amp; Steelmaker Tool'!$D$20,'Iron &amp; Steelmaker Tool'!$D$25,IF(AA$25&lt;='Iron &amp; Steelmaker Tool'!$D$16,'Steel-data'!Z26,'Steel-data'!Z26+('Iron &amp; Steelmaker Tool'!$D$25-'Iron &amp; Steelmaker Tool'!$D$24)/('Iron &amp; Steelmaker Tool'!$D$20-'Iron &amp; Steelmaker Tool'!$D$16)))</f>
        <v>0</v>
      </c>
      <c r="AB26" s="499">
        <f>IF(AB$25&gt;='Iron &amp; Steelmaker Tool'!$D$20,'Iron &amp; Steelmaker Tool'!$D$25,IF(AB$25&lt;='Iron &amp; Steelmaker Tool'!$D$16,'Steel-data'!AA26,'Steel-data'!AA26+('Iron &amp; Steelmaker Tool'!$D$25-'Iron &amp; Steelmaker Tool'!$D$24)/('Iron &amp; Steelmaker Tool'!$D$20-'Iron &amp; Steelmaker Tool'!$D$16)))</f>
        <v>0</v>
      </c>
      <c r="AC26" s="499">
        <f>IF(AC$25&gt;='Iron &amp; Steelmaker Tool'!$D$20,'Iron &amp; Steelmaker Tool'!$D$25,IF(AC$25&lt;='Iron &amp; Steelmaker Tool'!$D$16,'Steel-data'!AB26,'Steel-data'!AB26+('Iron &amp; Steelmaker Tool'!$D$25-'Iron &amp; Steelmaker Tool'!$D$24)/('Iron &amp; Steelmaker Tool'!$D$20-'Iron &amp; Steelmaker Tool'!$D$16)))</f>
        <v>0</v>
      </c>
      <c r="AD26" s="499">
        <f>IF(AD$25&gt;='Iron &amp; Steelmaker Tool'!$D$20,'Iron &amp; Steelmaker Tool'!$D$25,IF(AD$25&lt;='Iron &amp; Steelmaker Tool'!$D$16,'Steel-data'!AC26,'Steel-data'!AC26+('Iron &amp; Steelmaker Tool'!$D$25-'Iron &amp; Steelmaker Tool'!$D$24)/('Iron &amp; Steelmaker Tool'!$D$20-'Iron &amp; Steelmaker Tool'!$D$16)))</f>
        <v>0</v>
      </c>
      <c r="AE26" s="499">
        <f>IF(AE$25&gt;='Iron &amp; Steelmaker Tool'!$D$20,'Iron &amp; Steelmaker Tool'!$D$25,IF(AE$25&lt;='Iron &amp; Steelmaker Tool'!$D$16,'Steel-data'!AD26,'Steel-data'!AD26+('Iron &amp; Steelmaker Tool'!$D$25-'Iron &amp; Steelmaker Tool'!$D$24)/('Iron &amp; Steelmaker Tool'!$D$20-'Iron &amp; Steelmaker Tool'!$D$16)))</f>
        <v>0</v>
      </c>
      <c r="AF26" s="499">
        <f>IF(AF$25&gt;='Iron &amp; Steelmaker Tool'!$D$20,'Iron &amp; Steelmaker Tool'!$D$25,IF(AF$25&lt;='Iron &amp; Steelmaker Tool'!$D$16,'Steel-data'!AE26,'Steel-data'!AE26+('Iron &amp; Steelmaker Tool'!$D$25-'Iron &amp; Steelmaker Tool'!$D$24)/('Iron &amp; Steelmaker Tool'!$D$20-'Iron &amp; Steelmaker Tool'!$D$16)))</f>
        <v>0</v>
      </c>
      <c r="AG26" s="499">
        <f>IF(AG$25&gt;='Iron &amp; Steelmaker Tool'!$D$20,'Iron &amp; Steelmaker Tool'!$D$25,IF(AG$25&lt;='Iron &amp; Steelmaker Tool'!$D$16,'Steel-data'!AF26,'Steel-data'!AF26+('Iron &amp; Steelmaker Tool'!$D$25-'Iron &amp; Steelmaker Tool'!$D$24)/('Iron &amp; Steelmaker Tool'!$D$20-'Iron &amp; Steelmaker Tool'!$D$16)))</f>
        <v>0</v>
      </c>
      <c r="AH26" s="499">
        <f>IF(AH$25&gt;='Iron &amp; Steelmaker Tool'!$D$20,'Iron &amp; Steelmaker Tool'!$D$25,IF(AH$25&lt;='Iron &amp; Steelmaker Tool'!$D$16,'Steel-data'!AG26,'Steel-data'!AG26+('Iron &amp; Steelmaker Tool'!$D$25-'Iron &amp; Steelmaker Tool'!$D$24)/('Iron &amp; Steelmaker Tool'!$D$20-'Iron &amp; Steelmaker Tool'!$D$16)))</f>
        <v>0</v>
      </c>
      <c r="AI26" s="499">
        <f>IF(AI$25&gt;='Iron &amp; Steelmaker Tool'!$D$20,'Iron &amp; Steelmaker Tool'!$D$25,IF(AI$25&lt;='Iron &amp; Steelmaker Tool'!$D$16,'Steel-data'!AH26,'Steel-data'!AH26+('Iron &amp; Steelmaker Tool'!$D$25-'Iron &amp; Steelmaker Tool'!$D$24)/('Iron &amp; Steelmaker Tool'!$D$20-'Iron &amp; Steelmaker Tool'!$D$16)))</f>
        <v>0</v>
      </c>
      <c r="AJ26" s="499">
        <f>IF(AJ$25&gt;='Iron &amp; Steelmaker Tool'!$D$20,'Iron &amp; Steelmaker Tool'!$D$25,IF(AJ$25&lt;='Iron &amp; Steelmaker Tool'!$D$16,'Steel-data'!AI26,'Steel-data'!AI26+('Iron &amp; Steelmaker Tool'!$D$25-'Iron &amp; Steelmaker Tool'!$D$24)/('Iron &amp; Steelmaker Tool'!$D$20-'Iron &amp; Steelmaker Tool'!$D$16)))</f>
        <v>0</v>
      </c>
      <c r="AK26" s="499">
        <f>IF(AK$25&gt;='Iron &amp; Steelmaker Tool'!$D$20,'Iron &amp; Steelmaker Tool'!$D$25,IF(AK$25&lt;='Iron &amp; Steelmaker Tool'!$D$16,'Steel-data'!AJ26,'Steel-data'!AJ26+('Iron &amp; Steelmaker Tool'!$D$25-'Iron &amp; Steelmaker Tool'!$D$24)/('Iron &amp; Steelmaker Tool'!$D$20-'Iron &amp; Steelmaker Tool'!$D$16)))</f>
        <v>0</v>
      </c>
      <c r="AL26" s="499">
        <f>IF(AL$25&gt;='Iron &amp; Steelmaker Tool'!$D$20,'Iron &amp; Steelmaker Tool'!$D$25,IF(AL$25&lt;='Iron &amp; Steelmaker Tool'!$D$16,'Steel-data'!AK26,'Steel-data'!AK26+('Iron &amp; Steelmaker Tool'!$D$25-'Iron &amp; Steelmaker Tool'!$D$24)/('Iron &amp; Steelmaker Tool'!$D$20-'Iron &amp; Steelmaker Tool'!$D$16)))</f>
        <v>0</v>
      </c>
      <c r="AM26" s="499">
        <f>IF(AM$25&gt;='Iron &amp; Steelmaker Tool'!$D$20,'Iron &amp; Steelmaker Tool'!$D$25,IF(AM$25&lt;='Iron &amp; Steelmaker Tool'!$D$16,'Steel-data'!AL26,'Steel-data'!AL26+('Iron &amp; Steelmaker Tool'!$D$25-'Iron &amp; Steelmaker Tool'!$D$24)/('Iron &amp; Steelmaker Tool'!$D$20-'Iron &amp; Steelmaker Tool'!$D$16)))</f>
        <v>0</v>
      </c>
      <c r="AN26" s="499">
        <f>IF(AN$25&gt;='Iron &amp; Steelmaker Tool'!$D$20,'Iron &amp; Steelmaker Tool'!$D$25,IF(AN$25&lt;='Iron &amp; Steelmaker Tool'!$D$16,'Steel-data'!AM26,'Steel-data'!AM26+('Iron &amp; Steelmaker Tool'!$D$25-'Iron &amp; Steelmaker Tool'!$D$24)/('Iron &amp; Steelmaker Tool'!$D$20-'Iron &amp; Steelmaker Tool'!$D$16)))</f>
        <v>0</v>
      </c>
    </row>
    <row r="27" spans="1:42" x14ac:dyDescent="0.15">
      <c r="A27" t="s">
        <v>479</v>
      </c>
      <c r="B27" t="s">
        <v>480</v>
      </c>
      <c r="C27" t="s">
        <v>481</v>
      </c>
      <c r="D27" t="s">
        <v>608</v>
      </c>
      <c r="E27" s="542">
        <f t="shared" ref="E27:AN27" si="19">($J$17*(1-E26)+$J$18*E26)/1000</f>
        <v>0.10932603940472095</v>
      </c>
      <c r="F27" s="542">
        <f t="shared" si="19"/>
        <v>0.10932603940472095</v>
      </c>
      <c r="G27" s="542">
        <f t="shared" si="19"/>
        <v>0.10932603940472095</v>
      </c>
      <c r="H27" s="542">
        <f t="shared" si="19"/>
        <v>0.10932603940472095</v>
      </c>
      <c r="I27" s="542">
        <f t="shared" si="19"/>
        <v>0.10932603940472095</v>
      </c>
      <c r="J27" s="542">
        <f t="shared" si="19"/>
        <v>0.10932603940472095</v>
      </c>
      <c r="K27" s="542">
        <f t="shared" si="19"/>
        <v>0.10932603940472095</v>
      </c>
      <c r="L27" s="542">
        <f t="shared" si="19"/>
        <v>0.10932603940472095</v>
      </c>
      <c r="M27" s="542">
        <f t="shared" si="19"/>
        <v>0.10932603940472095</v>
      </c>
      <c r="N27" s="542">
        <f t="shared" si="19"/>
        <v>0.10932603940472095</v>
      </c>
      <c r="O27" s="542">
        <f t="shared" si="19"/>
        <v>0.10932603940472095</v>
      </c>
      <c r="P27" s="542">
        <f t="shared" si="19"/>
        <v>0.10932603940472095</v>
      </c>
      <c r="Q27" s="542">
        <f t="shared" si="19"/>
        <v>0.10932603940472095</v>
      </c>
      <c r="R27" s="542">
        <f t="shared" si="19"/>
        <v>0.10932603940472095</v>
      </c>
      <c r="S27" s="542">
        <f t="shared" si="19"/>
        <v>0.10932603940472095</v>
      </c>
      <c r="T27" s="542">
        <f t="shared" si="19"/>
        <v>0.10932603940472095</v>
      </c>
      <c r="U27" s="542">
        <f t="shared" si="19"/>
        <v>0.10932603940472095</v>
      </c>
      <c r="V27" s="542">
        <f t="shared" si="19"/>
        <v>0.10932603940472095</v>
      </c>
      <c r="W27" s="542">
        <f t="shared" si="19"/>
        <v>0.10932603940472095</v>
      </c>
      <c r="X27" s="542">
        <f t="shared" si="19"/>
        <v>0.10932603940472095</v>
      </c>
      <c r="Y27" s="542">
        <f t="shared" si="19"/>
        <v>0.10932603940472095</v>
      </c>
      <c r="Z27" s="542">
        <f t="shared" si="19"/>
        <v>0.10932603940472095</v>
      </c>
      <c r="AA27" s="542">
        <f t="shared" si="19"/>
        <v>0.10932603940472095</v>
      </c>
      <c r="AB27" s="542">
        <f t="shared" si="19"/>
        <v>0.10932603940472095</v>
      </c>
      <c r="AC27" s="542">
        <f t="shared" si="19"/>
        <v>0.10932603940472095</v>
      </c>
      <c r="AD27" s="542">
        <f t="shared" si="19"/>
        <v>0.10932603940472095</v>
      </c>
      <c r="AE27" s="542">
        <f t="shared" si="19"/>
        <v>0.10932603940472095</v>
      </c>
      <c r="AF27" s="542">
        <f t="shared" si="19"/>
        <v>0.10932603940472095</v>
      </c>
      <c r="AG27" s="542">
        <f t="shared" si="19"/>
        <v>0.10932603940472095</v>
      </c>
      <c r="AH27" s="542">
        <f t="shared" si="19"/>
        <v>0.10932603940472095</v>
      </c>
      <c r="AI27" s="542">
        <f t="shared" si="19"/>
        <v>0.10932603940472095</v>
      </c>
      <c r="AJ27" s="542">
        <f t="shared" si="19"/>
        <v>0.10932603940472095</v>
      </c>
      <c r="AK27" s="542">
        <f t="shared" si="19"/>
        <v>0.10932603940472095</v>
      </c>
      <c r="AL27" s="542">
        <f t="shared" si="19"/>
        <v>0.10932603940472095</v>
      </c>
      <c r="AM27" s="542">
        <f t="shared" si="19"/>
        <v>0.10932603940472095</v>
      </c>
      <c r="AN27" s="542">
        <f t="shared" si="19"/>
        <v>0.10932603940472095</v>
      </c>
    </row>
    <row r="28" spans="1:42" x14ac:dyDescent="0.15">
      <c r="A28" t="s">
        <v>482</v>
      </c>
      <c r="B28" t="s">
        <v>55</v>
      </c>
      <c r="C28" t="s">
        <v>483</v>
      </c>
      <c r="D28" t="s">
        <v>608</v>
      </c>
      <c r="E28" s="542" t="e">
        <f>'Iron &amp; Steelmaker Tool'!$D$18/'Iron &amp; Steelmaker Tool'!$D$17-E$27</f>
        <v>#DIV/0!</v>
      </c>
      <c r="F28" s="542" t="e">
        <f>'Iron &amp; Steelmaker Tool'!$D$18/'Iron &amp; Steelmaker Tool'!$D$17-F$27</f>
        <v>#DIV/0!</v>
      </c>
      <c r="G28" s="542" t="e">
        <f>'Iron &amp; Steelmaker Tool'!$D$18/'Iron &amp; Steelmaker Tool'!$D$17-G$27</f>
        <v>#DIV/0!</v>
      </c>
      <c r="H28" s="542" t="e">
        <f>'Iron &amp; Steelmaker Tool'!$D$18/'Iron &amp; Steelmaker Tool'!$D$17-H$27</f>
        <v>#DIV/0!</v>
      </c>
      <c r="I28" s="542" t="e">
        <f>'Iron &amp; Steelmaker Tool'!$D$18/'Iron &amp; Steelmaker Tool'!$D$17-I$27</f>
        <v>#DIV/0!</v>
      </c>
      <c r="J28" s="542" t="e">
        <f>'Iron &amp; Steelmaker Tool'!$D$18/'Iron &amp; Steelmaker Tool'!$D$17-J$27</f>
        <v>#DIV/0!</v>
      </c>
      <c r="K28" s="542" t="e">
        <f>'Iron &amp; Steelmaker Tool'!$D$18/'Iron &amp; Steelmaker Tool'!$D$17-K$27</f>
        <v>#DIV/0!</v>
      </c>
      <c r="L28" s="542" t="e">
        <f>'Iron &amp; Steelmaker Tool'!$D$18/'Iron &amp; Steelmaker Tool'!$D$17-L$27</f>
        <v>#DIV/0!</v>
      </c>
      <c r="M28" s="542" t="e">
        <f>'Iron &amp; Steelmaker Tool'!$D$18/'Iron &amp; Steelmaker Tool'!$D$17-M$27</f>
        <v>#DIV/0!</v>
      </c>
      <c r="N28" s="542" t="e">
        <f>'Iron &amp; Steelmaker Tool'!$D$18/'Iron &amp; Steelmaker Tool'!$D$17-N$27</f>
        <v>#DIV/0!</v>
      </c>
      <c r="O28" s="542" t="e">
        <f>'Iron &amp; Steelmaker Tool'!$D$18/'Iron &amp; Steelmaker Tool'!$D$17-O$27</f>
        <v>#DIV/0!</v>
      </c>
      <c r="P28" s="542" t="e">
        <f>'Iron &amp; Steelmaker Tool'!$D$18/'Iron &amp; Steelmaker Tool'!$D$17-P$27</f>
        <v>#DIV/0!</v>
      </c>
      <c r="Q28" s="542" t="e">
        <f>'Iron &amp; Steelmaker Tool'!$D$18/'Iron &amp; Steelmaker Tool'!$D$17-Q$27</f>
        <v>#DIV/0!</v>
      </c>
      <c r="R28" s="542" t="e">
        <f>'Iron &amp; Steelmaker Tool'!$D$18/'Iron &amp; Steelmaker Tool'!$D$17-R$27</f>
        <v>#DIV/0!</v>
      </c>
      <c r="S28" s="542" t="e">
        <f>'Iron &amp; Steelmaker Tool'!$D$18/'Iron &amp; Steelmaker Tool'!$D$17-S$27</f>
        <v>#DIV/0!</v>
      </c>
      <c r="T28" s="542" t="e">
        <f>'Iron &amp; Steelmaker Tool'!$D$18/'Iron &amp; Steelmaker Tool'!$D$17-T$27</f>
        <v>#DIV/0!</v>
      </c>
      <c r="U28" s="542" t="e">
        <f>'Iron &amp; Steelmaker Tool'!$D$18/'Iron &amp; Steelmaker Tool'!$D$17-U$27</f>
        <v>#DIV/0!</v>
      </c>
      <c r="V28" s="542" t="e">
        <f>'Iron &amp; Steelmaker Tool'!$D$18/'Iron &amp; Steelmaker Tool'!$D$17-V$27</f>
        <v>#DIV/0!</v>
      </c>
      <c r="W28" s="542" t="e">
        <f>'Iron &amp; Steelmaker Tool'!$D$18/'Iron &amp; Steelmaker Tool'!$D$17-W$27</f>
        <v>#DIV/0!</v>
      </c>
      <c r="X28" s="542" t="e">
        <f>'Iron &amp; Steelmaker Tool'!$D$18/'Iron &amp; Steelmaker Tool'!$D$17-X$27</f>
        <v>#DIV/0!</v>
      </c>
      <c r="Y28" s="542" t="e">
        <f>'Iron &amp; Steelmaker Tool'!$D$18/'Iron &amp; Steelmaker Tool'!$D$17-Y$27</f>
        <v>#DIV/0!</v>
      </c>
      <c r="Z28" s="542" t="e">
        <f>'Iron &amp; Steelmaker Tool'!$D$18/'Iron &amp; Steelmaker Tool'!$D$17-Z$27</f>
        <v>#DIV/0!</v>
      </c>
      <c r="AA28" s="542" t="e">
        <f>'Iron &amp; Steelmaker Tool'!$D$18/'Iron &amp; Steelmaker Tool'!$D$17-AA$27</f>
        <v>#DIV/0!</v>
      </c>
      <c r="AB28" s="542" t="e">
        <f>'Iron &amp; Steelmaker Tool'!$D$18/'Iron &amp; Steelmaker Tool'!$D$17-AB$27</f>
        <v>#DIV/0!</v>
      </c>
      <c r="AC28" s="542" t="e">
        <f>'Iron &amp; Steelmaker Tool'!$D$18/'Iron &amp; Steelmaker Tool'!$D$17-AC$27</f>
        <v>#DIV/0!</v>
      </c>
      <c r="AD28" s="542" t="e">
        <f>'Iron &amp; Steelmaker Tool'!$D$18/'Iron &amp; Steelmaker Tool'!$D$17-AD$27</f>
        <v>#DIV/0!</v>
      </c>
      <c r="AE28" s="542" t="e">
        <f>'Iron &amp; Steelmaker Tool'!$D$18/'Iron &amp; Steelmaker Tool'!$D$17-AE$27</f>
        <v>#DIV/0!</v>
      </c>
      <c r="AF28" s="542" t="e">
        <f>'Iron &amp; Steelmaker Tool'!$D$18/'Iron &amp; Steelmaker Tool'!$D$17-AF$27</f>
        <v>#DIV/0!</v>
      </c>
      <c r="AG28" s="542" t="e">
        <f>'Iron &amp; Steelmaker Tool'!$D$18/'Iron &amp; Steelmaker Tool'!$D$17-AG$27</f>
        <v>#DIV/0!</v>
      </c>
      <c r="AH28" s="542" t="e">
        <f>'Iron &amp; Steelmaker Tool'!$D$18/'Iron &amp; Steelmaker Tool'!$D$17-AH$27</f>
        <v>#DIV/0!</v>
      </c>
      <c r="AI28" s="542" t="e">
        <f>'Iron &amp; Steelmaker Tool'!$D$18/'Iron &amp; Steelmaker Tool'!$D$17-AI$27</f>
        <v>#DIV/0!</v>
      </c>
      <c r="AJ28" s="542" t="e">
        <f>'Iron &amp; Steelmaker Tool'!$D$18/'Iron &amp; Steelmaker Tool'!$D$17-AJ$27</f>
        <v>#DIV/0!</v>
      </c>
      <c r="AK28" s="542" t="e">
        <f>'Iron &amp; Steelmaker Tool'!$D$18/'Iron &amp; Steelmaker Tool'!$D$17-AK$27</f>
        <v>#DIV/0!</v>
      </c>
      <c r="AL28" s="542" t="e">
        <f>'Iron &amp; Steelmaker Tool'!$D$18/'Iron &amp; Steelmaker Tool'!$D$17-AL$27</f>
        <v>#DIV/0!</v>
      </c>
      <c r="AM28" s="542" t="e">
        <f>'Iron &amp; Steelmaker Tool'!$D$18/'Iron &amp; Steelmaker Tool'!$D$17-AM$27</f>
        <v>#DIV/0!</v>
      </c>
      <c r="AN28" s="542" t="e">
        <f>'Iron &amp; Steelmaker Tool'!$D$18/'Iron &amp; Steelmaker Tool'!$D$17-AN$27</f>
        <v>#DIV/0!</v>
      </c>
    </row>
    <row r="29" spans="1:42" x14ac:dyDescent="0.15">
      <c r="A29" t="s">
        <v>504</v>
      </c>
      <c r="B29" t="s">
        <v>505</v>
      </c>
      <c r="C29" t="s">
        <v>506</v>
      </c>
      <c r="D29" t="s">
        <v>608</v>
      </c>
      <c r="E29" s="146">
        <f t="shared" ref="E29:AJ29" si="20">((E$15/E$8)*1000*(1-E26)+(E$12/E$7)*1000*E26)</f>
        <v>2.4211073569206505</v>
      </c>
      <c r="F29" s="146">
        <f t="shared" si="20"/>
        <v>2.4424018088262245</v>
      </c>
      <c r="G29" s="146">
        <f t="shared" si="20"/>
        <v>2.4642862799622671</v>
      </c>
      <c r="H29" s="146">
        <f t="shared" si="20"/>
        <v>2.4870676905034186</v>
      </c>
      <c r="I29" s="146">
        <f t="shared" si="20"/>
        <v>2.509887206142364</v>
      </c>
      <c r="J29" s="146">
        <f t="shared" si="20"/>
        <v>2.4232181366275407</v>
      </c>
      <c r="K29" s="146">
        <f t="shared" si="20"/>
        <v>2.2970289089871687</v>
      </c>
      <c r="L29" s="146">
        <f t="shared" si="20"/>
        <v>2.2325564833920861</v>
      </c>
      <c r="M29" s="146">
        <f t="shared" si="20"/>
        <v>2.169051892996543</v>
      </c>
      <c r="N29" s="146">
        <f t="shared" si="20"/>
        <v>2.1051540203912005</v>
      </c>
      <c r="O29" s="146">
        <f t="shared" si="20"/>
        <v>2.0408469220445022</v>
      </c>
      <c r="P29" s="146">
        <f t="shared" si="20"/>
        <v>1.9761141242691576</v>
      </c>
      <c r="Q29" s="146">
        <f t="shared" si="20"/>
        <v>1.9109385972825268</v>
      </c>
      <c r="R29" s="146">
        <f t="shared" si="20"/>
        <v>1.8442244064835336</v>
      </c>
      <c r="S29" s="146">
        <f t="shared" si="20"/>
        <v>1.778148479169098</v>
      </c>
      <c r="T29" s="146">
        <f t="shared" si="20"/>
        <v>1.7115752810089704</v>
      </c>
      <c r="U29" s="146">
        <f t="shared" si="20"/>
        <v>1.6209301110839105</v>
      </c>
      <c r="V29" s="146">
        <f t="shared" si="20"/>
        <v>1.5294901639860059</v>
      </c>
      <c r="W29" s="146">
        <f t="shared" si="20"/>
        <v>1.4372390699102371</v>
      </c>
      <c r="X29" s="146">
        <f t="shared" si="20"/>
        <v>1.3441600282439394</v>
      </c>
      <c r="Y29" s="146">
        <f t="shared" si="20"/>
        <v>1.2494897361454405</v>
      </c>
      <c r="Z29" s="146">
        <f t="shared" si="20"/>
        <v>1.1547547560515972</v>
      </c>
      <c r="AA29" s="146">
        <f t="shared" si="20"/>
        <v>1.0591391672172181</v>
      </c>
      <c r="AB29" s="146">
        <f t="shared" si="20"/>
        <v>0.9626243068343302</v>
      </c>
      <c r="AC29" s="146">
        <f t="shared" si="20"/>
        <v>0.86519100363151391</v>
      </c>
      <c r="AD29" s="146">
        <f t="shared" si="20"/>
        <v>0.76681956032604404</v>
      </c>
      <c r="AE29" s="146">
        <f t="shared" si="20"/>
        <v>0.70331405454615814</v>
      </c>
      <c r="AF29" s="146">
        <f t="shared" si="20"/>
        <v>0.63933852504435629</v>
      </c>
      <c r="AG29" s="146">
        <f t="shared" si="20"/>
        <v>0.5748819543329472</v>
      </c>
      <c r="AH29" s="146">
        <f t="shared" si="20"/>
        <v>0.50993301904218591</v>
      </c>
      <c r="AI29" s="146">
        <f t="shared" si="20"/>
        <v>0.44448007894483826</v>
      </c>
      <c r="AJ29" s="146">
        <f t="shared" si="20"/>
        <v>0.37876805614402498</v>
      </c>
      <c r="AK29" s="146">
        <f t="shared" ref="AK29:AN29" si="21">((AK$15/AK$8)*1000*(1-AK26)+(AK$12/AK$7)*1000*AK26)</f>
        <v>0.31223257140038119</v>
      </c>
      <c r="AL29" s="146">
        <f t="shared" si="21"/>
        <v>0.24515582753873061</v>
      </c>
      <c r="AM29" s="146">
        <f t="shared" si="21"/>
        <v>0.17752478868938304</v>
      </c>
      <c r="AN29" s="146">
        <f t="shared" si="21"/>
        <v>0.10932603940472095</v>
      </c>
      <c r="AO29" s="38"/>
    </row>
    <row r="30" spans="1:42" x14ac:dyDescent="0.15">
      <c r="A30" t="s">
        <v>484</v>
      </c>
      <c r="B30" t="s">
        <v>485</v>
      </c>
      <c r="C30" t="s">
        <v>616</v>
      </c>
      <c r="D30" t="s">
        <v>449</v>
      </c>
      <c r="E30" s="2">
        <f>'Iron &amp; Steelmaker Tool'!$D$17</f>
        <v>0</v>
      </c>
      <c r="F30" s="2">
        <f>IF(F$25&gt;='Iron &amp; Steelmaker Tool'!$D$20,'Iron &amp; Steelmaker Tool'!$D$22,IF(F$25&lt;='Iron &amp; Steelmaker Tool'!$D$16,'Steel-data'!E30,'Steel-data'!E30+('Iron &amp; Steelmaker Tool'!$D$22-'Iron &amp; Steelmaker Tool'!$D$17)/('Iron &amp; Steelmaker Tool'!$D$20-'Iron &amp; Steelmaker Tool'!$D$16)))</f>
        <v>0</v>
      </c>
      <c r="G30" s="2">
        <f>IF(G$25&gt;='Iron &amp; Steelmaker Tool'!$D$20,'Iron &amp; Steelmaker Tool'!$D$22,IF(G$25&lt;='Iron &amp; Steelmaker Tool'!$D$16,'Steel-data'!F30,'Steel-data'!F30+('Iron &amp; Steelmaker Tool'!$D$22-'Iron &amp; Steelmaker Tool'!$D$17)/('Iron &amp; Steelmaker Tool'!$D$20-'Iron &amp; Steelmaker Tool'!$D$16)))</f>
        <v>0</v>
      </c>
      <c r="H30" s="2">
        <f>IF(H$25&gt;='Iron &amp; Steelmaker Tool'!$D$20,'Iron &amp; Steelmaker Tool'!$D$22,IF(H$25&lt;='Iron &amp; Steelmaker Tool'!$D$16,'Steel-data'!G30,'Steel-data'!G30+('Iron &amp; Steelmaker Tool'!$D$22-'Iron &amp; Steelmaker Tool'!$D$17)/('Iron &amp; Steelmaker Tool'!$D$20-'Iron &amp; Steelmaker Tool'!$D$16)))</f>
        <v>0</v>
      </c>
      <c r="I30" s="2">
        <f>IF(I$25&gt;='Iron &amp; Steelmaker Tool'!$D$20,'Iron &amp; Steelmaker Tool'!$D$22,IF(I$25&lt;='Iron &amp; Steelmaker Tool'!$D$16,'Steel-data'!H30,'Steel-data'!H30+('Iron &amp; Steelmaker Tool'!$D$22-'Iron &amp; Steelmaker Tool'!$D$17)/('Iron &amp; Steelmaker Tool'!$D$20-'Iron &amp; Steelmaker Tool'!$D$16)))</f>
        <v>0</v>
      </c>
      <c r="J30" s="2">
        <f>IF(J$25&gt;='Iron &amp; Steelmaker Tool'!$D$20,'Iron &amp; Steelmaker Tool'!$D$22,IF(J$25&lt;='Iron &amp; Steelmaker Tool'!$D$16,'Steel-data'!I30,'Steel-data'!I30+('Iron &amp; Steelmaker Tool'!$D$22-'Iron &amp; Steelmaker Tool'!$D$17)/('Iron &amp; Steelmaker Tool'!$D$20-'Iron &amp; Steelmaker Tool'!$D$16)))</f>
        <v>0</v>
      </c>
      <c r="K30" s="2">
        <f>IF(K$25&gt;='Iron &amp; Steelmaker Tool'!$D$20,'Iron &amp; Steelmaker Tool'!$D$22,IF(K$25&lt;='Iron &amp; Steelmaker Tool'!$D$16,'Steel-data'!J30,'Steel-data'!J30+('Iron &amp; Steelmaker Tool'!$D$22-'Iron &amp; Steelmaker Tool'!$D$17)/('Iron &amp; Steelmaker Tool'!$D$20-'Iron &amp; Steelmaker Tool'!$D$16)))</f>
        <v>0</v>
      </c>
      <c r="L30" s="2">
        <f>IF(L$25&gt;='Iron &amp; Steelmaker Tool'!$D$20,'Iron &amp; Steelmaker Tool'!$D$22,IF(L$25&lt;='Iron &amp; Steelmaker Tool'!$D$16,'Steel-data'!K30,'Steel-data'!K30+('Iron &amp; Steelmaker Tool'!$D$22-'Iron &amp; Steelmaker Tool'!$D$17)/('Iron &amp; Steelmaker Tool'!$D$20-'Iron &amp; Steelmaker Tool'!$D$16)))</f>
        <v>0</v>
      </c>
      <c r="M30" s="2">
        <f>IF(M$25&gt;='Iron &amp; Steelmaker Tool'!$D$20,'Iron &amp; Steelmaker Tool'!$D$22,IF(M$25&lt;='Iron &amp; Steelmaker Tool'!$D$16,'Steel-data'!L30,'Steel-data'!L30+('Iron &amp; Steelmaker Tool'!$D$22-'Iron &amp; Steelmaker Tool'!$D$17)/('Iron &amp; Steelmaker Tool'!$D$20-'Iron &amp; Steelmaker Tool'!$D$16)))</f>
        <v>0</v>
      </c>
      <c r="N30" s="2">
        <f>IF(N$25&gt;='Iron &amp; Steelmaker Tool'!$D$20,'Iron &amp; Steelmaker Tool'!$D$22,IF(N$25&lt;='Iron &amp; Steelmaker Tool'!$D$16,'Steel-data'!M30,'Steel-data'!M30+('Iron &amp; Steelmaker Tool'!$D$22-'Iron &amp; Steelmaker Tool'!$D$17)/('Iron &amp; Steelmaker Tool'!$D$20-'Iron &amp; Steelmaker Tool'!$D$16)))</f>
        <v>0</v>
      </c>
      <c r="O30" s="2">
        <f>IF(O$25&gt;='Iron &amp; Steelmaker Tool'!$D$20,'Iron &amp; Steelmaker Tool'!$D$22,IF(O$25&lt;='Iron &amp; Steelmaker Tool'!$D$16,'Steel-data'!N30,'Steel-data'!N30+('Iron &amp; Steelmaker Tool'!$D$22-'Iron &amp; Steelmaker Tool'!$D$17)/('Iron &amp; Steelmaker Tool'!$D$20-'Iron &amp; Steelmaker Tool'!$D$16)))</f>
        <v>0</v>
      </c>
      <c r="P30" s="2">
        <f>IF(P$25&gt;='Iron &amp; Steelmaker Tool'!$D$20,'Iron &amp; Steelmaker Tool'!$D$22,IF(P$25&lt;='Iron &amp; Steelmaker Tool'!$D$16,'Steel-data'!O30,'Steel-data'!O30+('Iron &amp; Steelmaker Tool'!$D$22-'Iron &amp; Steelmaker Tool'!$D$17)/('Iron &amp; Steelmaker Tool'!$D$20-'Iron &amp; Steelmaker Tool'!$D$16)))</f>
        <v>0</v>
      </c>
      <c r="Q30" s="2">
        <f>IF(Q$25&gt;='Iron &amp; Steelmaker Tool'!$D$20,'Iron &amp; Steelmaker Tool'!$D$22,IF(Q$25&lt;='Iron &amp; Steelmaker Tool'!$D$16,'Steel-data'!P30,'Steel-data'!P30+('Iron &amp; Steelmaker Tool'!$D$22-'Iron &amp; Steelmaker Tool'!$D$17)/('Iron &amp; Steelmaker Tool'!$D$20-'Iron &amp; Steelmaker Tool'!$D$16)))</f>
        <v>0</v>
      </c>
      <c r="R30" s="2">
        <f>IF(R$25&gt;='Iron &amp; Steelmaker Tool'!$D$20,'Iron &amp; Steelmaker Tool'!$D$22,IF(R$25&lt;='Iron &amp; Steelmaker Tool'!$D$16,'Steel-data'!Q30,'Steel-data'!Q30+('Iron &amp; Steelmaker Tool'!$D$22-'Iron &amp; Steelmaker Tool'!$D$17)/('Iron &amp; Steelmaker Tool'!$D$20-'Iron &amp; Steelmaker Tool'!$D$16)))</f>
        <v>0</v>
      </c>
      <c r="S30" s="2">
        <f>IF(S$25&gt;='Iron &amp; Steelmaker Tool'!$D$20,'Iron &amp; Steelmaker Tool'!$D$22,IF(S$25&lt;='Iron &amp; Steelmaker Tool'!$D$16,'Steel-data'!R30,'Steel-data'!R30+('Iron &amp; Steelmaker Tool'!$D$22-'Iron &amp; Steelmaker Tool'!$D$17)/('Iron &amp; Steelmaker Tool'!$D$20-'Iron &amp; Steelmaker Tool'!$D$16)))</f>
        <v>0</v>
      </c>
      <c r="T30" s="2">
        <f>IF(T$25&gt;='Iron &amp; Steelmaker Tool'!$D$20,'Iron &amp; Steelmaker Tool'!$D$22,IF(T$25&lt;='Iron &amp; Steelmaker Tool'!$D$16,'Steel-data'!S30,'Steel-data'!S30+('Iron &amp; Steelmaker Tool'!$D$22-'Iron &amp; Steelmaker Tool'!$D$17)/('Iron &amp; Steelmaker Tool'!$D$20-'Iron &amp; Steelmaker Tool'!$D$16)))</f>
        <v>0</v>
      </c>
      <c r="U30" s="2">
        <f>IF(U$25&gt;='Iron &amp; Steelmaker Tool'!$D$20,'Iron &amp; Steelmaker Tool'!$D$22,IF(U$25&lt;='Iron &amp; Steelmaker Tool'!$D$16,'Steel-data'!T30,'Steel-data'!T30+('Iron &amp; Steelmaker Tool'!$D$22-'Iron &amp; Steelmaker Tool'!$D$17)/('Iron &amp; Steelmaker Tool'!$D$20-'Iron &amp; Steelmaker Tool'!$D$16)))</f>
        <v>0</v>
      </c>
      <c r="V30" s="2">
        <f>IF(V$25&gt;='Iron &amp; Steelmaker Tool'!$D$20,'Iron &amp; Steelmaker Tool'!$D$22,IF(V$25&lt;='Iron &amp; Steelmaker Tool'!$D$16,'Steel-data'!U30,'Steel-data'!U30+('Iron &amp; Steelmaker Tool'!$D$22-'Iron &amp; Steelmaker Tool'!$D$17)/('Iron &amp; Steelmaker Tool'!$D$20-'Iron &amp; Steelmaker Tool'!$D$16)))</f>
        <v>0</v>
      </c>
      <c r="W30" s="2">
        <f>IF(W$25&gt;='Iron &amp; Steelmaker Tool'!$D$20,'Iron &amp; Steelmaker Tool'!$D$22,IF(W$25&lt;='Iron &amp; Steelmaker Tool'!$D$16,'Steel-data'!V30,'Steel-data'!V30+('Iron &amp; Steelmaker Tool'!$D$22-'Iron &amp; Steelmaker Tool'!$D$17)/('Iron &amp; Steelmaker Tool'!$D$20-'Iron &amp; Steelmaker Tool'!$D$16)))</f>
        <v>0</v>
      </c>
      <c r="X30" s="2">
        <f>IF(X$25&gt;='Iron &amp; Steelmaker Tool'!$D$20,'Iron &amp; Steelmaker Tool'!$D$22,IF(X$25&lt;='Iron &amp; Steelmaker Tool'!$D$16,'Steel-data'!W30,'Steel-data'!W30+('Iron &amp; Steelmaker Tool'!$D$22-'Iron &amp; Steelmaker Tool'!$D$17)/('Iron &amp; Steelmaker Tool'!$D$20-'Iron &amp; Steelmaker Tool'!$D$16)))</f>
        <v>0</v>
      </c>
      <c r="Y30" s="2">
        <f>IF(Y$25&gt;='Iron &amp; Steelmaker Tool'!$D$20,'Iron &amp; Steelmaker Tool'!$D$22,IF(Y$25&lt;='Iron &amp; Steelmaker Tool'!$D$16,'Steel-data'!X30,'Steel-data'!X30+('Iron &amp; Steelmaker Tool'!$D$22-'Iron &amp; Steelmaker Tool'!$D$17)/('Iron &amp; Steelmaker Tool'!$D$20-'Iron &amp; Steelmaker Tool'!$D$16)))</f>
        <v>0</v>
      </c>
      <c r="Z30" s="2">
        <f>IF(Z$25&gt;='Iron &amp; Steelmaker Tool'!$D$20,'Iron &amp; Steelmaker Tool'!$D$22,IF(Z$25&lt;='Iron &amp; Steelmaker Tool'!$D$16,'Steel-data'!Y30,'Steel-data'!Y30+('Iron &amp; Steelmaker Tool'!$D$22-'Iron &amp; Steelmaker Tool'!$D$17)/('Iron &amp; Steelmaker Tool'!$D$20-'Iron &amp; Steelmaker Tool'!$D$16)))</f>
        <v>0</v>
      </c>
      <c r="AA30" s="2">
        <f>IF(AA$25&gt;='Iron &amp; Steelmaker Tool'!$D$20,'Iron &amp; Steelmaker Tool'!$D$22,IF(AA$25&lt;='Iron &amp; Steelmaker Tool'!$D$16,'Steel-data'!Z30,'Steel-data'!Z30+('Iron &amp; Steelmaker Tool'!$D$22-'Iron &amp; Steelmaker Tool'!$D$17)/('Iron &amp; Steelmaker Tool'!$D$20-'Iron &amp; Steelmaker Tool'!$D$16)))</f>
        <v>0</v>
      </c>
      <c r="AB30" s="2">
        <f>IF(AB$25&gt;='Iron &amp; Steelmaker Tool'!$D$20,'Iron &amp; Steelmaker Tool'!$D$22,IF(AB$25&lt;='Iron &amp; Steelmaker Tool'!$D$16,'Steel-data'!AA30,'Steel-data'!AA30+('Iron &amp; Steelmaker Tool'!$D$22-'Iron &amp; Steelmaker Tool'!$D$17)/('Iron &amp; Steelmaker Tool'!$D$20-'Iron &amp; Steelmaker Tool'!$D$16)))</f>
        <v>0</v>
      </c>
      <c r="AC30" s="2">
        <f>IF(AC$25&gt;='Iron &amp; Steelmaker Tool'!$D$20,'Iron &amp; Steelmaker Tool'!$D$22,IF(AC$25&lt;='Iron &amp; Steelmaker Tool'!$D$16,'Steel-data'!AB30,'Steel-data'!AB30+('Iron &amp; Steelmaker Tool'!$D$22-'Iron &amp; Steelmaker Tool'!$D$17)/('Iron &amp; Steelmaker Tool'!$D$20-'Iron &amp; Steelmaker Tool'!$D$16)))</f>
        <v>0</v>
      </c>
      <c r="AD30" s="2">
        <f>IF(AD$25&gt;='Iron &amp; Steelmaker Tool'!$D$20,'Iron &amp; Steelmaker Tool'!$D$22,IF(AD$25&lt;='Iron &amp; Steelmaker Tool'!$D$16,'Steel-data'!AC30,'Steel-data'!AC30+('Iron &amp; Steelmaker Tool'!$D$22-'Iron &amp; Steelmaker Tool'!$D$17)/('Iron &amp; Steelmaker Tool'!$D$20-'Iron &amp; Steelmaker Tool'!$D$16)))</f>
        <v>0</v>
      </c>
      <c r="AE30" s="2">
        <f>IF(AE$25&gt;='Iron &amp; Steelmaker Tool'!$D$20,'Iron &amp; Steelmaker Tool'!$D$22,IF(AE$25&lt;='Iron &amp; Steelmaker Tool'!$D$16,'Steel-data'!AD30,'Steel-data'!AD30+('Iron &amp; Steelmaker Tool'!$D$22-'Iron &amp; Steelmaker Tool'!$D$17)/('Iron &amp; Steelmaker Tool'!$D$20-'Iron &amp; Steelmaker Tool'!$D$16)))</f>
        <v>0</v>
      </c>
      <c r="AF30" s="2">
        <f>IF(AF$25&gt;='Iron &amp; Steelmaker Tool'!$D$20,'Iron &amp; Steelmaker Tool'!$D$22,IF(AF$25&lt;='Iron &amp; Steelmaker Tool'!$D$16,'Steel-data'!AE30,'Steel-data'!AE30+('Iron &amp; Steelmaker Tool'!$D$22-'Iron &amp; Steelmaker Tool'!$D$17)/('Iron &amp; Steelmaker Tool'!$D$20-'Iron &amp; Steelmaker Tool'!$D$16)))</f>
        <v>0</v>
      </c>
      <c r="AG30" s="2">
        <f>IF(AG$25&gt;='Iron &amp; Steelmaker Tool'!$D$20,'Iron &amp; Steelmaker Tool'!$D$22,IF(AG$25&lt;='Iron &amp; Steelmaker Tool'!$D$16,'Steel-data'!AF30,'Steel-data'!AF30+('Iron &amp; Steelmaker Tool'!$D$22-'Iron &amp; Steelmaker Tool'!$D$17)/('Iron &amp; Steelmaker Tool'!$D$20-'Iron &amp; Steelmaker Tool'!$D$16)))</f>
        <v>0</v>
      </c>
      <c r="AH30" s="2">
        <f>IF(AH$25&gt;='Iron &amp; Steelmaker Tool'!$D$20,'Iron &amp; Steelmaker Tool'!$D$22,IF(AH$25&lt;='Iron &amp; Steelmaker Tool'!$D$16,'Steel-data'!AG30,'Steel-data'!AG30+('Iron &amp; Steelmaker Tool'!$D$22-'Iron &amp; Steelmaker Tool'!$D$17)/('Iron &amp; Steelmaker Tool'!$D$20-'Iron &amp; Steelmaker Tool'!$D$16)))</f>
        <v>0</v>
      </c>
      <c r="AI30" s="2">
        <f>IF(AI$25&gt;='Iron &amp; Steelmaker Tool'!$D$20,'Iron &amp; Steelmaker Tool'!$D$22,IF(AI$25&lt;='Iron &amp; Steelmaker Tool'!$D$16,'Steel-data'!AH30,'Steel-data'!AH30+('Iron &amp; Steelmaker Tool'!$D$22-'Iron &amp; Steelmaker Tool'!$D$17)/('Iron &amp; Steelmaker Tool'!$D$20-'Iron &amp; Steelmaker Tool'!$D$16)))</f>
        <v>0</v>
      </c>
      <c r="AJ30" s="2">
        <f>IF(AJ$25&gt;='Iron &amp; Steelmaker Tool'!$D$20,'Iron &amp; Steelmaker Tool'!$D$22,IF(AJ$25&lt;='Iron &amp; Steelmaker Tool'!$D$16,'Steel-data'!AI30,'Steel-data'!AI30+('Iron &amp; Steelmaker Tool'!$D$22-'Iron &amp; Steelmaker Tool'!$D$17)/('Iron &amp; Steelmaker Tool'!$D$20-'Iron &amp; Steelmaker Tool'!$D$16)))</f>
        <v>0</v>
      </c>
      <c r="AK30" s="2">
        <f>IF(AK$25&gt;='Iron &amp; Steelmaker Tool'!$D$20,'Iron &amp; Steelmaker Tool'!$D$22,IF(AK$25&lt;='Iron &amp; Steelmaker Tool'!$D$16,'Steel-data'!AJ30,'Steel-data'!AJ30+('Iron &amp; Steelmaker Tool'!$D$22-'Iron &amp; Steelmaker Tool'!$D$17)/('Iron &amp; Steelmaker Tool'!$D$20-'Iron &amp; Steelmaker Tool'!$D$16)))</f>
        <v>0</v>
      </c>
      <c r="AL30" s="2">
        <f>IF(AL$25&gt;='Iron &amp; Steelmaker Tool'!$D$20,'Iron &amp; Steelmaker Tool'!$D$22,IF(AL$25&lt;='Iron &amp; Steelmaker Tool'!$D$16,'Steel-data'!AK30,'Steel-data'!AK30+('Iron &amp; Steelmaker Tool'!$D$22-'Iron &amp; Steelmaker Tool'!$D$17)/('Iron &amp; Steelmaker Tool'!$D$20-'Iron &amp; Steelmaker Tool'!$D$16)))</f>
        <v>0</v>
      </c>
      <c r="AM30" s="2">
        <f>IF(AM$25&gt;='Iron &amp; Steelmaker Tool'!$D$20,'Iron &amp; Steelmaker Tool'!$D$22,IF(AM$25&lt;='Iron &amp; Steelmaker Tool'!$D$16,'Steel-data'!AL30,'Steel-data'!AL30+('Iron &amp; Steelmaker Tool'!$D$22-'Iron &amp; Steelmaker Tool'!$D$17)/('Iron &amp; Steelmaker Tool'!$D$20-'Iron &amp; Steelmaker Tool'!$D$16)))</f>
        <v>0</v>
      </c>
      <c r="AN30" s="2">
        <f>IF(AN$25&gt;='Iron &amp; Steelmaker Tool'!$D$20,'Iron &amp; Steelmaker Tool'!$D$22,IF(AN$25&lt;='Iron &amp; Steelmaker Tool'!$D$16,'Steel-data'!AM30,'Steel-data'!AM30+('Iron &amp; Steelmaker Tool'!$D$22-'Iron &amp; Steelmaker Tool'!$D$17)/('Iron &amp; Steelmaker Tool'!$D$20-'Iron &amp; Steelmaker Tool'!$D$16)))</f>
        <v>0</v>
      </c>
    </row>
    <row r="31" spans="1:42" x14ac:dyDescent="0.15">
      <c r="A31" t="s">
        <v>71</v>
      </c>
      <c r="B31" t="s">
        <v>486</v>
      </c>
      <c r="C31" t="s">
        <v>487</v>
      </c>
      <c r="D31" s="506" t="s">
        <v>488</v>
      </c>
      <c r="E31" s="493" t="e">
        <f>IF(IF(E$25&lt;='Iron &amp; Steelmaker Tool'!$D16,1,(_xlfn.XLOOKUP('Iron &amp; Steelmaker Tool'!$D$16,$E$25:$AN$25,$E$30:$AN$30)/_xlfn.XLOOKUP('Iron &amp; Steelmaker Tool'!$D$16,$E$25:$AN$25,$E$5:$AN$5))/(E$30/E$5))&gt;1,1,IF(E$25&lt;='Iron &amp; Steelmaker Tool'!$D16,1,(_xlfn.XLOOKUP('Iron &amp; Steelmaker Tool'!$D$16,$E$25:$AN$25,$E$30:$AN$30)/_xlfn.XLOOKUP('Iron &amp; Steelmaker Tool'!$D$16,$E$25:$AN$25,$E$5:$AN$5))/(E$30/E$5)))</f>
        <v>#N/A</v>
      </c>
      <c r="F31" s="493" t="e">
        <f>IF(IF(F$25&lt;='Iron &amp; Steelmaker Tool'!$D16,1,(_xlfn.XLOOKUP('Iron &amp; Steelmaker Tool'!$D$16,$E$25:$AN$25,$E$30:$AN$30)/_xlfn.XLOOKUP('Iron &amp; Steelmaker Tool'!$D$16,$E$25:$AN$25,$E$5:$AN$5))/(F$30/F$5))&gt;1,1,IF(F$25&lt;='Iron &amp; Steelmaker Tool'!$D16,1,(_xlfn.XLOOKUP('Iron &amp; Steelmaker Tool'!$D$16,$E$25:$AN$25,$E$30:$AN$30)/_xlfn.XLOOKUP('Iron &amp; Steelmaker Tool'!$D$16,$E$25:$AN$25,$E$5:$AN$5))/(F$30/F$5)))</f>
        <v>#N/A</v>
      </c>
      <c r="G31" s="493" t="e">
        <f>IF(IF(G$25&lt;='Iron &amp; Steelmaker Tool'!$D16,1,(_xlfn.XLOOKUP('Iron &amp; Steelmaker Tool'!$D$16,$E$25:$AN$25,$E$30:$AN$30)/_xlfn.XLOOKUP('Iron &amp; Steelmaker Tool'!$D$16,$E$25:$AN$25,$E$5:$AN$5))/(G$30/G$5))&gt;1,1,IF(G$25&lt;='Iron &amp; Steelmaker Tool'!$D16,1,(_xlfn.XLOOKUP('Iron &amp; Steelmaker Tool'!$D$16,$E$25:$AN$25,$E$30:$AN$30)/_xlfn.XLOOKUP('Iron &amp; Steelmaker Tool'!$D$16,$E$25:$AN$25,$E$5:$AN$5))/(G$30/G$5)))</f>
        <v>#N/A</v>
      </c>
      <c r="H31" s="493" t="e">
        <f>IF(IF(H$25&lt;='Iron &amp; Steelmaker Tool'!$D16,1,(_xlfn.XLOOKUP('Iron &amp; Steelmaker Tool'!$D$16,$E$25:$AN$25,$E$30:$AN$30)/_xlfn.XLOOKUP('Iron &amp; Steelmaker Tool'!$D$16,$E$25:$AN$25,$E$5:$AN$5))/(H$30/H$5))&gt;1,1,IF(H$25&lt;='Iron &amp; Steelmaker Tool'!$D16,1,(_xlfn.XLOOKUP('Iron &amp; Steelmaker Tool'!$D$16,$E$25:$AN$25,$E$30:$AN$30)/_xlfn.XLOOKUP('Iron &amp; Steelmaker Tool'!$D$16,$E$25:$AN$25,$E$5:$AN$5))/(H$30/H$5)))</f>
        <v>#N/A</v>
      </c>
      <c r="I31" s="493" t="e">
        <f>IF(IF(I$25&lt;='Iron &amp; Steelmaker Tool'!$D16,1,(_xlfn.XLOOKUP('Iron &amp; Steelmaker Tool'!$D$16,$E$25:$AN$25,$E$30:$AN$30)/_xlfn.XLOOKUP('Iron &amp; Steelmaker Tool'!$D$16,$E$25:$AN$25,$E$5:$AN$5))/(I$30/I$5))&gt;1,1,IF(I$25&lt;='Iron &amp; Steelmaker Tool'!$D16,1,(_xlfn.XLOOKUP('Iron &amp; Steelmaker Tool'!$D$16,$E$25:$AN$25,$E$30:$AN$30)/_xlfn.XLOOKUP('Iron &amp; Steelmaker Tool'!$D$16,$E$25:$AN$25,$E$5:$AN$5))/(I$30/I$5)))</f>
        <v>#N/A</v>
      </c>
      <c r="J31" s="493" t="e">
        <f>IF(IF(J$25&lt;='Iron &amp; Steelmaker Tool'!$D16,1,(_xlfn.XLOOKUP('Iron &amp; Steelmaker Tool'!$D$16,$E$25:$AN$25,$E$30:$AN$30)/_xlfn.XLOOKUP('Iron &amp; Steelmaker Tool'!$D$16,$E$25:$AN$25,$E$5:$AN$5))/(J$30/J$5))&gt;1,1,IF(J$25&lt;='Iron &amp; Steelmaker Tool'!$D16,1,(_xlfn.XLOOKUP('Iron &amp; Steelmaker Tool'!$D$16,$E$25:$AN$25,$E$30:$AN$30)/_xlfn.XLOOKUP('Iron &amp; Steelmaker Tool'!$D$16,$E$25:$AN$25,$E$5:$AN$5))/(J$30/J$5)))</f>
        <v>#N/A</v>
      </c>
      <c r="K31" s="493" t="e">
        <f>IF(IF(K$25&lt;='Iron &amp; Steelmaker Tool'!$D16,1,(_xlfn.XLOOKUP('Iron &amp; Steelmaker Tool'!$D$16,$E$25:$AN$25,$E$30:$AN$30)/_xlfn.XLOOKUP('Iron &amp; Steelmaker Tool'!$D$16,$E$25:$AN$25,$E$5:$AN$5))/(K$30/K$5))&gt;1,1,IF(K$25&lt;='Iron &amp; Steelmaker Tool'!$D16,1,(_xlfn.XLOOKUP('Iron &amp; Steelmaker Tool'!$D$16,$E$25:$AN$25,$E$30:$AN$30)/_xlfn.XLOOKUP('Iron &amp; Steelmaker Tool'!$D$16,$E$25:$AN$25,$E$5:$AN$5))/(K$30/K$5)))</f>
        <v>#N/A</v>
      </c>
      <c r="L31" s="493" t="e">
        <f>IF(IF(L$25&lt;='Iron &amp; Steelmaker Tool'!$D16,1,(_xlfn.XLOOKUP('Iron &amp; Steelmaker Tool'!$D$16,$E$25:$AN$25,$E$30:$AN$30)/_xlfn.XLOOKUP('Iron &amp; Steelmaker Tool'!$D$16,$E$25:$AN$25,$E$5:$AN$5))/(L$30/L$5))&gt;1,1,IF(L$25&lt;='Iron &amp; Steelmaker Tool'!$D16,1,(_xlfn.XLOOKUP('Iron &amp; Steelmaker Tool'!$D$16,$E$25:$AN$25,$E$30:$AN$30)/_xlfn.XLOOKUP('Iron &amp; Steelmaker Tool'!$D$16,$E$25:$AN$25,$E$5:$AN$5))/(L$30/L$5)))</f>
        <v>#N/A</v>
      </c>
      <c r="M31" s="493" t="e">
        <f>IF(IF(M$25&lt;='Iron &amp; Steelmaker Tool'!$D16,1,(_xlfn.XLOOKUP('Iron &amp; Steelmaker Tool'!$D$16,$E$25:$AN$25,$E$30:$AN$30)/_xlfn.XLOOKUP('Iron &amp; Steelmaker Tool'!$D$16,$E$25:$AN$25,$E$5:$AN$5))/(M$30/M$5))&gt;1,1,IF(M$25&lt;='Iron &amp; Steelmaker Tool'!$D16,1,(_xlfn.XLOOKUP('Iron &amp; Steelmaker Tool'!$D$16,$E$25:$AN$25,$E$30:$AN$30)/_xlfn.XLOOKUP('Iron &amp; Steelmaker Tool'!$D$16,$E$25:$AN$25,$E$5:$AN$5))/(M$30/M$5)))</f>
        <v>#N/A</v>
      </c>
      <c r="N31" s="493" t="e">
        <f>IF(IF(N$25&lt;='Iron &amp; Steelmaker Tool'!$D16,1,(_xlfn.XLOOKUP('Iron &amp; Steelmaker Tool'!$D$16,$E$25:$AN$25,$E$30:$AN$30)/_xlfn.XLOOKUP('Iron &amp; Steelmaker Tool'!$D$16,$E$25:$AN$25,$E$5:$AN$5))/(N$30/N$5))&gt;1,1,IF(N$25&lt;='Iron &amp; Steelmaker Tool'!$D16,1,(_xlfn.XLOOKUP('Iron &amp; Steelmaker Tool'!$D$16,$E$25:$AN$25,$E$30:$AN$30)/_xlfn.XLOOKUP('Iron &amp; Steelmaker Tool'!$D$16,$E$25:$AN$25,$E$5:$AN$5))/(N$30/N$5)))</f>
        <v>#N/A</v>
      </c>
      <c r="O31" s="493" t="e">
        <f>IF(IF(O$25&lt;='Iron &amp; Steelmaker Tool'!$D16,1,(_xlfn.XLOOKUP('Iron &amp; Steelmaker Tool'!$D$16,$E$25:$AN$25,$E$30:$AN$30)/_xlfn.XLOOKUP('Iron &amp; Steelmaker Tool'!$D$16,$E$25:$AN$25,$E$5:$AN$5))/(O$30/O$5))&gt;1,1,IF(O$25&lt;='Iron &amp; Steelmaker Tool'!$D16,1,(_xlfn.XLOOKUP('Iron &amp; Steelmaker Tool'!$D$16,$E$25:$AN$25,$E$30:$AN$30)/_xlfn.XLOOKUP('Iron &amp; Steelmaker Tool'!$D$16,$E$25:$AN$25,$E$5:$AN$5))/(O$30/O$5)))</f>
        <v>#N/A</v>
      </c>
      <c r="P31" s="493" t="e">
        <f>IF(IF(P$25&lt;='Iron &amp; Steelmaker Tool'!$D16,1,(_xlfn.XLOOKUP('Iron &amp; Steelmaker Tool'!$D$16,$E$25:$AN$25,$E$30:$AN$30)/_xlfn.XLOOKUP('Iron &amp; Steelmaker Tool'!$D$16,$E$25:$AN$25,$E$5:$AN$5))/(P$30/P$5))&gt;1,1,IF(P$25&lt;='Iron &amp; Steelmaker Tool'!$D16,1,(_xlfn.XLOOKUP('Iron &amp; Steelmaker Tool'!$D$16,$E$25:$AN$25,$E$30:$AN$30)/_xlfn.XLOOKUP('Iron &amp; Steelmaker Tool'!$D$16,$E$25:$AN$25,$E$5:$AN$5))/(P$30/P$5)))</f>
        <v>#N/A</v>
      </c>
      <c r="Q31" s="493" t="e">
        <f>IF(IF(Q$25&lt;='Iron &amp; Steelmaker Tool'!$D16,1,(_xlfn.XLOOKUP('Iron &amp; Steelmaker Tool'!$D$16,$E$25:$AN$25,$E$30:$AN$30)/_xlfn.XLOOKUP('Iron &amp; Steelmaker Tool'!$D$16,$E$25:$AN$25,$E$5:$AN$5))/(Q$30/Q$5))&gt;1,1,IF(Q$25&lt;='Iron &amp; Steelmaker Tool'!$D16,1,(_xlfn.XLOOKUP('Iron &amp; Steelmaker Tool'!$D$16,$E$25:$AN$25,$E$30:$AN$30)/_xlfn.XLOOKUP('Iron &amp; Steelmaker Tool'!$D$16,$E$25:$AN$25,$E$5:$AN$5))/(Q$30/Q$5)))</f>
        <v>#N/A</v>
      </c>
      <c r="R31" s="493" t="e">
        <f>IF(IF(R$25&lt;='Iron &amp; Steelmaker Tool'!$D16,1,(_xlfn.XLOOKUP('Iron &amp; Steelmaker Tool'!$D$16,$E$25:$AN$25,$E$30:$AN$30)/_xlfn.XLOOKUP('Iron &amp; Steelmaker Tool'!$D$16,$E$25:$AN$25,$E$5:$AN$5))/(R$30/R$5))&gt;1,1,IF(R$25&lt;='Iron &amp; Steelmaker Tool'!$D16,1,(_xlfn.XLOOKUP('Iron &amp; Steelmaker Tool'!$D$16,$E$25:$AN$25,$E$30:$AN$30)/_xlfn.XLOOKUP('Iron &amp; Steelmaker Tool'!$D$16,$E$25:$AN$25,$E$5:$AN$5))/(R$30/R$5)))</f>
        <v>#N/A</v>
      </c>
      <c r="S31" s="493" t="e">
        <f>IF(IF(S$25&lt;='Iron &amp; Steelmaker Tool'!$D16,1,(_xlfn.XLOOKUP('Iron &amp; Steelmaker Tool'!$D$16,$E$25:$AN$25,$E$30:$AN$30)/_xlfn.XLOOKUP('Iron &amp; Steelmaker Tool'!$D$16,$E$25:$AN$25,$E$5:$AN$5))/(S$30/S$5))&gt;1,1,IF(S$25&lt;='Iron &amp; Steelmaker Tool'!$D16,1,(_xlfn.XLOOKUP('Iron &amp; Steelmaker Tool'!$D$16,$E$25:$AN$25,$E$30:$AN$30)/_xlfn.XLOOKUP('Iron &amp; Steelmaker Tool'!$D$16,$E$25:$AN$25,$E$5:$AN$5))/(S$30/S$5)))</f>
        <v>#N/A</v>
      </c>
      <c r="T31" s="493" t="e">
        <f>IF(IF(T$25&lt;='Iron &amp; Steelmaker Tool'!$D16,1,(_xlfn.XLOOKUP('Iron &amp; Steelmaker Tool'!$D$16,$E$25:$AN$25,$E$30:$AN$30)/_xlfn.XLOOKUP('Iron &amp; Steelmaker Tool'!$D$16,$E$25:$AN$25,$E$5:$AN$5))/(T$30/T$5))&gt;1,1,IF(T$25&lt;='Iron &amp; Steelmaker Tool'!$D16,1,(_xlfn.XLOOKUP('Iron &amp; Steelmaker Tool'!$D$16,$E$25:$AN$25,$E$30:$AN$30)/_xlfn.XLOOKUP('Iron &amp; Steelmaker Tool'!$D$16,$E$25:$AN$25,$E$5:$AN$5))/(T$30/T$5)))</f>
        <v>#N/A</v>
      </c>
      <c r="U31" s="493" t="e">
        <f>IF(IF(U$25&lt;='Iron &amp; Steelmaker Tool'!$D16,1,(_xlfn.XLOOKUP('Iron &amp; Steelmaker Tool'!$D$16,$E$25:$AN$25,$E$30:$AN$30)/_xlfn.XLOOKUP('Iron &amp; Steelmaker Tool'!$D$16,$E$25:$AN$25,$E$5:$AN$5))/(U$30/U$5))&gt;1,1,IF(U$25&lt;='Iron &amp; Steelmaker Tool'!$D16,1,(_xlfn.XLOOKUP('Iron &amp; Steelmaker Tool'!$D$16,$E$25:$AN$25,$E$30:$AN$30)/_xlfn.XLOOKUP('Iron &amp; Steelmaker Tool'!$D$16,$E$25:$AN$25,$E$5:$AN$5))/(U$30/U$5)))</f>
        <v>#N/A</v>
      </c>
      <c r="V31" s="493" t="e">
        <f>IF(IF(V$25&lt;='Iron &amp; Steelmaker Tool'!$D16,1,(_xlfn.XLOOKUP('Iron &amp; Steelmaker Tool'!$D$16,$E$25:$AN$25,$E$30:$AN$30)/_xlfn.XLOOKUP('Iron &amp; Steelmaker Tool'!$D$16,$E$25:$AN$25,$E$5:$AN$5))/(V$30/V$5))&gt;1,1,IF(V$25&lt;='Iron &amp; Steelmaker Tool'!$D16,1,(_xlfn.XLOOKUP('Iron &amp; Steelmaker Tool'!$D$16,$E$25:$AN$25,$E$30:$AN$30)/_xlfn.XLOOKUP('Iron &amp; Steelmaker Tool'!$D$16,$E$25:$AN$25,$E$5:$AN$5))/(V$30/V$5)))</f>
        <v>#N/A</v>
      </c>
      <c r="W31" s="493" t="e">
        <f>IF(IF(W$25&lt;='Iron &amp; Steelmaker Tool'!$D16,1,(_xlfn.XLOOKUP('Iron &amp; Steelmaker Tool'!$D$16,$E$25:$AN$25,$E$30:$AN$30)/_xlfn.XLOOKUP('Iron &amp; Steelmaker Tool'!$D$16,$E$25:$AN$25,$E$5:$AN$5))/(W$30/W$5))&gt;1,1,IF(W$25&lt;='Iron &amp; Steelmaker Tool'!$D16,1,(_xlfn.XLOOKUP('Iron &amp; Steelmaker Tool'!$D$16,$E$25:$AN$25,$E$30:$AN$30)/_xlfn.XLOOKUP('Iron &amp; Steelmaker Tool'!$D$16,$E$25:$AN$25,$E$5:$AN$5))/(W$30/W$5)))</f>
        <v>#N/A</v>
      </c>
      <c r="X31" s="493" t="e">
        <f>IF(IF(X$25&lt;='Iron &amp; Steelmaker Tool'!$D16,1,(_xlfn.XLOOKUP('Iron &amp; Steelmaker Tool'!$D$16,$E$25:$AN$25,$E$30:$AN$30)/_xlfn.XLOOKUP('Iron &amp; Steelmaker Tool'!$D$16,$E$25:$AN$25,$E$5:$AN$5))/(X$30/X$5))&gt;1,1,IF(X$25&lt;='Iron &amp; Steelmaker Tool'!$D16,1,(_xlfn.XLOOKUP('Iron &amp; Steelmaker Tool'!$D$16,$E$25:$AN$25,$E$30:$AN$30)/_xlfn.XLOOKUP('Iron &amp; Steelmaker Tool'!$D$16,$E$25:$AN$25,$E$5:$AN$5))/(X$30/X$5)))</f>
        <v>#N/A</v>
      </c>
      <c r="Y31" s="493" t="e">
        <f>IF(IF(Y$25&lt;='Iron &amp; Steelmaker Tool'!$D16,1,(_xlfn.XLOOKUP('Iron &amp; Steelmaker Tool'!$D$16,$E$25:$AN$25,$E$30:$AN$30)/_xlfn.XLOOKUP('Iron &amp; Steelmaker Tool'!$D$16,$E$25:$AN$25,$E$5:$AN$5))/(Y$30/Y$5))&gt;1,1,IF(Y$25&lt;='Iron &amp; Steelmaker Tool'!$D16,1,(_xlfn.XLOOKUP('Iron &amp; Steelmaker Tool'!$D$16,$E$25:$AN$25,$E$30:$AN$30)/_xlfn.XLOOKUP('Iron &amp; Steelmaker Tool'!$D$16,$E$25:$AN$25,$E$5:$AN$5))/(Y$30/Y$5)))</f>
        <v>#N/A</v>
      </c>
      <c r="Z31" s="493" t="e">
        <f>IF(IF(Z$25&lt;='Iron &amp; Steelmaker Tool'!$D16,1,(_xlfn.XLOOKUP('Iron &amp; Steelmaker Tool'!$D$16,$E$25:$AN$25,$E$30:$AN$30)/_xlfn.XLOOKUP('Iron &amp; Steelmaker Tool'!$D$16,$E$25:$AN$25,$E$5:$AN$5))/(Z$30/Z$5))&gt;1,1,IF(Z$25&lt;='Iron &amp; Steelmaker Tool'!$D16,1,(_xlfn.XLOOKUP('Iron &amp; Steelmaker Tool'!$D$16,$E$25:$AN$25,$E$30:$AN$30)/_xlfn.XLOOKUP('Iron &amp; Steelmaker Tool'!$D$16,$E$25:$AN$25,$E$5:$AN$5))/(Z$30/Z$5)))</f>
        <v>#N/A</v>
      </c>
      <c r="AA31" s="493" t="e">
        <f>IF(IF(AA$25&lt;='Iron &amp; Steelmaker Tool'!$D16,1,(_xlfn.XLOOKUP('Iron &amp; Steelmaker Tool'!$D$16,$E$25:$AN$25,$E$30:$AN$30)/_xlfn.XLOOKUP('Iron &amp; Steelmaker Tool'!$D$16,$E$25:$AN$25,$E$5:$AN$5))/(AA$30/AA$5))&gt;1,1,IF(AA$25&lt;='Iron &amp; Steelmaker Tool'!$D16,1,(_xlfn.XLOOKUP('Iron &amp; Steelmaker Tool'!$D$16,$E$25:$AN$25,$E$30:$AN$30)/_xlfn.XLOOKUP('Iron &amp; Steelmaker Tool'!$D$16,$E$25:$AN$25,$E$5:$AN$5))/(AA$30/AA$5)))</f>
        <v>#N/A</v>
      </c>
      <c r="AB31" s="493" t="e">
        <f>IF(IF(AB$25&lt;='Iron &amp; Steelmaker Tool'!$D16,1,(_xlfn.XLOOKUP('Iron &amp; Steelmaker Tool'!$D$16,$E$25:$AN$25,$E$30:$AN$30)/_xlfn.XLOOKUP('Iron &amp; Steelmaker Tool'!$D$16,$E$25:$AN$25,$E$5:$AN$5))/(AB$30/AB$5))&gt;1,1,IF(AB$25&lt;='Iron &amp; Steelmaker Tool'!$D16,1,(_xlfn.XLOOKUP('Iron &amp; Steelmaker Tool'!$D$16,$E$25:$AN$25,$E$30:$AN$30)/_xlfn.XLOOKUP('Iron &amp; Steelmaker Tool'!$D$16,$E$25:$AN$25,$E$5:$AN$5))/(AB$30/AB$5)))</f>
        <v>#N/A</v>
      </c>
      <c r="AC31" s="493" t="e">
        <f>IF(IF(AC$25&lt;='Iron &amp; Steelmaker Tool'!$D16,1,(_xlfn.XLOOKUP('Iron &amp; Steelmaker Tool'!$D$16,$E$25:$AN$25,$E$30:$AN$30)/_xlfn.XLOOKUP('Iron &amp; Steelmaker Tool'!$D$16,$E$25:$AN$25,$E$5:$AN$5))/(AC$30/AC$5))&gt;1,1,IF(AC$25&lt;='Iron &amp; Steelmaker Tool'!$D16,1,(_xlfn.XLOOKUP('Iron &amp; Steelmaker Tool'!$D$16,$E$25:$AN$25,$E$30:$AN$30)/_xlfn.XLOOKUP('Iron &amp; Steelmaker Tool'!$D$16,$E$25:$AN$25,$E$5:$AN$5))/(AC$30/AC$5)))</f>
        <v>#N/A</v>
      </c>
      <c r="AD31" s="493" t="e">
        <f>IF(IF(AD$25&lt;='Iron &amp; Steelmaker Tool'!$D16,1,(_xlfn.XLOOKUP('Iron &amp; Steelmaker Tool'!$D$16,$E$25:$AN$25,$E$30:$AN$30)/_xlfn.XLOOKUP('Iron &amp; Steelmaker Tool'!$D$16,$E$25:$AN$25,$E$5:$AN$5))/(AD$30/AD$5))&gt;1,1,IF(AD$25&lt;='Iron &amp; Steelmaker Tool'!$D16,1,(_xlfn.XLOOKUP('Iron &amp; Steelmaker Tool'!$D$16,$E$25:$AN$25,$E$30:$AN$30)/_xlfn.XLOOKUP('Iron &amp; Steelmaker Tool'!$D$16,$E$25:$AN$25,$E$5:$AN$5))/(AD$30/AD$5)))</f>
        <v>#N/A</v>
      </c>
      <c r="AE31" s="493" t="e">
        <f>IF(IF(AE$25&lt;='Iron &amp; Steelmaker Tool'!$D16,1,(_xlfn.XLOOKUP('Iron &amp; Steelmaker Tool'!$D$16,$E$25:$AN$25,$E$30:$AN$30)/_xlfn.XLOOKUP('Iron &amp; Steelmaker Tool'!$D$16,$E$25:$AN$25,$E$5:$AN$5))/(AE$30/AE$5))&gt;1,1,IF(AE$25&lt;='Iron &amp; Steelmaker Tool'!$D16,1,(_xlfn.XLOOKUP('Iron &amp; Steelmaker Tool'!$D$16,$E$25:$AN$25,$E$30:$AN$30)/_xlfn.XLOOKUP('Iron &amp; Steelmaker Tool'!$D$16,$E$25:$AN$25,$E$5:$AN$5))/(AE$30/AE$5)))</f>
        <v>#N/A</v>
      </c>
      <c r="AF31" s="493" t="e">
        <f>IF(IF(AF$25&lt;='Iron &amp; Steelmaker Tool'!$D16,1,(_xlfn.XLOOKUP('Iron &amp; Steelmaker Tool'!$D$16,$E$25:$AN$25,$E$30:$AN$30)/_xlfn.XLOOKUP('Iron &amp; Steelmaker Tool'!$D$16,$E$25:$AN$25,$E$5:$AN$5))/(AF$30/AF$5))&gt;1,1,IF(AF$25&lt;='Iron &amp; Steelmaker Tool'!$D16,1,(_xlfn.XLOOKUP('Iron &amp; Steelmaker Tool'!$D$16,$E$25:$AN$25,$E$30:$AN$30)/_xlfn.XLOOKUP('Iron &amp; Steelmaker Tool'!$D$16,$E$25:$AN$25,$E$5:$AN$5))/(AF$30/AF$5)))</f>
        <v>#N/A</v>
      </c>
      <c r="AG31" s="493" t="e">
        <f>IF(IF(AG$25&lt;='Iron &amp; Steelmaker Tool'!$D16,1,(_xlfn.XLOOKUP('Iron &amp; Steelmaker Tool'!$D$16,$E$25:$AN$25,$E$30:$AN$30)/_xlfn.XLOOKUP('Iron &amp; Steelmaker Tool'!$D$16,$E$25:$AN$25,$E$5:$AN$5))/(AG$30/AG$5))&gt;1,1,IF(AG$25&lt;='Iron &amp; Steelmaker Tool'!$D16,1,(_xlfn.XLOOKUP('Iron &amp; Steelmaker Tool'!$D$16,$E$25:$AN$25,$E$30:$AN$30)/_xlfn.XLOOKUP('Iron &amp; Steelmaker Tool'!$D$16,$E$25:$AN$25,$E$5:$AN$5))/(AG$30/AG$5)))</f>
        <v>#N/A</v>
      </c>
      <c r="AH31" s="493" t="e">
        <f>IF(IF(AH$25&lt;='Iron &amp; Steelmaker Tool'!$D16,1,(_xlfn.XLOOKUP('Iron &amp; Steelmaker Tool'!$D$16,$E$25:$AN$25,$E$30:$AN$30)/_xlfn.XLOOKUP('Iron &amp; Steelmaker Tool'!$D$16,$E$25:$AN$25,$E$5:$AN$5))/(AH$30/AH$5))&gt;1,1,IF(AH$25&lt;='Iron &amp; Steelmaker Tool'!$D16,1,(_xlfn.XLOOKUP('Iron &amp; Steelmaker Tool'!$D$16,$E$25:$AN$25,$E$30:$AN$30)/_xlfn.XLOOKUP('Iron &amp; Steelmaker Tool'!$D$16,$E$25:$AN$25,$E$5:$AN$5))/(AH$30/AH$5)))</f>
        <v>#N/A</v>
      </c>
      <c r="AI31" s="493" t="e">
        <f>IF(IF(AI$25&lt;='Iron &amp; Steelmaker Tool'!$D16,1,(_xlfn.XLOOKUP('Iron &amp; Steelmaker Tool'!$D$16,$E$25:$AN$25,$E$30:$AN$30)/_xlfn.XLOOKUP('Iron &amp; Steelmaker Tool'!$D$16,$E$25:$AN$25,$E$5:$AN$5))/(AI$30/AI$5))&gt;1,1,IF(AI$25&lt;='Iron &amp; Steelmaker Tool'!$D16,1,(_xlfn.XLOOKUP('Iron &amp; Steelmaker Tool'!$D$16,$E$25:$AN$25,$E$30:$AN$30)/_xlfn.XLOOKUP('Iron &amp; Steelmaker Tool'!$D$16,$E$25:$AN$25,$E$5:$AN$5))/(AI$30/AI$5)))</f>
        <v>#N/A</v>
      </c>
      <c r="AJ31" s="493" t="e">
        <f>IF(IF(AJ$25&lt;='Iron &amp; Steelmaker Tool'!$D16,1,(_xlfn.XLOOKUP('Iron &amp; Steelmaker Tool'!$D$16,$E$25:$AN$25,$E$30:$AN$30)/_xlfn.XLOOKUP('Iron &amp; Steelmaker Tool'!$D$16,$E$25:$AN$25,$E$5:$AN$5))/(AJ$30/AJ$5))&gt;1,1,IF(AJ$25&lt;='Iron &amp; Steelmaker Tool'!$D16,1,(_xlfn.XLOOKUP('Iron &amp; Steelmaker Tool'!$D$16,$E$25:$AN$25,$E$30:$AN$30)/_xlfn.XLOOKUP('Iron &amp; Steelmaker Tool'!$D$16,$E$25:$AN$25,$E$5:$AN$5))/(AJ$30/AJ$5)))</f>
        <v>#N/A</v>
      </c>
      <c r="AK31" s="493" t="e">
        <f>IF(IF(AK$25&lt;='Iron &amp; Steelmaker Tool'!$D16,1,(_xlfn.XLOOKUP('Iron &amp; Steelmaker Tool'!$D$16,$E$25:$AN$25,$E$30:$AN$30)/_xlfn.XLOOKUP('Iron &amp; Steelmaker Tool'!$D$16,$E$25:$AN$25,$E$5:$AN$5))/(AK$30/AK$5))&gt;1,1,IF(AK$25&lt;='Iron &amp; Steelmaker Tool'!$D16,1,(_xlfn.XLOOKUP('Iron &amp; Steelmaker Tool'!$D$16,$E$25:$AN$25,$E$30:$AN$30)/_xlfn.XLOOKUP('Iron &amp; Steelmaker Tool'!$D$16,$E$25:$AN$25,$E$5:$AN$5))/(AK$30/AK$5)))</f>
        <v>#N/A</v>
      </c>
      <c r="AL31" s="493" t="e">
        <f>IF(IF(AL$25&lt;='Iron &amp; Steelmaker Tool'!$D16,1,(_xlfn.XLOOKUP('Iron &amp; Steelmaker Tool'!$D$16,$E$25:$AN$25,$E$30:$AN$30)/_xlfn.XLOOKUP('Iron &amp; Steelmaker Tool'!$D$16,$E$25:$AN$25,$E$5:$AN$5))/(AL$30/AL$5))&gt;1,1,IF(AL$25&lt;='Iron &amp; Steelmaker Tool'!$D16,1,(_xlfn.XLOOKUP('Iron &amp; Steelmaker Tool'!$D$16,$E$25:$AN$25,$E$30:$AN$30)/_xlfn.XLOOKUP('Iron &amp; Steelmaker Tool'!$D$16,$E$25:$AN$25,$E$5:$AN$5))/(AL$30/AL$5)))</f>
        <v>#N/A</v>
      </c>
      <c r="AM31" s="493" t="e">
        <f>IF(IF(AM$25&lt;='Iron &amp; Steelmaker Tool'!$D16,1,(_xlfn.XLOOKUP('Iron &amp; Steelmaker Tool'!$D$16,$E$25:$AN$25,$E$30:$AN$30)/_xlfn.XLOOKUP('Iron &amp; Steelmaker Tool'!$D$16,$E$25:$AN$25,$E$5:$AN$5))/(AM$30/AM$5))&gt;1,1,IF(AM$25&lt;='Iron &amp; Steelmaker Tool'!$D16,1,(_xlfn.XLOOKUP('Iron &amp; Steelmaker Tool'!$D$16,$E$25:$AN$25,$E$30:$AN$30)/_xlfn.XLOOKUP('Iron &amp; Steelmaker Tool'!$D$16,$E$25:$AN$25,$E$5:$AN$5))/(AM$30/AM$5)))</f>
        <v>#N/A</v>
      </c>
      <c r="AN31" s="493" t="e">
        <f>IF(IF(AN$25&lt;='Iron &amp; Steelmaker Tool'!$D16,1,(_xlfn.XLOOKUP('Iron &amp; Steelmaker Tool'!$D$16,$E$25:$AN$25,$E$30:$AN$30)/_xlfn.XLOOKUP('Iron &amp; Steelmaker Tool'!$D$16,$E$25:$AN$25,$E$5:$AN$5))/(AN$30/AN$5))&gt;1,1,IF(AN$25&lt;='Iron &amp; Steelmaker Tool'!$D16,1,(_xlfn.XLOOKUP('Iron &amp; Steelmaker Tool'!$D$16,$E$25:$AN$25,$E$30:$AN$30)/_xlfn.XLOOKUP('Iron &amp; Steelmaker Tool'!$D$16,$E$25:$AN$25,$E$5:$AN$5))/(AN$30/AN$5)))</f>
        <v>#N/A</v>
      </c>
    </row>
    <row r="32" spans="1:42" x14ac:dyDescent="0.15">
      <c r="A32" t="s">
        <v>489</v>
      </c>
      <c r="B32" t="s">
        <v>490</v>
      </c>
      <c r="C32" t="s">
        <v>491</v>
      </c>
      <c r="D32" s="506" t="s">
        <v>488</v>
      </c>
      <c r="E32" s="493" t="e">
        <f>IF(E$25&lt;='Iron &amp; Steelmaker Tool'!$D$16,1,(E$29-E27)/(_xlfn.XLOOKUP('Iron &amp; Steelmaker Tool'!$D$16,$E$25:$AN$25,$E$29:$AN$29)-E27))</f>
        <v>#N/A</v>
      </c>
      <c r="F32" s="493" t="e">
        <f>IF(F$25&lt;='Iron &amp; Steelmaker Tool'!$D$16,1,(F$29-F27)/(_xlfn.XLOOKUP('Iron &amp; Steelmaker Tool'!$D$16,$E$25:$AN$25,$E$29:$AN$29)-F27))</f>
        <v>#N/A</v>
      </c>
      <c r="G32" s="493" t="e">
        <f>IF(G$25&lt;='Iron &amp; Steelmaker Tool'!$D$16,1,(G$29-G27)/(_xlfn.XLOOKUP('Iron &amp; Steelmaker Tool'!$D$16,$E$25:$AN$25,$E$29:$AN$29)-G27))</f>
        <v>#N/A</v>
      </c>
      <c r="H32" s="493" t="e">
        <f>IF(H$25&lt;='Iron &amp; Steelmaker Tool'!$D$16,1,(H$29-H27)/(_xlfn.XLOOKUP('Iron &amp; Steelmaker Tool'!$D$16,$E$25:$AN$25,$E$29:$AN$29)-H27))</f>
        <v>#N/A</v>
      </c>
      <c r="I32" s="493" t="e">
        <f>IF(I$25&lt;='Iron &amp; Steelmaker Tool'!$D$16,1,(I$29-I27)/(_xlfn.XLOOKUP('Iron &amp; Steelmaker Tool'!$D$16,$E$25:$AN$25,$E$29:$AN$29)-I27))</f>
        <v>#N/A</v>
      </c>
      <c r="J32" s="493" t="e">
        <f>IF(J$25&lt;='Iron &amp; Steelmaker Tool'!$D$16,1,(J$29-J27)/(_xlfn.XLOOKUP('Iron &amp; Steelmaker Tool'!$D$16,$E$25:$AN$25,$E$29:$AN$29)-J27))</f>
        <v>#N/A</v>
      </c>
      <c r="K32" s="493" t="e">
        <f>IF(K$25&lt;='Iron &amp; Steelmaker Tool'!$D$16,1,(K$29-K27)/(_xlfn.XLOOKUP('Iron &amp; Steelmaker Tool'!$D$16,$E$25:$AN$25,$E$29:$AN$29)-K27))</f>
        <v>#N/A</v>
      </c>
      <c r="L32" s="493" t="e">
        <f>IF(L$25&lt;='Iron &amp; Steelmaker Tool'!$D$16,1,(L$29-L27)/(_xlfn.XLOOKUP('Iron &amp; Steelmaker Tool'!$D$16,$E$25:$AN$25,$E$29:$AN$29)-L27))</f>
        <v>#N/A</v>
      </c>
      <c r="M32" s="493" t="e">
        <f>IF(M$25&lt;='Iron &amp; Steelmaker Tool'!$D$16,1,(M$29-M27)/(_xlfn.XLOOKUP('Iron &amp; Steelmaker Tool'!$D$16,$E$25:$AN$25,$E$29:$AN$29)-M27))</f>
        <v>#N/A</v>
      </c>
      <c r="N32" s="493" t="e">
        <f>IF(N$25&lt;='Iron &amp; Steelmaker Tool'!$D$16,1,(N$29-N27)/(_xlfn.XLOOKUP('Iron &amp; Steelmaker Tool'!$D$16,$E$25:$AN$25,$E$29:$AN$29)-N27))</f>
        <v>#N/A</v>
      </c>
      <c r="O32" s="493" t="e">
        <f>IF(O$25&lt;='Iron &amp; Steelmaker Tool'!$D$16,1,(O$29-O27)/(_xlfn.XLOOKUP('Iron &amp; Steelmaker Tool'!$D$16,$E$25:$AN$25,$E$29:$AN$29)-O27))</f>
        <v>#N/A</v>
      </c>
      <c r="P32" s="493" t="e">
        <f>IF(P$25&lt;='Iron &amp; Steelmaker Tool'!$D$16,1,(P$29-P27)/(_xlfn.XLOOKUP('Iron &amp; Steelmaker Tool'!$D$16,$E$25:$AN$25,$E$29:$AN$29)-P27))</f>
        <v>#N/A</v>
      </c>
      <c r="Q32" s="493" t="e">
        <f>IF(Q$25&lt;='Iron &amp; Steelmaker Tool'!$D$16,1,(Q$29-Q27)/(_xlfn.XLOOKUP('Iron &amp; Steelmaker Tool'!$D$16,$E$25:$AN$25,$E$29:$AN$29)-Q27))</f>
        <v>#N/A</v>
      </c>
      <c r="R32" s="493" t="e">
        <f>IF(R$25&lt;='Iron &amp; Steelmaker Tool'!$D$16,1,(R$29-R27)/(_xlfn.XLOOKUP('Iron &amp; Steelmaker Tool'!$D$16,$E$25:$AN$25,$E$29:$AN$29)-R27))</f>
        <v>#N/A</v>
      </c>
      <c r="S32" s="493" t="e">
        <f>IF(S$25&lt;='Iron &amp; Steelmaker Tool'!$D$16,1,(S$29-S27)/(_xlfn.XLOOKUP('Iron &amp; Steelmaker Tool'!$D$16,$E$25:$AN$25,$E$29:$AN$29)-S27))</f>
        <v>#N/A</v>
      </c>
      <c r="T32" s="493" t="e">
        <f>IF(T$25&lt;='Iron &amp; Steelmaker Tool'!$D$16,1,(T$29-T27)/(_xlfn.XLOOKUP('Iron &amp; Steelmaker Tool'!$D$16,$E$25:$AN$25,$E$29:$AN$29)-T27))</f>
        <v>#N/A</v>
      </c>
      <c r="U32" s="493" t="e">
        <f>IF(U$25&lt;='Iron &amp; Steelmaker Tool'!$D$16,1,(U$29-U27)/(_xlfn.XLOOKUP('Iron &amp; Steelmaker Tool'!$D$16,$E$25:$AN$25,$E$29:$AN$29)-U27))</f>
        <v>#N/A</v>
      </c>
      <c r="V32" s="493" t="e">
        <f>IF(V$25&lt;='Iron &amp; Steelmaker Tool'!$D$16,1,(V$29-V27)/(_xlfn.XLOOKUP('Iron &amp; Steelmaker Tool'!$D$16,$E$25:$AN$25,$E$29:$AN$29)-V27))</f>
        <v>#N/A</v>
      </c>
      <c r="W32" s="493" t="e">
        <f>IF(W$25&lt;='Iron &amp; Steelmaker Tool'!$D$16,1,(W$29-W27)/(_xlfn.XLOOKUP('Iron &amp; Steelmaker Tool'!$D$16,$E$25:$AN$25,$E$29:$AN$29)-W27))</f>
        <v>#N/A</v>
      </c>
      <c r="X32" s="493" t="e">
        <f>IF(X$25&lt;='Iron &amp; Steelmaker Tool'!$D$16,1,(X$29-X27)/(_xlfn.XLOOKUP('Iron &amp; Steelmaker Tool'!$D$16,$E$25:$AN$25,$E$29:$AN$29)-X27))</f>
        <v>#N/A</v>
      </c>
      <c r="Y32" s="493" t="e">
        <f>IF(Y$25&lt;='Iron &amp; Steelmaker Tool'!$D$16,1,(Y$29-Y27)/(_xlfn.XLOOKUP('Iron &amp; Steelmaker Tool'!$D$16,$E$25:$AN$25,$E$29:$AN$29)-Y27))</f>
        <v>#N/A</v>
      </c>
      <c r="Z32" s="493" t="e">
        <f>IF(Z$25&lt;='Iron &amp; Steelmaker Tool'!$D$16,1,(Z$29-Z27)/(_xlfn.XLOOKUP('Iron &amp; Steelmaker Tool'!$D$16,$E$25:$AN$25,$E$29:$AN$29)-Z27))</f>
        <v>#N/A</v>
      </c>
      <c r="AA32" s="493" t="e">
        <f>IF(AA$25&lt;='Iron &amp; Steelmaker Tool'!$D$16,1,(AA$29-AA27)/(_xlfn.XLOOKUP('Iron &amp; Steelmaker Tool'!$D$16,$E$25:$AN$25,$E$29:$AN$29)-AA27))</f>
        <v>#N/A</v>
      </c>
      <c r="AB32" s="493" t="e">
        <f>IF(AB$25&lt;='Iron &amp; Steelmaker Tool'!$D$16,1,(AB$29-AB27)/(_xlfn.XLOOKUP('Iron &amp; Steelmaker Tool'!$D$16,$E$25:$AN$25,$E$29:$AN$29)-AB27))</f>
        <v>#N/A</v>
      </c>
      <c r="AC32" s="493" t="e">
        <f>IF(AC$25&lt;='Iron &amp; Steelmaker Tool'!$D$16,1,(AC$29-AC27)/(_xlfn.XLOOKUP('Iron &amp; Steelmaker Tool'!$D$16,$E$25:$AN$25,$E$29:$AN$29)-AC27))</f>
        <v>#N/A</v>
      </c>
      <c r="AD32" s="493" t="e">
        <f>IF(AD$25&lt;='Iron &amp; Steelmaker Tool'!$D$16,1,(AD$29-AD27)/(_xlfn.XLOOKUP('Iron &amp; Steelmaker Tool'!$D$16,$E$25:$AN$25,$E$29:$AN$29)-AD27))</f>
        <v>#N/A</v>
      </c>
      <c r="AE32" s="493" t="e">
        <f>IF(AE$25&lt;='Iron &amp; Steelmaker Tool'!$D$16,1,(AE$29-AE27)/(_xlfn.XLOOKUP('Iron &amp; Steelmaker Tool'!$D$16,$E$25:$AN$25,$E$29:$AN$29)-AE27))</f>
        <v>#N/A</v>
      </c>
      <c r="AF32" s="493" t="e">
        <f>IF(AF$25&lt;='Iron &amp; Steelmaker Tool'!$D$16,1,(AF$29-AF27)/(_xlfn.XLOOKUP('Iron &amp; Steelmaker Tool'!$D$16,$E$25:$AN$25,$E$29:$AN$29)-AF27))</f>
        <v>#N/A</v>
      </c>
      <c r="AG32" s="493" t="e">
        <f>IF(AG$25&lt;='Iron &amp; Steelmaker Tool'!$D$16,1,(AG$29-AG27)/(_xlfn.XLOOKUP('Iron &amp; Steelmaker Tool'!$D$16,$E$25:$AN$25,$E$29:$AN$29)-AG27))</f>
        <v>#N/A</v>
      </c>
      <c r="AH32" s="493" t="e">
        <f>IF(AH$25&lt;='Iron &amp; Steelmaker Tool'!$D$16,1,(AH$29-AH27)/(_xlfn.XLOOKUP('Iron &amp; Steelmaker Tool'!$D$16,$E$25:$AN$25,$E$29:$AN$29)-AH27))</f>
        <v>#N/A</v>
      </c>
      <c r="AI32" s="493" t="e">
        <f>IF(AI$25&lt;='Iron &amp; Steelmaker Tool'!$D$16,1,(AI$29-AI27)/(_xlfn.XLOOKUP('Iron &amp; Steelmaker Tool'!$D$16,$E$25:$AN$25,$E$29:$AN$29)-AI27))</f>
        <v>#N/A</v>
      </c>
      <c r="AJ32" s="493" t="e">
        <f>IF(AJ$25&lt;='Iron &amp; Steelmaker Tool'!$D$16,1,(AJ$29-AJ27)/(_xlfn.XLOOKUP('Iron &amp; Steelmaker Tool'!$D$16,$E$25:$AN$25,$E$29:$AN$29)-AJ27))</f>
        <v>#N/A</v>
      </c>
      <c r="AK32" s="493" t="e">
        <f>IF(AK$25&lt;='Iron &amp; Steelmaker Tool'!$D$16,1,(AK$29-AK27)/(_xlfn.XLOOKUP('Iron &amp; Steelmaker Tool'!$D$16,$E$25:$AN$25,$E$29:$AN$29)-AK27))</f>
        <v>#N/A</v>
      </c>
      <c r="AL32" s="493" t="e">
        <f>IF(AL$25&lt;='Iron &amp; Steelmaker Tool'!$D$16,1,(AL$29-AL27)/(_xlfn.XLOOKUP('Iron &amp; Steelmaker Tool'!$D$16,$E$25:$AN$25,$E$29:$AN$29)-AL27))</f>
        <v>#N/A</v>
      </c>
      <c r="AM32" s="493" t="e">
        <f>IF(AM$25&lt;='Iron &amp; Steelmaker Tool'!$D$16,1,(AM$29-AM27)/(_xlfn.XLOOKUP('Iron &amp; Steelmaker Tool'!$D$16,$E$25:$AN$25,$E$29:$AN$29)-AM27))</f>
        <v>#N/A</v>
      </c>
      <c r="AN32" s="493" t="e">
        <f>IF(AN$25&lt;='Iron &amp; Steelmaker Tool'!$D$16,1,(AN$29-AN27)/(_xlfn.XLOOKUP('Iron &amp; Steelmaker Tool'!$D$16,$E$25:$AN$25,$E$29:$AN$29)-AN27))</f>
        <v>#N/A</v>
      </c>
    </row>
    <row r="33" spans="1:40" x14ac:dyDescent="0.15">
      <c r="A33" t="s">
        <v>492</v>
      </c>
      <c r="B33" t="s">
        <v>493</v>
      </c>
      <c r="C33" t="s">
        <v>494</v>
      </c>
      <c r="D33" t="s">
        <v>608</v>
      </c>
      <c r="E33" s="146" t="e">
        <f t="shared" ref="E33:I33" si="22">E28*E31*E32+E27</f>
        <v>#DIV/0!</v>
      </c>
      <c r="F33" s="146" t="e">
        <f t="shared" si="22"/>
        <v>#DIV/0!</v>
      </c>
      <c r="G33" s="146" t="e">
        <f t="shared" si="22"/>
        <v>#DIV/0!</v>
      </c>
      <c r="H33" s="146" t="e">
        <f t="shared" si="22"/>
        <v>#DIV/0!</v>
      </c>
      <c r="I33" s="146" t="e">
        <f t="shared" si="22"/>
        <v>#DIV/0!</v>
      </c>
      <c r="J33" s="146" t="e">
        <f>J28*J31*J32+J27</f>
        <v>#DIV/0!</v>
      </c>
      <c r="K33" s="146" t="e">
        <f t="shared" ref="K33:AN33" si="23">K28*K31*K32+K27</f>
        <v>#DIV/0!</v>
      </c>
      <c r="L33" s="146" t="e">
        <f t="shared" si="23"/>
        <v>#DIV/0!</v>
      </c>
      <c r="M33" s="146" t="e">
        <f t="shared" si="23"/>
        <v>#DIV/0!</v>
      </c>
      <c r="N33" s="146" t="e">
        <f t="shared" si="23"/>
        <v>#DIV/0!</v>
      </c>
      <c r="O33" s="146" t="e">
        <f t="shared" si="23"/>
        <v>#DIV/0!</v>
      </c>
      <c r="P33" s="146" t="e">
        <f t="shared" si="23"/>
        <v>#DIV/0!</v>
      </c>
      <c r="Q33" s="146" t="e">
        <f t="shared" si="23"/>
        <v>#DIV/0!</v>
      </c>
      <c r="R33" s="146" t="e">
        <f t="shared" si="23"/>
        <v>#DIV/0!</v>
      </c>
      <c r="S33" s="146" t="e">
        <f t="shared" si="23"/>
        <v>#DIV/0!</v>
      </c>
      <c r="T33" s="146" t="e">
        <f t="shared" si="23"/>
        <v>#DIV/0!</v>
      </c>
      <c r="U33" s="146" t="e">
        <f t="shared" si="23"/>
        <v>#DIV/0!</v>
      </c>
      <c r="V33" s="146" t="e">
        <f t="shared" si="23"/>
        <v>#DIV/0!</v>
      </c>
      <c r="W33" s="146" t="e">
        <f t="shared" si="23"/>
        <v>#DIV/0!</v>
      </c>
      <c r="X33" s="146" t="e">
        <f t="shared" si="23"/>
        <v>#DIV/0!</v>
      </c>
      <c r="Y33" s="146" t="e">
        <f t="shared" si="23"/>
        <v>#DIV/0!</v>
      </c>
      <c r="Z33" s="146" t="e">
        <f t="shared" si="23"/>
        <v>#DIV/0!</v>
      </c>
      <c r="AA33" s="146" t="e">
        <f t="shared" si="23"/>
        <v>#DIV/0!</v>
      </c>
      <c r="AB33" s="146" t="e">
        <f t="shared" si="23"/>
        <v>#DIV/0!</v>
      </c>
      <c r="AC33" s="146" t="e">
        <f t="shared" si="23"/>
        <v>#DIV/0!</v>
      </c>
      <c r="AD33" s="146" t="e">
        <f t="shared" si="23"/>
        <v>#DIV/0!</v>
      </c>
      <c r="AE33" s="146" t="e">
        <f t="shared" si="23"/>
        <v>#DIV/0!</v>
      </c>
      <c r="AF33" s="146" t="e">
        <f t="shared" si="23"/>
        <v>#DIV/0!</v>
      </c>
      <c r="AG33" s="146" t="e">
        <f t="shared" si="23"/>
        <v>#DIV/0!</v>
      </c>
      <c r="AH33" s="146" t="e">
        <f t="shared" si="23"/>
        <v>#DIV/0!</v>
      </c>
      <c r="AI33" s="146" t="e">
        <f t="shared" si="23"/>
        <v>#DIV/0!</v>
      </c>
      <c r="AJ33" s="146" t="e">
        <f t="shared" si="23"/>
        <v>#DIV/0!</v>
      </c>
      <c r="AK33" s="146" t="e">
        <f t="shared" si="23"/>
        <v>#DIV/0!</v>
      </c>
      <c r="AL33" s="146" t="e">
        <f t="shared" si="23"/>
        <v>#DIV/0!</v>
      </c>
      <c r="AM33" s="146" t="e">
        <f t="shared" si="23"/>
        <v>#DIV/0!</v>
      </c>
      <c r="AN33" s="146" t="e">
        <f t="shared" si="23"/>
        <v>#DIV/0!</v>
      </c>
    </row>
    <row r="34" spans="1:40" x14ac:dyDescent="0.15">
      <c r="B34" s="506"/>
      <c r="C34" t="s">
        <v>611</v>
      </c>
      <c r="D34" t="s">
        <v>612</v>
      </c>
      <c r="J34" s="507"/>
      <c r="K34" s="499"/>
      <c r="L34" s="499"/>
      <c r="M34" s="499"/>
      <c r="N34" s="499"/>
      <c r="O34" s="499"/>
      <c r="P34" s="499"/>
      <c r="Q34" s="499"/>
      <c r="R34" s="499"/>
      <c r="S34" s="499"/>
      <c r="T34" s="499" t="e">
        <f>1-T33/J33</f>
        <v>#DIV/0!</v>
      </c>
      <c r="U34" s="499"/>
      <c r="V34" s="499"/>
      <c r="W34" s="499"/>
      <c r="X34" s="499"/>
      <c r="Y34" s="499"/>
      <c r="Z34" s="499"/>
      <c r="AA34" s="499"/>
      <c r="AB34" s="499"/>
      <c r="AC34" s="499"/>
      <c r="AD34" s="499"/>
      <c r="AE34" s="499"/>
      <c r="AF34" s="499"/>
      <c r="AG34" s="499"/>
      <c r="AH34" s="499"/>
      <c r="AI34" s="499"/>
      <c r="AJ34" s="499"/>
      <c r="AK34" s="499"/>
      <c r="AL34" s="499"/>
      <c r="AM34" s="499"/>
      <c r="AN34" s="499"/>
    </row>
    <row r="35" spans="1:40" ht="14" thickBot="1" x14ac:dyDescent="0.2">
      <c r="B35" s="506"/>
      <c r="D35" s="506"/>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40" s="495" customFormat="1" ht="16" thickBot="1" x14ac:dyDescent="0.25">
      <c r="A36" s="505" t="s">
        <v>495</v>
      </c>
    </row>
    <row r="37" spans="1:40" ht="15" x14ac:dyDescent="0.2">
      <c r="A37" s="508"/>
    </row>
    <row r="38" spans="1:40" x14ac:dyDescent="0.15">
      <c r="A38" t="s">
        <v>496</v>
      </c>
    </row>
    <row r="71" spans="1:5" ht="14" thickBot="1" x14ac:dyDescent="0.2"/>
    <row r="72" spans="1:5" s="495" customFormat="1" ht="16" thickBot="1" x14ac:dyDescent="0.25">
      <c r="A72" s="505" t="s">
        <v>497</v>
      </c>
    </row>
    <row r="74" spans="1:5" x14ac:dyDescent="0.15">
      <c r="A74" t="s">
        <v>498</v>
      </c>
      <c r="B74" t="s">
        <v>15</v>
      </c>
      <c r="C74" t="s">
        <v>499</v>
      </c>
      <c r="D74" t="s">
        <v>500</v>
      </c>
    </row>
    <row r="75" spans="1:5" x14ac:dyDescent="0.15">
      <c r="A75" t="s">
        <v>501</v>
      </c>
      <c r="B75" t="s">
        <v>502</v>
      </c>
      <c r="C75" s="509">
        <v>1.0919765166340509</v>
      </c>
      <c r="D75" t="s">
        <v>503</v>
      </c>
    </row>
    <row r="77" spans="1:5" ht="14" thickBot="1" x14ac:dyDescent="0.2"/>
    <row r="78" spans="1:5" ht="16" thickBot="1" x14ac:dyDescent="0.25">
      <c r="A78" s="505" t="s">
        <v>508</v>
      </c>
      <c r="B78" s="495"/>
      <c r="C78" s="495"/>
      <c r="D78" s="495"/>
      <c r="E78" s="512"/>
    </row>
    <row r="79" spans="1:5" x14ac:dyDescent="0.15">
      <c r="A79" t="s">
        <v>509</v>
      </c>
      <c r="B79" t="s">
        <v>445</v>
      </c>
      <c r="C79" t="s">
        <v>446</v>
      </c>
      <c r="D79" t="s">
        <v>15</v>
      </c>
      <c r="E79" t="s">
        <v>499</v>
      </c>
    </row>
    <row r="80" spans="1:5" x14ac:dyDescent="0.15">
      <c r="A80" t="s">
        <v>510</v>
      </c>
      <c r="B80" t="s">
        <v>511</v>
      </c>
      <c r="C80" t="s">
        <v>512</v>
      </c>
      <c r="D80" t="s">
        <v>513</v>
      </c>
      <c r="E80" s="38">
        <f>AN5</f>
        <v>1987</v>
      </c>
    </row>
    <row r="81" spans="1:41" x14ac:dyDescent="0.15">
      <c r="A81" t="s">
        <v>514</v>
      </c>
      <c r="C81" t="s">
        <v>515</v>
      </c>
      <c r="D81" t="s">
        <v>516</v>
      </c>
      <c r="E81" s="499">
        <f>AN9</f>
        <v>0.46</v>
      </c>
    </row>
    <row r="82" spans="1:41" x14ac:dyDescent="0.15">
      <c r="A82" t="s">
        <v>517</v>
      </c>
      <c r="B82" t="s">
        <v>518</v>
      </c>
      <c r="C82" t="s">
        <v>414</v>
      </c>
      <c r="D82" t="s">
        <v>458</v>
      </c>
      <c r="E82">
        <v>500</v>
      </c>
      <c r="F82" t="s">
        <v>521</v>
      </c>
    </row>
    <row r="83" spans="1:41" x14ac:dyDescent="0.15">
      <c r="A83" t="s">
        <v>519</v>
      </c>
      <c r="B83" t="s">
        <v>480</v>
      </c>
      <c r="C83" t="s">
        <v>520</v>
      </c>
      <c r="D83" t="s">
        <v>458</v>
      </c>
      <c r="E83" s="38">
        <v>116</v>
      </c>
      <c r="F83" t="s">
        <v>521</v>
      </c>
    </row>
    <row r="86" spans="1:41" x14ac:dyDescent="0.15">
      <c r="A86" t="s">
        <v>602</v>
      </c>
      <c r="B86" t="s">
        <v>25</v>
      </c>
      <c r="I86" s="38">
        <v>3306.088652810135</v>
      </c>
      <c r="J86" s="38">
        <v>3216.7120679567061</v>
      </c>
      <c r="K86" s="38">
        <v>3127.3354831032771</v>
      </c>
      <c r="L86" s="38">
        <v>3037.9588982498476</v>
      </c>
      <c r="M86" s="38">
        <v>2948.5823133964191</v>
      </c>
      <c r="N86" s="38">
        <v>2859.2057285429896</v>
      </c>
      <c r="O86" s="38">
        <v>2769.8291436895606</v>
      </c>
      <c r="P86" s="38">
        <v>2680.4525588361321</v>
      </c>
      <c r="Q86" s="38">
        <v>2591.0759739827031</v>
      </c>
      <c r="R86" s="38">
        <v>2501.6993891292741</v>
      </c>
      <c r="S86" s="38">
        <v>2412.3228042758437</v>
      </c>
      <c r="T86" s="38">
        <v>2282.824469868599</v>
      </c>
      <c r="U86" s="38">
        <v>2153.3261354613542</v>
      </c>
      <c r="V86" s="38">
        <v>2023.8278010541092</v>
      </c>
      <c r="W86" s="38">
        <v>1894.3294666468641</v>
      </c>
      <c r="X86" s="38">
        <v>1764.8311322396194</v>
      </c>
      <c r="Y86" s="38">
        <v>1635.3327978323744</v>
      </c>
      <c r="Z86" s="38">
        <v>1505.8344634251296</v>
      </c>
      <c r="AA86" s="38">
        <v>1376.3361290178846</v>
      </c>
      <c r="AB86" s="38">
        <v>1246.83779461064</v>
      </c>
      <c r="AC86" s="38">
        <v>1117.3394602033957</v>
      </c>
      <c r="AD86" s="38">
        <v>1028.6497252709478</v>
      </c>
      <c r="AE86" s="38">
        <v>939.95999033850023</v>
      </c>
      <c r="AF86" s="38">
        <v>851.27025540605234</v>
      </c>
      <c r="AG86" s="38">
        <v>762.58052047360445</v>
      </c>
      <c r="AH86" s="38">
        <v>673.89078554115667</v>
      </c>
      <c r="AI86" s="38">
        <v>585.2010506087089</v>
      </c>
      <c r="AJ86" s="38">
        <v>496.51131567626106</v>
      </c>
      <c r="AK86" s="38">
        <v>407.82158074381323</v>
      </c>
      <c r="AL86" s="38">
        <v>319.13184581136545</v>
      </c>
      <c r="AM86" s="38">
        <v>230.44211087891748</v>
      </c>
      <c r="AN86" s="2">
        <f>SUM(I86:AM86)</f>
        <v>54747.541845082182</v>
      </c>
      <c r="AO86" t="s">
        <v>603</v>
      </c>
    </row>
    <row r="87" spans="1:41" ht="15" x14ac:dyDescent="0.2">
      <c r="A87" s="528" t="s">
        <v>599</v>
      </c>
      <c r="B87" s="528"/>
      <c r="I87" s="529">
        <f>DataArrange!P87</f>
        <v>4632.6389297592459</v>
      </c>
      <c r="J87" s="529">
        <f>DataArrange!Q87</f>
        <v>4905.2019603023291</v>
      </c>
      <c r="K87" s="529">
        <f>DataArrange!R87</f>
        <v>4932.8538108572293</v>
      </c>
      <c r="L87" s="529">
        <f>DataArrange!S87</f>
        <v>4960.5749741178779</v>
      </c>
      <c r="M87" s="529">
        <f>DataArrange!T87</f>
        <v>4988.3653940544946</v>
      </c>
      <c r="N87" s="529">
        <f>DataArrange!U87</f>
        <v>5016.2250146976776</v>
      </c>
      <c r="O87" s="529">
        <f>DataArrange!V87</f>
        <v>5082.6805010999187</v>
      </c>
      <c r="P87" s="529">
        <f>DataArrange!W87</f>
        <v>5149.6074743288827</v>
      </c>
      <c r="Q87" s="529">
        <f>DataArrange!X87</f>
        <v>5217.0080023493574</v>
      </c>
      <c r="R87" s="529">
        <f>DataArrange!Y87</f>
        <v>5284.8841652374358</v>
      </c>
      <c r="S87" s="529">
        <f>DataArrange!Z87</f>
        <v>5353.2380552693066</v>
      </c>
      <c r="T87" s="529">
        <f>DataArrange!AA87</f>
        <v>5363.1384191783609</v>
      </c>
      <c r="U87" s="529">
        <f>DataArrange!AB87</f>
        <v>5373.0036330141065</v>
      </c>
      <c r="V87" s="529">
        <f>DataArrange!AC87</f>
        <v>5382.8342597344736</v>
      </c>
      <c r="W87" s="529">
        <f>DataArrange!AD87</f>
        <v>5392.6308503395785</v>
      </c>
      <c r="X87" s="529">
        <f>DataArrange!AE87</f>
        <v>5402.3939441875309</v>
      </c>
      <c r="Y87" s="529">
        <f>DataArrange!AF87</f>
        <v>5433.7580086138978</v>
      </c>
      <c r="Z87" s="529">
        <f>DataArrange!AG87</f>
        <v>5464.8138111641474</v>
      </c>
      <c r="AA87" s="529">
        <f>DataArrange!AH87</f>
        <v>5495.5678758102576</v>
      </c>
      <c r="AB87" s="529">
        <f>DataArrange!AI87</f>
        <v>5526.0265437183689</v>
      </c>
      <c r="AC87" s="529">
        <f>DataArrange!AJ87</f>
        <v>5556.1959796071396</v>
      </c>
      <c r="AD87" s="529">
        <f>DataArrange!AK87</f>
        <v>5595.0825042100996</v>
      </c>
      <c r="AE87" s="529">
        <f>DataArrange!AL87</f>
        <v>5633.9946759631493</v>
      </c>
      <c r="AF87" s="529">
        <f>DataArrange!AM87</f>
        <v>5672.9324134670642</v>
      </c>
      <c r="AG87" s="529">
        <f>DataArrange!AN87</f>
        <v>5711.895635666715</v>
      </c>
      <c r="AH87" s="529">
        <f>DataArrange!AO87</f>
        <v>5750.8842618492563</v>
      </c>
      <c r="AI87" s="529">
        <f>DataArrange!AP87</f>
        <v>5771.24864890972</v>
      </c>
      <c r="AJ87" s="529">
        <f>DataArrange!AQ87</f>
        <v>5791.5246001016903</v>
      </c>
      <c r="AK87" s="529">
        <f>DataArrange!AR87</f>
        <v>5811.7134808872133</v>
      </c>
      <c r="AL87" s="529">
        <f>DataArrange!AS87</f>
        <v>5831.8166287617078</v>
      </c>
      <c r="AM87" s="529">
        <f>DataArrange!AT87</f>
        <v>5851.8353539663103</v>
      </c>
      <c r="AN87" s="2">
        <f>SUM(I87:AM87)</f>
        <v>167336.5698112245</v>
      </c>
      <c r="AO87" s="528"/>
    </row>
    <row r="88" spans="1:41" ht="15" x14ac:dyDescent="0.2">
      <c r="C88" s="1">
        <v>2014</v>
      </c>
      <c r="D88" s="1">
        <v>2015</v>
      </c>
      <c r="E88" s="1">
        <v>2016</v>
      </c>
      <c r="F88" s="1">
        <v>2017</v>
      </c>
      <c r="G88" s="1">
        <v>2018</v>
      </c>
      <c r="H88" s="1">
        <v>2019</v>
      </c>
      <c r="I88" s="496">
        <v>2020</v>
      </c>
      <c r="J88" s="496">
        <v>2021</v>
      </c>
      <c r="K88" s="496">
        <v>2022</v>
      </c>
      <c r="L88" s="496">
        <v>2023</v>
      </c>
      <c r="M88" s="496">
        <v>2024</v>
      </c>
      <c r="N88" s="496">
        <v>2025</v>
      </c>
      <c r="O88" s="496">
        <v>2026</v>
      </c>
      <c r="P88" s="496">
        <v>2027</v>
      </c>
      <c r="Q88" s="496">
        <v>2028</v>
      </c>
      <c r="R88" s="496">
        <v>2029</v>
      </c>
      <c r="S88" s="496">
        <v>2030</v>
      </c>
      <c r="T88" s="496">
        <v>2031</v>
      </c>
      <c r="U88" s="496">
        <v>2032</v>
      </c>
      <c r="V88" s="496">
        <v>2033</v>
      </c>
      <c r="W88" s="496">
        <v>2034</v>
      </c>
      <c r="X88" s="496">
        <v>2035</v>
      </c>
      <c r="Y88" s="496">
        <v>2036</v>
      </c>
      <c r="Z88" s="496">
        <v>2037</v>
      </c>
      <c r="AA88" s="496">
        <v>2038</v>
      </c>
      <c r="AB88" s="496">
        <v>2039</v>
      </c>
      <c r="AC88" s="496">
        <v>2040</v>
      </c>
      <c r="AD88" s="496">
        <v>2041</v>
      </c>
      <c r="AE88" s="496">
        <v>2042</v>
      </c>
      <c r="AF88" s="496">
        <v>2043</v>
      </c>
      <c r="AG88" s="496">
        <v>2044</v>
      </c>
      <c r="AH88" s="496">
        <v>2045</v>
      </c>
      <c r="AI88" s="496">
        <v>2046</v>
      </c>
      <c r="AJ88" s="496">
        <v>2047</v>
      </c>
      <c r="AK88" s="496">
        <v>2048</v>
      </c>
      <c r="AL88" s="496">
        <v>2049</v>
      </c>
      <c r="AM88" s="496">
        <v>2050</v>
      </c>
      <c r="AN88" s="496"/>
      <c r="AO88" s="496"/>
    </row>
    <row r="89" spans="1:41" ht="15" x14ac:dyDescent="0.2">
      <c r="A89" t="s">
        <v>522</v>
      </c>
      <c r="B89" t="s">
        <v>30</v>
      </c>
      <c r="I89" s="514">
        <f>D111</f>
        <v>2854.3493333333336</v>
      </c>
      <c r="J89" s="38">
        <f t="shared" ref="J89:R89" si="24">I89+(J88-I88)*($S$89-$I$89)/10</f>
        <v>2916.58251066823</v>
      </c>
      <c r="K89" s="38">
        <f t="shared" si="24"/>
        <v>2978.8156880031265</v>
      </c>
      <c r="L89" s="38">
        <f t="shared" si="24"/>
        <v>3041.048865338023</v>
      </c>
      <c r="M89" s="38">
        <f t="shared" si="24"/>
        <v>3103.2820426729195</v>
      </c>
      <c r="N89" s="38">
        <f t="shared" si="24"/>
        <v>3165.515220007816</v>
      </c>
      <c r="O89" s="38">
        <f t="shared" si="24"/>
        <v>3227.7483973427125</v>
      </c>
      <c r="P89" s="38">
        <f t="shared" si="24"/>
        <v>3289.9815746776089</v>
      </c>
      <c r="Q89" s="38">
        <f t="shared" si="24"/>
        <v>3352.2147520125054</v>
      </c>
      <c r="R89" s="38">
        <f t="shared" si="24"/>
        <v>3414.4479293474019</v>
      </c>
      <c r="S89" s="514">
        <f>E111</f>
        <v>3476.6811066822979</v>
      </c>
      <c r="T89" s="38">
        <f t="shared" ref="T89:AB89" si="25">S89+(T88-S88)*($AC$89-$S$89)/10</f>
        <v>3841.4575726845096</v>
      </c>
      <c r="U89" s="38">
        <f t="shared" si="25"/>
        <v>4206.2340386867218</v>
      </c>
      <c r="V89" s="38">
        <f t="shared" si="25"/>
        <v>4571.0105046889339</v>
      </c>
      <c r="W89" s="38">
        <f t="shared" si="25"/>
        <v>4935.7869706911461</v>
      </c>
      <c r="X89" s="38">
        <f t="shared" si="25"/>
        <v>5300.5634366933582</v>
      </c>
      <c r="Y89" s="38">
        <f t="shared" si="25"/>
        <v>5665.3399026955703</v>
      </c>
      <c r="Z89" s="38">
        <f t="shared" si="25"/>
        <v>6030.1163686977825</v>
      </c>
      <c r="AA89" s="38">
        <f t="shared" si="25"/>
        <v>6394.8928346999946</v>
      </c>
      <c r="AB89" s="38">
        <f t="shared" si="25"/>
        <v>6759.6693007022068</v>
      </c>
      <c r="AC89" s="514">
        <f>F111</f>
        <v>7124.4457667044171</v>
      </c>
      <c r="AD89" s="38">
        <f t="shared" ref="AD89:AL89" si="26">AC89+(AD88-AC88)*($AM$89-$AC$89)/10</f>
        <v>7429.5410607897256</v>
      </c>
      <c r="AE89" s="38">
        <f t="shared" si="26"/>
        <v>7734.6363548750342</v>
      </c>
      <c r="AF89" s="38">
        <f t="shared" si="26"/>
        <v>8039.7316489603427</v>
      </c>
      <c r="AG89" s="38">
        <f t="shared" si="26"/>
        <v>8344.8269430456512</v>
      </c>
      <c r="AH89" s="38">
        <f t="shared" si="26"/>
        <v>8649.9222371309588</v>
      </c>
      <c r="AI89" s="38">
        <f t="shared" si="26"/>
        <v>8955.0175312162683</v>
      </c>
      <c r="AJ89" s="38">
        <f t="shared" si="26"/>
        <v>9260.1128253015777</v>
      </c>
      <c r="AK89" s="38">
        <f t="shared" si="26"/>
        <v>9565.2081193868871</v>
      </c>
      <c r="AL89" s="38">
        <f t="shared" si="26"/>
        <v>9870.3034134721966</v>
      </c>
      <c r="AM89" s="514">
        <f>G111</f>
        <v>10175.398707557502</v>
      </c>
      <c r="AN89" s="2">
        <f t="shared" ref="AN89:AN97" si="27">SUM(I89:AM89)</f>
        <v>177674.88295876677</v>
      </c>
      <c r="AO89" s="38"/>
    </row>
    <row r="90" spans="1:41" ht="15" x14ac:dyDescent="0.2">
      <c r="A90" t="s">
        <v>523</v>
      </c>
      <c r="B90" t="s">
        <v>30</v>
      </c>
      <c r="I90" s="514">
        <f>D109</f>
        <v>1353.56</v>
      </c>
      <c r="J90" s="38">
        <f t="shared" ref="J90:R90" si="28">I90+(J$88-I$88)*($S90-$I90)/10</f>
        <v>1463.545827901524</v>
      </c>
      <c r="K90" s="38">
        <f t="shared" si="28"/>
        <v>1573.5316558030481</v>
      </c>
      <c r="L90" s="38">
        <f t="shared" si="28"/>
        <v>1683.5174837045722</v>
      </c>
      <c r="M90" s="38">
        <f t="shared" si="28"/>
        <v>1793.5033116060963</v>
      </c>
      <c r="N90" s="38">
        <f t="shared" si="28"/>
        <v>1903.4891395076204</v>
      </c>
      <c r="O90" s="38">
        <f t="shared" si="28"/>
        <v>2013.4749674091445</v>
      </c>
      <c r="P90" s="38">
        <f t="shared" si="28"/>
        <v>2123.4607953106683</v>
      </c>
      <c r="Q90" s="38">
        <f t="shared" si="28"/>
        <v>2233.4466232121922</v>
      </c>
      <c r="R90" s="38">
        <f t="shared" si="28"/>
        <v>2343.4324511137161</v>
      </c>
      <c r="S90" s="514">
        <f>E109</f>
        <v>2453.4182790152404</v>
      </c>
      <c r="T90" s="38">
        <f t="shared" ref="T90:AB90" si="29">S90+(T$88-S$88)*($AC90-$S90)/10</f>
        <v>2871.2435118158683</v>
      </c>
      <c r="U90" s="38">
        <f t="shared" si="29"/>
        <v>3289.0687446164961</v>
      </c>
      <c r="V90" s="38">
        <f t="shared" si="29"/>
        <v>3706.893977417124</v>
      </c>
      <c r="W90" s="38">
        <f t="shared" si="29"/>
        <v>4124.7192102177514</v>
      </c>
      <c r="X90" s="38">
        <f t="shared" si="29"/>
        <v>4542.5444430183788</v>
      </c>
      <c r="Y90" s="38">
        <f t="shared" si="29"/>
        <v>4960.3696758190063</v>
      </c>
      <c r="Z90" s="38">
        <f t="shared" si="29"/>
        <v>5378.1949086196337</v>
      </c>
      <c r="AA90" s="38">
        <f t="shared" si="29"/>
        <v>5796.0201414202611</v>
      </c>
      <c r="AB90" s="38">
        <f t="shared" si="29"/>
        <v>6213.8453742208885</v>
      </c>
      <c r="AC90" s="514">
        <f>F109</f>
        <v>6631.6706070215178</v>
      </c>
      <c r="AD90" s="38">
        <f t="shared" ref="AD90:AL90" si="30">AC90+(AD$88-AC$88)*($AM90-$AC90)/10</f>
        <v>6981.4012801638346</v>
      </c>
      <c r="AE90" s="38">
        <f t="shared" si="30"/>
        <v>7331.1319533061514</v>
      </c>
      <c r="AF90" s="38">
        <f t="shared" si="30"/>
        <v>7680.8626264484683</v>
      </c>
      <c r="AG90" s="38">
        <f t="shared" si="30"/>
        <v>8030.5932995907851</v>
      </c>
      <c r="AH90" s="38">
        <f t="shared" si="30"/>
        <v>8380.323972733102</v>
      </c>
      <c r="AI90" s="38">
        <f t="shared" si="30"/>
        <v>8730.0546458754197</v>
      </c>
      <c r="AJ90" s="38">
        <f t="shared" si="30"/>
        <v>9079.7853190177375</v>
      </c>
      <c r="AK90" s="38">
        <f t="shared" si="30"/>
        <v>9429.5159921600552</v>
      </c>
      <c r="AL90" s="38">
        <f t="shared" si="30"/>
        <v>9779.246665302373</v>
      </c>
      <c r="AM90" s="514">
        <f>G109</f>
        <v>10128.977338444687</v>
      </c>
      <c r="AN90" s="2">
        <f t="shared" si="27"/>
        <v>154004.84422181334</v>
      </c>
      <c r="AO90" s="38"/>
    </row>
    <row r="91" spans="1:41" ht="15" x14ac:dyDescent="0.2">
      <c r="A91" t="s">
        <v>524</v>
      </c>
      <c r="B91" t="s">
        <v>30</v>
      </c>
      <c r="I91" s="514">
        <f>D110</f>
        <v>1500.7893333333336</v>
      </c>
      <c r="J91" s="38">
        <f t="shared" ref="J91:R91" si="31">I91+(J$88-I$88)*($S91-$I91)/10</f>
        <v>1453.036682766706</v>
      </c>
      <c r="K91" s="38">
        <f t="shared" si="31"/>
        <v>1405.2840322000784</v>
      </c>
      <c r="L91" s="38">
        <f t="shared" si="31"/>
        <v>1357.5313816334508</v>
      </c>
      <c r="M91" s="38">
        <f t="shared" si="31"/>
        <v>1309.7787310668232</v>
      </c>
      <c r="N91" s="38">
        <f t="shared" si="31"/>
        <v>1262.0260805001956</v>
      </c>
      <c r="O91" s="38">
        <f t="shared" si="31"/>
        <v>1214.273429933568</v>
      </c>
      <c r="P91" s="38">
        <f t="shared" si="31"/>
        <v>1166.5207793669404</v>
      </c>
      <c r="Q91" s="38">
        <f t="shared" si="31"/>
        <v>1118.7681288003128</v>
      </c>
      <c r="R91" s="38">
        <f t="shared" si="31"/>
        <v>1071.0154782336851</v>
      </c>
      <c r="S91" s="514">
        <f>E110</f>
        <v>1023.2628276670575</v>
      </c>
      <c r="T91" s="38">
        <f t="shared" ref="T91:AB91" si="32">S91+(T$88-S$88)*($AC91-$S91)/10</f>
        <v>970.2140608686417</v>
      </c>
      <c r="U91" s="38">
        <f t="shared" si="32"/>
        <v>917.16529407022585</v>
      </c>
      <c r="V91" s="38">
        <f t="shared" si="32"/>
        <v>864.11652727181001</v>
      </c>
      <c r="W91" s="38">
        <f t="shared" si="32"/>
        <v>811.06776047339417</v>
      </c>
      <c r="X91" s="38">
        <f t="shared" si="32"/>
        <v>758.01899367497833</v>
      </c>
      <c r="Y91" s="38">
        <f t="shared" si="32"/>
        <v>704.97022687656249</v>
      </c>
      <c r="Z91" s="38">
        <f t="shared" si="32"/>
        <v>651.92146007814665</v>
      </c>
      <c r="AA91" s="38">
        <f t="shared" si="32"/>
        <v>598.87269327973081</v>
      </c>
      <c r="AB91" s="38">
        <f t="shared" si="32"/>
        <v>545.82392648131497</v>
      </c>
      <c r="AC91" s="514">
        <f>F110</f>
        <v>492.77515968289924</v>
      </c>
      <c r="AD91" s="38">
        <f t="shared" ref="AD91:AL91" si="33">AC91+(AD$88-AC$88)*($AM91-$AC91)/10</f>
        <v>448.13978062589081</v>
      </c>
      <c r="AE91" s="38">
        <f t="shared" si="33"/>
        <v>403.50440156888237</v>
      </c>
      <c r="AF91" s="38">
        <f t="shared" si="33"/>
        <v>358.86902251187394</v>
      </c>
      <c r="AG91" s="38">
        <f t="shared" si="33"/>
        <v>314.2336434548655</v>
      </c>
      <c r="AH91" s="38">
        <f t="shared" si="33"/>
        <v>269.59826439785706</v>
      </c>
      <c r="AI91" s="38">
        <f t="shared" si="33"/>
        <v>224.96288534084863</v>
      </c>
      <c r="AJ91" s="38">
        <f t="shared" si="33"/>
        <v>180.32750628384019</v>
      </c>
      <c r="AK91" s="38">
        <f t="shared" si="33"/>
        <v>135.69212722683176</v>
      </c>
      <c r="AL91" s="38">
        <f t="shared" si="33"/>
        <v>91.056748169823322</v>
      </c>
      <c r="AM91" s="514">
        <f>G110</f>
        <v>46.421369112814943</v>
      </c>
      <c r="AN91" s="2">
        <f t="shared" si="27"/>
        <v>23670.038736953382</v>
      </c>
      <c r="AO91" s="38">
        <f>SUM(AN90:AN91)</f>
        <v>177674.88295876671</v>
      </c>
    </row>
    <row r="92" spans="1:41" ht="15" x14ac:dyDescent="0.2">
      <c r="A92" t="s">
        <v>525</v>
      </c>
      <c r="B92" t="s">
        <v>25</v>
      </c>
      <c r="I92" s="514">
        <f>D113</f>
        <v>164.68313333333333</v>
      </c>
      <c r="J92" s="38">
        <f t="shared" ref="J92:R92" si="34">I92+(J$88-I$88)*($S92-$I92)/10</f>
        <v>157.61959006955843</v>
      </c>
      <c r="K92" s="38">
        <f t="shared" si="34"/>
        <v>150.55604680578352</v>
      </c>
      <c r="L92" s="38">
        <f t="shared" si="34"/>
        <v>143.49250354200862</v>
      </c>
      <c r="M92" s="38">
        <f t="shared" si="34"/>
        <v>136.42896027823372</v>
      </c>
      <c r="N92" s="38">
        <f t="shared" si="34"/>
        <v>129.36541701445881</v>
      </c>
      <c r="O92" s="38">
        <f t="shared" si="34"/>
        <v>122.3018737506839</v>
      </c>
      <c r="P92" s="38">
        <f t="shared" si="34"/>
        <v>115.23833048690898</v>
      </c>
      <c r="Q92" s="38">
        <f t="shared" si="34"/>
        <v>108.17478722313406</v>
      </c>
      <c r="R92" s="38">
        <f t="shared" si="34"/>
        <v>101.11124395935914</v>
      </c>
      <c r="S92" s="514">
        <f>E113</f>
        <v>94.047700695584211</v>
      </c>
      <c r="T92" s="38">
        <f t="shared" ref="T92:AB92" si="35">S92+(T$88-S$88)*($AC92-$S92)/10</f>
        <v>84.458717553608523</v>
      </c>
      <c r="U92" s="38">
        <f t="shared" si="35"/>
        <v>74.869734411632834</v>
      </c>
      <c r="V92" s="38">
        <f t="shared" si="35"/>
        <v>65.280751269657145</v>
      </c>
      <c r="W92" s="38">
        <f t="shared" si="35"/>
        <v>55.691768127681456</v>
      </c>
      <c r="X92" s="38">
        <f t="shared" si="35"/>
        <v>46.102784985705767</v>
      </c>
      <c r="Y92" s="38">
        <f t="shared" si="35"/>
        <v>36.513801843730079</v>
      </c>
      <c r="Z92" s="38">
        <f t="shared" si="35"/>
        <v>26.924818701754393</v>
      </c>
      <c r="AA92" s="38">
        <f t="shared" si="35"/>
        <v>17.335835559778708</v>
      </c>
      <c r="AB92" s="38">
        <f t="shared" si="35"/>
        <v>7.7468524178030229</v>
      </c>
      <c r="AC92" s="514">
        <f>F113</f>
        <v>-1.8421307241726439</v>
      </c>
      <c r="AD92" s="38">
        <f t="shared" ref="AD92:AL92" si="36">AC92+(AD$88-AC$88)*($AM92-$AC92)/10</f>
        <v>-3.0647200598726974</v>
      </c>
      <c r="AE92" s="38">
        <f t="shared" si="36"/>
        <v>-4.2873093955727501</v>
      </c>
      <c r="AF92" s="38">
        <f t="shared" si="36"/>
        <v>-5.5098987312728038</v>
      </c>
      <c r="AG92" s="38">
        <f t="shared" si="36"/>
        <v>-6.7324880669728575</v>
      </c>
      <c r="AH92" s="38">
        <f t="shared" si="36"/>
        <v>-7.9550774026729112</v>
      </c>
      <c r="AI92" s="38">
        <f t="shared" si="36"/>
        <v>-9.1776667383729649</v>
      </c>
      <c r="AJ92" s="38">
        <f t="shared" si="36"/>
        <v>-10.400256074073019</v>
      </c>
      <c r="AK92" s="38">
        <f t="shared" si="36"/>
        <v>-11.622845409773072</v>
      </c>
      <c r="AL92" s="38">
        <f t="shared" si="36"/>
        <v>-12.845434745473126</v>
      </c>
      <c r="AM92" s="514">
        <f>G113</f>
        <v>-14.068024081173176</v>
      </c>
      <c r="AN92" s="2">
        <f t="shared" si="27"/>
        <v>1750.4388006009963</v>
      </c>
      <c r="AO92" s="38"/>
    </row>
    <row r="93" spans="1:41" ht="15" x14ac:dyDescent="0.2">
      <c r="A93" t="s">
        <v>526</v>
      </c>
      <c r="B93" t="s">
        <v>25</v>
      </c>
      <c r="I93" s="514">
        <f>D114</f>
        <v>792.40551947680149</v>
      </c>
      <c r="J93" s="38">
        <f t="shared" ref="J93:R93" si="37">I93+(J$88-I$88)*($S93-$I93)/10</f>
        <v>767.19247788714733</v>
      </c>
      <c r="K93" s="38">
        <f t="shared" si="37"/>
        <v>741.97943629749318</v>
      </c>
      <c r="L93" s="38">
        <f t="shared" si="37"/>
        <v>716.76639470783903</v>
      </c>
      <c r="M93" s="38">
        <f t="shared" si="37"/>
        <v>691.55335311818487</v>
      </c>
      <c r="N93" s="38">
        <f t="shared" si="37"/>
        <v>666.34031152853072</v>
      </c>
      <c r="O93" s="38">
        <f t="shared" si="37"/>
        <v>641.12726993887657</v>
      </c>
      <c r="P93" s="38">
        <f t="shared" si="37"/>
        <v>615.91422834922241</v>
      </c>
      <c r="Q93" s="38">
        <f t="shared" si="37"/>
        <v>590.70118675956826</v>
      </c>
      <c r="R93" s="38">
        <f t="shared" si="37"/>
        <v>565.48814516991411</v>
      </c>
      <c r="S93" s="514">
        <f>E114</f>
        <v>540.27510358025961</v>
      </c>
      <c r="T93" s="38">
        <f t="shared" ref="T93:AB93" si="38">S93+(T$88-S$88)*($AC93-$S93)/10</f>
        <v>512.26575231499055</v>
      </c>
      <c r="U93" s="38">
        <f t="shared" si="38"/>
        <v>484.25640104972143</v>
      </c>
      <c r="V93" s="38">
        <f t="shared" si="38"/>
        <v>456.24704978445232</v>
      </c>
      <c r="W93" s="38">
        <f t="shared" si="38"/>
        <v>428.2376985191832</v>
      </c>
      <c r="X93" s="38">
        <f t="shared" si="38"/>
        <v>400.22834725391408</v>
      </c>
      <c r="Y93" s="38">
        <f t="shared" si="38"/>
        <v>372.21899598864496</v>
      </c>
      <c r="Z93" s="38">
        <f t="shared" si="38"/>
        <v>344.20964472337585</v>
      </c>
      <c r="AA93" s="38">
        <f t="shared" si="38"/>
        <v>316.20029345810673</v>
      </c>
      <c r="AB93" s="38">
        <f t="shared" si="38"/>
        <v>288.19094219283761</v>
      </c>
      <c r="AC93" s="514">
        <f>F114</f>
        <v>260.18159092756849</v>
      </c>
      <c r="AD93" s="38">
        <f t="shared" ref="AD93:AL93" si="39">AC93+(AD$88-AC$88)*($AM93-$AC93)/10</f>
        <v>236.6144453308207</v>
      </c>
      <c r="AE93" s="38">
        <f t="shared" si="39"/>
        <v>213.04729973407291</v>
      </c>
      <c r="AF93" s="38">
        <f t="shared" si="39"/>
        <v>189.48015413732512</v>
      </c>
      <c r="AG93" s="38">
        <f t="shared" si="39"/>
        <v>165.91300854057732</v>
      </c>
      <c r="AH93" s="38">
        <f t="shared" si="39"/>
        <v>142.34586294382953</v>
      </c>
      <c r="AI93" s="38">
        <f t="shared" si="39"/>
        <v>118.77871734708174</v>
      </c>
      <c r="AJ93" s="38">
        <f t="shared" si="39"/>
        <v>95.211571750333945</v>
      </c>
      <c r="AK93" s="38">
        <f t="shared" si="39"/>
        <v>71.644426153586153</v>
      </c>
      <c r="AL93" s="38">
        <f t="shared" si="39"/>
        <v>48.077280556838367</v>
      </c>
      <c r="AM93" s="514">
        <f>G114</f>
        <v>24.510134960090646</v>
      </c>
      <c r="AN93" s="2">
        <f t="shared" si="27"/>
        <v>12497.603044481191</v>
      </c>
      <c r="AO93" s="38">
        <f>SUM(AN92:AN93)</f>
        <v>14248.041845082187</v>
      </c>
    </row>
    <row r="94" spans="1:41" x14ac:dyDescent="0.15">
      <c r="A94" t="s">
        <v>527</v>
      </c>
      <c r="B94" t="s">
        <v>25</v>
      </c>
      <c r="D94" s="38">
        <f t="shared" ref="D94:G94" si="40">$I$94</f>
        <v>957.08865281013482</v>
      </c>
      <c r="E94" s="38">
        <f t="shared" si="40"/>
        <v>957.08865281013482</v>
      </c>
      <c r="F94" s="38">
        <f t="shared" si="40"/>
        <v>957.08865281013482</v>
      </c>
      <c r="G94" s="38">
        <f t="shared" si="40"/>
        <v>957.08865281013482</v>
      </c>
      <c r="H94" s="38">
        <f>$I$94</f>
        <v>957.08865281013482</v>
      </c>
      <c r="I94" s="38">
        <f t="shared" ref="I94:AC94" si="41">SUM(I92:I93)</f>
        <v>957.08865281013482</v>
      </c>
      <c r="J94" s="38">
        <f t="shared" si="41"/>
        <v>924.81206795670573</v>
      </c>
      <c r="K94" s="38">
        <f t="shared" si="41"/>
        <v>892.53548310327665</v>
      </c>
      <c r="L94" s="38">
        <f t="shared" si="41"/>
        <v>860.25889824984768</v>
      </c>
      <c r="M94" s="38">
        <f t="shared" si="41"/>
        <v>827.98231339641859</v>
      </c>
      <c r="N94" s="38">
        <f t="shared" si="41"/>
        <v>795.7057285429895</v>
      </c>
      <c r="O94" s="38">
        <f t="shared" si="41"/>
        <v>763.42914368956042</v>
      </c>
      <c r="P94" s="38">
        <f t="shared" si="41"/>
        <v>731.15255883613145</v>
      </c>
      <c r="Q94" s="38">
        <f t="shared" si="41"/>
        <v>698.87597398270236</v>
      </c>
      <c r="R94" s="38">
        <f t="shared" si="41"/>
        <v>666.59938912927328</v>
      </c>
      <c r="S94" s="38">
        <f t="shared" si="41"/>
        <v>634.32280427584385</v>
      </c>
      <c r="T94" s="38">
        <f t="shared" si="41"/>
        <v>596.72446986859904</v>
      </c>
      <c r="U94" s="38">
        <f t="shared" si="41"/>
        <v>559.12613546135424</v>
      </c>
      <c r="V94" s="38">
        <f t="shared" si="41"/>
        <v>521.52780105410943</v>
      </c>
      <c r="W94" s="38">
        <f t="shared" si="41"/>
        <v>483.92946664686463</v>
      </c>
      <c r="X94" s="38">
        <f t="shared" si="41"/>
        <v>446.33113223961982</v>
      </c>
      <c r="Y94" s="38">
        <f t="shared" si="41"/>
        <v>408.73279783237501</v>
      </c>
      <c r="Z94" s="38">
        <f t="shared" si="41"/>
        <v>371.13446342513026</v>
      </c>
      <c r="AA94" s="38">
        <f t="shared" si="41"/>
        <v>333.53612901788546</v>
      </c>
      <c r="AB94" s="38">
        <f t="shared" si="41"/>
        <v>295.93779461064065</v>
      </c>
      <c r="AC94" s="38">
        <f t="shared" si="41"/>
        <v>258.33946020339584</v>
      </c>
      <c r="AD94" s="38">
        <f t="shared" ref="AD94:AL94" si="42">AC94+(AD$88-AC$88)*($AM94-$AC94)/10</f>
        <v>233.54972527094802</v>
      </c>
      <c r="AE94" s="38">
        <f t="shared" si="42"/>
        <v>208.75999033850019</v>
      </c>
      <c r="AF94" s="38">
        <f t="shared" si="42"/>
        <v>183.97025540605236</v>
      </c>
      <c r="AG94" s="38">
        <f t="shared" si="42"/>
        <v>159.18052047360453</v>
      </c>
      <c r="AH94" s="38">
        <f t="shared" si="42"/>
        <v>134.3907855411567</v>
      </c>
      <c r="AI94" s="38">
        <f t="shared" si="42"/>
        <v>109.60105060870887</v>
      </c>
      <c r="AJ94" s="38">
        <f t="shared" si="42"/>
        <v>84.811315676261046</v>
      </c>
      <c r="AK94" s="38">
        <f t="shared" si="42"/>
        <v>60.02158074381321</v>
      </c>
      <c r="AL94" s="38">
        <f t="shared" si="42"/>
        <v>35.231845811365375</v>
      </c>
      <c r="AM94" s="38">
        <f>SUM(AM92:AM93)</f>
        <v>10.44211087891747</v>
      </c>
      <c r="AN94" s="510">
        <f t="shared" si="27"/>
        <v>14248.041845082189</v>
      </c>
      <c r="AO94" s="38"/>
    </row>
    <row r="95" spans="1:41" x14ac:dyDescent="0.15">
      <c r="A95" t="s">
        <v>621</v>
      </c>
      <c r="B95" t="s">
        <v>25</v>
      </c>
      <c r="D95" s="38">
        <v>55</v>
      </c>
      <c r="E95" s="38">
        <v>55</v>
      </c>
      <c r="F95" s="38">
        <v>55</v>
      </c>
      <c r="G95" s="38">
        <v>55.377105167080771</v>
      </c>
      <c r="H95">
        <v>55</v>
      </c>
      <c r="I95" s="38">
        <v>48.754874999999998</v>
      </c>
      <c r="J95" s="38">
        <v>47.974772727272729</v>
      </c>
      <c r="K95" s="38">
        <v>44.593261363636358</v>
      </c>
      <c r="L95" s="38">
        <v>41.188568181818184</v>
      </c>
      <c r="M95" s="38">
        <v>37.760693181818191</v>
      </c>
      <c r="N95" s="38">
        <v>34.309636363636365</v>
      </c>
      <c r="O95" s="38">
        <v>30.835397727272731</v>
      </c>
      <c r="P95" s="38">
        <v>27.337977272727272</v>
      </c>
      <c r="Q95" s="38">
        <v>23.817375000000002</v>
      </c>
      <c r="R95" s="38">
        <v>20.273590909090906</v>
      </c>
      <c r="S95" s="38">
        <v>16.706625000000003</v>
      </c>
      <c r="T95" s="38">
        <v>15.040144375000002</v>
      </c>
      <c r="U95" s="38">
        <v>13.370015</v>
      </c>
      <c r="V95" s="38">
        <v>11.696236875000002</v>
      </c>
      <c r="W95" s="38">
        <v>10.01881</v>
      </c>
      <c r="X95" s="38">
        <v>8.3377343750000001</v>
      </c>
      <c r="Y95" s="38">
        <v>6.653010000000001</v>
      </c>
      <c r="Z95" s="38">
        <v>4.9646368750000001</v>
      </c>
      <c r="AA95" s="38">
        <v>3.2726150000000005</v>
      </c>
      <c r="AB95" s="38">
        <v>1.5769443749999994</v>
      </c>
      <c r="AC95" s="38">
        <v>-0.122375</v>
      </c>
      <c r="AD95" s="38">
        <v>-0.17157875</v>
      </c>
      <c r="AE95" s="38">
        <v>-0.2209275</v>
      </c>
      <c r="AF95" s="38">
        <v>-0.27042125</v>
      </c>
      <c r="AG95" s="38">
        <v>-0.32006000000000001</v>
      </c>
      <c r="AH95" s="38">
        <v>-0.36984375000000003</v>
      </c>
      <c r="AI95" s="38">
        <v>-0.41977250000000005</v>
      </c>
      <c r="AJ95" s="38">
        <v>-0.46984625000000002</v>
      </c>
      <c r="AK95" s="38">
        <v>-0.52006500000000011</v>
      </c>
      <c r="AL95" s="38">
        <v>-0.57042875000000004</v>
      </c>
      <c r="AM95" s="38">
        <v>-0.62093750000000003</v>
      </c>
      <c r="AN95" s="2">
        <f t="shared" si="27"/>
        <v>444.40666335227274</v>
      </c>
      <c r="AO95" s="38"/>
    </row>
    <row r="96" spans="1:41" x14ac:dyDescent="0.15">
      <c r="A96" s="571" t="s">
        <v>622</v>
      </c>
      <c r="B96" s="571" t="s">
        <v>25</v>
      </c>
      <c r="C96" s="571"/>
      <c r="D96" s="572">
        <f t="shared" ref="D96:G96" si="43">SUM(D94:D95)</f>
        <v>1012.0886528101348</v>
      </c>
      <c r="E96" s="572">
        <f t="shared" si="43"/>
        <v>1012.0886528101348</v>
      </c>
      <c r="F96" s="572">
        <f t="shared" si="43"/>
        <v>1012.0886528101348</v>
      </c>
      <c r="G96" s="572">
        <f t="shared" si="43"/>
        <v>1012.4657579772156</v>
      </c>
      <c r="H96" s="572">
        <f>SUM(H94:H95)</f>
        <v>1012.0886528101348</v>
      </c>
      <c r="I96" s="572">
        <f>SUM(I94:I95)</f>
        <v>1005.8435278101348</v>
      </c>
      <c r="J96" s="572">
        <f t="shared" ref="J96:AM96" si="44">SUM(J94:J95)</f>
        <v>972.78684068397843</v>
      </c>
      <c r="K96" s="572">
        <f t="shared" si="44"/>
        <v>937.12874446691296</v>
      </c>
      <c r="L96" s="572">
        <f t="shared" si="44"/>
        <v>901.44746643166582</v>
      </c>
      <c r="M96" s="572">
        <f t="shared" si="44"/>
        <v>865.74300657823676</v>
      </c>
      <c r="N96" s="572">
        <f t="shared" si="44"/>
        <v>830.0153649066259</v>
      </c>
      <c r="O96" s="572">
        <f t="shared" si="44"/>
        <v>794.26454141683314</v>
      </c>
      <c r="P96" s="572">
        <f t="shared" si="44"/>
        <v>758.49053610885869</v>
      </c>
      <c r="Q96" s="572">
        <f t="shared" si="44"/>
        <v>722.69334898270233</v>
      </c>
      <c r="R96" s="572">
        <f t="shared" si="44"/>
        <v>686.87298003836418</v>
      </c>
      <c r="S96" s="572">
        <f t="shared" si="44"/>
        <v>651.02942927584388</v>
      </c>
      <c r="T96" s="572">
        <f t="shared" si="44"/>
        <v>611.764614243599</v>
      </c>
      <c r="U96" s="572">
        <f t="shared" si="44"/>
        <v>572.4961504613542</v>
      </c>
      <c r="V96" s="572">
        <f t="shared" si="44"/>
        <v>533.22403792910939</v>
      </c>
      <c r="W96" s="572">
        <f t="shared" si="44"/>
        <v>493.9482766468646</v>
      </c>
      <c r="X96" s="572">
        <f t="shared" si="44"/>
        <v>454.66886661461984</v>
      </c>
      <c r="Y96" s="572">
        <f t="shared" si="44"/>
        <v>415.38580783237501</v>
      </c>
      <c r="Z96" s="572">
        <f t="shared" si="44"/>
        <v>376.09910030013026</v>
      </c>
      <c r="AA96" s="572">
        <f t="shared" si="44"/>
        <v>336.80874401788543</v>
      </c>
      <c r="AB96" s="572">
        <f t="shared" si="44"/>
        <v>297.51473898564063</v>
      </c>
      <c r="AC96" s="572">
        <f t="shared" si="44"/>
        <v>258.21708520339587</v>
      </c>
      <c r="AD96" s="572">
        <f t="shared" si="44"/>
        <v>233.37814652094801</v>
      </c>
      <c r="AE96" s="572">
        <f t="shared" si="44"/>
        <v>208.5390628385002</v>
      </c>
      <c r="AF96" s="572">
        <f t="shared" si="44"/>
        <v>183.69983415605236</v>
      </c>
      <c r="AG96" s="572">
        <f t="shared" si="44"/>
        <v>158.86046047360452</v>
      </c>
      <c r="AH96" s="572">
        <f t="shared" si="44"/>
        <v>134.0209417911567</v>
      </c>
      <c r="AI96" s="572">
        <f t="shared" si="44"/>
        <v>109.18127810870888</v>
      </c>
      <c r="AJ96" s="572">
        <f t="shared" si="44"/>
        <v>84.341469426261042</v>
      </c>
      <c r="AK96" s="572">
        <f t="shared" si="44"/>
        <v>59.501515743813208</v>
      </c>
      <c r="AL96" s="572">
        <f t="shared" si="44"/>
        <v>34.661417061365377</v>
      </c>
      <c r="AM96" s="572">
        <f t="shared" si="44"/>
        <v>9.8211733789174698</v>
      </c>
      <c r="AN96" s="573">
        <f t="shared" si="27"/>
        <v>14692.448508434461</v>
      </c>
      <c r="AO96" s="38"/>
    </row>
    <row r="97" spans="1:41" ht="15" x14ac:dyDescent="0.2">
      <c r="A97" t="s">
        <v>528</v>
      </c>
      <c r="B97" t="s">
        <v>25</v>
      </c>
      <c r="I97" s="514">
        <f>D117</f>
        <v>347.27916888888888</v>
      </c>
      <c r="J97" s="38">
        <f t="shared" ref="J97:R97" si="45">I97+(J$88-I$88)*($S97-$I97)/10</f>
        <v>325.87852957561546</v>
      </c>
      <c r="K97" s="38">
        <f t="shared" si="45"/>
        <v>304.47789026234204</v>
      </c>
      <c r="L97" s="38">
        <f t="shared" si="45"/>
        <v>283.07725094906863</v>
      </c>
      <c r="M97" s="38">
        <f t="shared" si="45"/>
        <v>261.67661163579521</v>
      </c>
      <c r="N97" s="38">
        <f t="shared" si="45"/>
        <v>240.2759723225218</v>
      </c>
      <c r="O97" s="38">
        <f t="shared" si="45"/>
        <v>218.87533300924838</v>
      </c>
      <c r="P97" s="38">
        <f t="shared" si="45"/>
        <v>197.47469369597496</v>
      </c>
      <c r="Q97" s="38">
        <f t="shared" si="45"/>
        <v>176.07405438270155</v>
      </c>
      <c r="R97" s="38">
        <f t="shared" si="45"/>
        <v>154.67341506942813</v>
      </c>
      <c r="S97" s="514">
        <f>E117</f>
        <v>133.27277575615474</v>
      </c>
      <c r="T97" s="38">
        <f t="shared" ref="T97:AB97" si="46">S97+(T$88-S$88)*($AC97-$S97)/10</f>
        <v>119.74759690924192</v>
      </c>
      <c r="U97" s="38">
        <f t="shared" si="46"/>
        <v>106.2224180623291</v>
      </c>
      <c r="V97" s="38">
        <f t="shared" si="46"/>
        <v>92.697239215416275</v>
      </c>
      <c r="W97" s="38">
        <f t="shared" si="46"/>
        <v>79.172060368503452</v>
      </c>
      <c r="X97" s="38">
        <f t="shared" si="46"/>
        <v>65.646881521590629</v>
      </c>
      <c r="Y97" s="38">
        <f t="shared" si="46"/>
        <v>52.121702674677806</v>
      </c>
      <c r="Z97" s="38">
        <f t="shared" si="46"/>
        <v>38.596523827764983</v>
      </c>
      <c r="AA97" s="38">
        <f t="shared" si="46"/>
        <v>25.071344980852164</v>
      </c>
      <c r="AB97" s="38">
        <f t="shared" si="46"/>
        <v>11.546166133939344</v>
      </c>
      <c r="AC97" s="514">
        <f>F117</f>
        <v>-1.9790127129734492</v>
      </c>
      <c r="AD97" s="38">
        <f t="shared" ref="AD97:AL97" si="47">AC97+(AD$88-AC$88)*($AM97-$AC97)/10</f>
        <v>-3.1943612621702018</v>
      </c>
      <c r="AE97" s="38">
        <f t="shared" si="47"/>
        <v>-4.4097098113669544</v>
      </c>
      <c r="AF97" s="38">
        <f t="shared" si="47"/>
        <v>-5.625058360563707</v>
      </c>
      <c r="AG97" s="38">
        <f t="shared" si="47"/>
        <v>-6.8404069097604596</v>
      </c>
      <c r="AH97" s="38">
        <f t="shared" si="47"/>
        <v>-8.0557554589572113</v>
      </c>
      <c r="AI97" s="38">
        <f t="shared" si="47"/>
        <v>-9.271104008153964</v>
      </c>
      <c r="AJ97" s="38">
        <f t="shared" si="47"/>
        <v>-10.486452557350717</v>
      </c>
      <c r="AK97" s="38">
        <f t="shared" si="47"/>
        <v>-11.701801106547469</v>
      </c>
      <c r="AL97" s="38">
        <f t="shared" si="47"/>
        <v>-12.917149655744222</v>
      </c>
      <c r="AM97" s="514">
        <f>G117</f>
        <v>-14.132498204940974</v>
      </c>
      <c r="AN97" s="2">
        <f t="shared" si="27"/>
        <v>3145.2443191935258</v>
      </c>
      <c r="AO97" s="38"/>
    </row>
    <row r="98" spans="1:41" ht="15" x14ac:dyDescent="0.2">
      <c r="A98" t="s">
        <v>529</v>
      </c>
      <c r="I98" s="515">
        <f t="shared" ref="I98:AM98" si="48">I91/I89</f>
        <v>0.52579034941763736</v>
      </c>
      <c r="J98" s="515">
        <f t="shared" si="48"/>
        <v>0.49819838027959473</v>
      </c>
      <c r="K98" s="515">
        <f t="shared" si="48"/>
        <v>0.4717593095335556</v>
      </c>
      <c r="L98" s="515">
        <f t="shared" si="48"/>
        <v>0.44640235712968607</v>
      </c>
      <c r="M98" s="515">
        <f t="shared" si="48"/>
        <v>0.42206242070691208</v>
      </c>
      <c r="N98" s="515">
        <f t="shared" si="48"/>
        <v>0.39867951748375402</v>
      </c>
      <c r="O98" s="515">
        <f t="shared" si="48"/>
        <v>0.37619829071350014</v>
      </c>
      <c r="P98" s="515">
        <f t="shared" si="48"/>
        <v>0.35456757215464035</v>
      </c>
      <c r="Q98" s="515">
        <f t="shared" si="48"/>
        <v>0.33373999327717868</v>
      </c>
      <c r="R98" s="515">
        <f t="shared" si="48"/>
        <v>0.31367163898685863</v>
      </c>
      <c r="S98" s="515">
        <f t="shared" si="48"/>
        <v>0.29432173853975618</v>
      </c>
      <c r="T98" s="515">
        <f t="shared" si="48"/>
        <v>0.25256404437928781</v>
      </c>
      <c r="U98" s="515">
        <f t="shared" si="48"/>
        <v>0.21804903998080546</v>
      </c>
      <c r="V98" s="515">
        <f t="shared" si="48"/>
        <v>0.18904277869967723</v>
      </c>
      <c r="W98" s="515">
        <f t="shared" si="48"/>
        <v>0.16432389916532852</v>
      </c>
      <c r="X98" s="515">
        <f t="shared" si="48"/>
        <v>0.14300724870634735</v>
      </c>
      <c r="Y98" s="515">
        <f t="shared" si="48"/>
        <v>0.12443564534250406</v>
      </c>
      <c r="Z98" s="515">
        <f t="shared" si="48"/>
        <v>0.10811092526543241</v>
      </c>
      <c r="AA98" s="515">
        <f t="shared" si="48"/>
        <v>9.3648589391541526E-2</v>
      </c>
      <c r="AB98" s="515">
        <f t="shared" si="48"/>
        <v>8.0747134541716975E-2</v>
      </c>
      <c r="AC98" s="515">
        <f t="shared" si="48"/>
        <v>6.9166806207698064E-2</v>
      </c>
      <c r="AD98" s="515">
        <f t="shared" si="48"/>
        <v>6.0318635694875028E-2</v>
      </c>
      <c r="AE98" s="515">
        <f t="shared" si="48"/>
        <v>5.2168503217938506E-2</v>
      </c>
      <c r="AF98" s="515">
        <f t="shared" si="48"/>
        <v>4.4636940408114376E-2</v>
      </c>
      <c r="AG98" s="515">
        <f t="shared" si="48"/>
        <v>3.7656100671654931E-2</v>
      </c>
      <c r="AH98" s="515">
        <f t="shared" si="48"/>
        <v>3.1167709605592769E-2</v>
      </c>
      <c r="AI98" s="515">
        <f t="shared" si="48"/>
        <v>2.512143438654935E-2</v>
      </c>
      <c r="AJ98" s="515">
        <f t="shared" si="48"/>
        <v>1.9473575504515239E-2</v>
      </c>
      <c r="AK98" s="515">
        <f t="shared" si="48"/>
        <v>1.4186008870189578E-2</v>
      </c>
      <c r="AL98" s="515">
        <f t="shared" si="48"/>
        <v>9.2253241218033834E-3</v>
      </c>
      <c r="AM98" s="515">
        <f t="shared" si="48"/>
        <v>4.562117952030393E-3</v>
      </c>
      <c r="AN98" s="2"/>
      <c r="AO98" s="38"/>
    </row>
    <row r="99" spans="1:41" ht="15" x14ac:dyDescent="0.2">
      <c r="A99" s="571" t="s">
        <v>623</v>
      </c>
      <c r="B99" s="571" t="s">
        <v>25</v>
      </c>
      <c r="C99" s="571"/>
      <c r="D99" s="571"/>
      <c r="E99" s="571"/>
      <c r="F99" s="571"/>
      <c r="G99" s="571"/>
      <c r="H99" s="571"/>
      <c r="I99" s="574">
        <v>-135.17250690325255</v>
      </c>
      <c r="J99" s="574">
        <v>-136.64774382986411</v>
      </c>
      <c r="K99" s="574">
        <v>-132.83933077109378</v>
      </c>
      <c r="L99" s="574">
        <v>-129.0309177123234</v>
      </c>
      <c r="M99" s="574">
        <v>-125.22250465355302</v>
      </c>
      <c r="N99" s="574">
        <v>-121.41409159478265</v>
      </c>
      <c r="O99" s="574">
        <v>-117.60567853601228</v>
      </c>
      <c r="P99" s="574">
        <v>-113.79726547724189</v>
      </c>
      <c r="Q99" s="574">
        <v>-109.98885241847151</v>
      </c>
      <c r="R99" s="574">
        <v>-106.18043935970111</v>
      </c>
      <c r="S99" s="574">
        <v>-102.37202630093073</v>
      </c>
      <c r="T99" s="574">
        <v>-97.077913642310349</v>
      </c>
      <c r="U99" s="574">
        <v>-91.78380098369</v>
      </c>
      <c r="V99" s="574">
        <v>-86.489688325069622</v>
      </c>
      <c r="W99" s="574">
        <v>-81.195575666449272</v>
      </c>
      <c r="X99" s="574">
        <v>-75.901463007828909</v>
      </c>
      <c r="Y99" s="574">
        <v>-70.607350349208545</v>
      </c>
      <c r="Z99" s="574">
        <v>-65.313237690588181</v>
      </c>
      <c r="AA99" s="574">
        <v>-60.019125031967818</v>
      </c>
      <c r="AB99" s="574">
        <v>-54.725012373347454</v>
      </c>
      <c r="AC99" s="574">
        <v>-49.43089971472709</v>
      </c>
      <c r="AD99" s="574">
        <v>-45.753793205098383</v>
      </c>
      <c r="AE99" s="574">
        <v>-42.076686695469675</v>
      </c>
      <c r="AF99" s="574">
        <v>-38.399580185840968</v>
      </c>
      <c r="AG99" s="574">
        <v>-34.72247367621226</v>
      </c>
      <c r="AH99" s="574">
        <v>-31.045367166583549</v>
      </c>
      <c r="AI99" s="574">
        <v>-27.368260656954842</v>
      </c>
      <c r="AJ99" s="574">
        <v>-23.691154147326134</v>
      </c>
      <c r="AK99" s="574">
        <v>-20.014047637697427</v>
      </c>
      <c r="AL99" s="574">
        <v>-16.33694112806872</v>
      </c>
      <c r="AM99" s="574">
        <v>-12.659834618439998</v>
      </c>
      <c r="AN99" s="510">
        <f>SUM(I99:AM99)</f>
        <v>-2354.883563460106</v>
      </c>
      <c r="AO99" s="38"/>
    </row>
    <row r="100" spans="1:41" x14ac:dyDescent="0.15">
      <c r="A100" s="571" t="s">
        <v>624</v>
      </c>
      <c r="B100" s="571" t="s">
        <v>25</v>
      </c>
      <c r="C100" s="571"/>
      <c r="D100" s="573">
        <f>DataArrange!K86+D99</f>
        <v>2507</v>
      </c>
      <c r="E100" s="573">
        <f>DataArrange!L86+E99</f>
        <v>2507</v>
      </c>
      <c r="F100" s="573">
        <f>DataArrange!M86+F99</f>
        <v>2507</v>
      </c>
      <c r="G100" s="573">
        <f>DataArrange!N86+G99</f>
        <v>2507</v>
      </c>
      <c r="H100" s="573">
        <f>DataArrange!O86+H99</f>
        <v>2507</v>
      </c>
      <c r="I100" s="573">
        <f>DataArrange!P86+I99</f>
        <v>2213.8274930967473</v>
      </c>
      <c r="J100" s="573">
        <f>DataArrange!Q86+J99</f>
        <v>2237.9886198064996</v>
      </c>
      <c r="K100" s="573">
        <f>DataArrange!R86+K99</f>
        <v>2175.6152146834515</v>
      </c>
      <c r="L100" s="573">
        <f>DataArrange!S86+L99</f>
        <v>2113.2418095604035</v>
      </c>
      <c r="M100" s="573">
        <f>DataArrange!T86+M99</f>
        <v>2050.8684044373558</v>
      </c>
      <c r="N100" s="573">
        <f>DataArrange!U86+N99</f>
        <v>1988.4949993143084</v>
      </c>
      <c r="O100" s="573">
        <f>DataArrange!V86+O99</f>
        <v>1926.1215941912606</v>
      </c>
      <c r="P100" s="573">
        <f>DataArrange!W86+P99</f>
        <v>1863.7481890682127</v>
      </c>
      <c r="Q100" s="573">
        <f>DataArrange!X86+Q99</f>
        <v>1801.3747839451651</v>
      </c>
      <c r="R100" s="573">
        <f>DataArrange!Y86+R99</f>
        <v>1739.001378822117</v>
      </c>
      <c r="S100" s="573">
        <f>DataArrange!Z86+S99</f>
        <v>1676.6279736990693</v>
      </c>
      <c r="T100" s="573">
        <f>DataArrange!AA86+T99</f>
        <v>1589.9220863576898</v>
      </c>
      <c r="U100" s="573">
        <f>DataArrange!AB86+U99</f>
        <v>1503.2161990163099</v>
      </c>
      <c r="V100" s="573">
        <f>DataArrange!AC86+V99</f>
        <v>1416.5103116749303</v>
      </c>
      <c r="W100" s="573">
        <f>DataArrange!AD86+W99</f>
        <v>1329.8044243335507</v>
      </c>
      <c r="X100" s="573">
        <f>DataArrange!AE86+X99</f>
        <v>1243.0985369921711</v>
      </c>
      <c r="Y100" s="573">
        <f>DataArrange!AF86+Y99</f>
        <v>1156.3926496507916</v>
      </c>
      <c r="Z100" s="573">
        <f>DataArrange!AG86+Z99</f>
        <v>1069.6867623094117</v>
      </c>
      <c r="AA100" s="573">
        <f>DataArrange!AH86+AA99</f>
        <v>982.98087496803214</v>
      </c>
      <c r="AB100" s="573">
        <f>DataArrange!AI86+AB99</f>
        <v>896.27498762665255</v>
      </c>
      <c r="AC100" s="573">
        <f>DataArrange!AJ86+AC99</f>
        <v>809.56910028527295</v>
      </c>
      <c r="AD100" s="573">
        <f>DataArrange!AK86+AD99</f>
        <v>749.3462067949016</v>
      </c>
      <c r="AE100" s="573">
        <f>DataArrange!AL86+AE99</f>
        <v>689.12331330453037</v>
      </c>
      <c r="AF100" s="573">
        <f>DataArrange!AM86+AF99</f>
        <v>628.90041981415902</v>
      </c>
      <c r="AG100" s="573">
        <f>DataArrange!AN86+AG99</f>
        <v>568.67752632378767</v>
      </c>
      <c r="AH100" s="573">
        <f>DataArrange!AO86+AH99</f>
        <v>508.45463283341644</v>
      </c>
      <c r="AI100" s="573">
        <f>DataArrange!AP86+AI99</f>
        <v>448.23173934304521</v>
      </c>
      <c r="AJ100" s="573">
        <f>DataArrange!AQ86+AJ99</f>
        <v>388.00884585267386</v>
      </c>
      <c r="AK100" s="573">
        <f>DataArrange!AR86+AK99</f>
        <v>327.78595236230257</v>
      </c>
      <c r="AL100" s="573">
        <f>DataArrange!AS86+AL99</f>
        <v>267.56305887193128</v>
      </c>
      <c r="AM100" s="573">
        <f>DataArrange!AT86+AM99</f>
        <v>207.34016538156001</v>
      </c>
      <c r="AN100" s="510">
        <f>SUM(I100:AM100)</f>
        <v>38567.798254721711</v>
      </c>
      <c r="AO100" s="510">
        <f>AN94+AN100</f>
        <v>52815.8400998039</v>
      </c>
    </row>
    <row r="101" spans="1:41" x14ac:dyDescent="0.15">
      <c r="A101" s="571" t="s">
        <v>625</v>
      </c>
      <c r="B101" s="571" t="s">
        <v>25</v>
      </c>
      <c r="C101" s="571"/>
      <c r="D101" s="573">
        <f t="shared" ref="D101:G101" si="49">D100+D96</f>
        <v>3519.0886528101346</v>
      </c>
      <c r="E101" s="573">
        <f t="shared" si="49"/>
        <v>3519.0886528101346</v>
      </c>
      <c r="F101" s="573">
        <f t="shared" si="49"/>
        <v>3519.0886528101346</v>
      </c>
      <c r="G101" s="573">
        <f t="shared" si="49"/>
        <v>3519.4657579772156</v>
      </c>
      <c r="H101" s="573">
        <f>H100+H96</f>
        <v>3519.0886528101346</v>
      </c>
      <c r="I101" s="573">
        <f>I100+I96</f>
        <v>3219.6710209068819</v>
      </c>
      <c r="J101" s="573">
        <f t="shared" ref="J101:AM101" si="50">J100+J96</f>
        <v>3210.7754604904781</v>
      </c>
      <c r="K101" s="573">
        <f t="shared" si="50"/>
        <v>3112.7439591503644</v>
      </c>
      <c r="L101" s="573">
        <f t="shared" si="50"/>
        <v>3014.6892759920693</v>
      </c>
      <c r="M101" s="573">
        <f t="shared" si="50"/>
        <v>2916.6114110155927</v>
      </c>
      <c r="N101" s="573">
        <f t="shared" si="50"/>
        <v>2818.5103642209342</v>
      </c>
      <c r="O101" s="573">
        <f t="shared" si="50"/>
        <v>2720.3861356080938</v>
      </c>
      <c r="P101" s="573">
        <f t="shared" si="50"/>
        <v>2622.2387251770715</v>
      </c>
      <c r="Q101" s="573">
        <f t="shared" si="50"/>
        <v>2524.0681329278673</v>
      </c>
      <c r="R101" s="573">
        <f t="shared" si="50"/>
        <v>2425.8743588604812</v>
      </c>
      <c r="S101" s="573">
        <f t="shared" si="50"/>
        <v>2327.6574029749131</v>
      </c>
      <c r="T101" s="573">
        <f t="shared" si="50"/>
        <v>2201.686700601289</v>
      </c>
      <c r="U101" s="573">
        <f t="shared" si="50"/>
        <v>2075.7123494776642</v>
      </c>
      <c r="V101" s="573">
        <f t="shared" si="50"/>
        <v>1949.7343496040398</v>
      </c>
      <c r="W101" s="573">
        <f t="shared" si="50"/>
        <v>1823.7527009804153</v>
      </c>
      <c r="X101" s="573">
        <f t="shared" si="50"/>
        <v>1697.767403606791</v>
      </c>
      <c r="Y101" s="573">
        <f t="shared" si="50"/>
        <v>1571.7784574831667</v>
      </c>
      <c r="Z101" s="573">
        <f t="shared" si="50"/>
        <v>1445.7858626095419</v>
      </c>
      <c r="AA101" s="573">
        <f t="shared" si="50"/>
        <v>1319.7896189859175</v>
      </c>
      <c r="AB101" s="573">
        <f t="shared" si="50"/>
        <v>1193.7897266122932</v>
      </c>
      <c r="AC101" s="573">
        <f t="shared" si="50"/>
        <v>1067.7861854886687</v>
      </c>
      <c r="AD101" s="573">
        <f t="shared" si="50"/>
        <v>982.72435331584961</v>
      </c>
      <c r="AE101" s="573">
        <f t="shared" si="50"/>
        <v>897.66237614303054</v>
      </c>
      <c r="AF101" s="573">
        <f t="shared" si="50"/>
        <v>812.60025397021138</v>
      </c>
      <c r="AG101" s="573">
        <f t="shared" si="50"/>
        <v>727.53798679739225</v>
      </c>
      <c r="AH101" s="573">
        <f t="shared" si="50"/>
        <v>642.47557462457314</v>
      </c>
      <c r="AI101" s="573">
        <f t="shared" si="50"/>
        <v>557.41301745175406</v>
      </c>
      <c r="AJ101" s="573">
        <f t="shared" si="50"/>
        <v>472.35031527893489</v>
      </c>
      <c r="AK101" s="573">
        <f t="shared" si="50"/>
        <v>387.2874681061158</v>
      </c>
      <c r="AL101" s="573">
        <f t="shared" si="50"/>
        <v>302.22447593329667</v>
      </c>
      <c r="AM101" s="573">
        <f t="shared" si="50"/>
        <v>217.16133876047749</v>
      </c>
      <c r="AN101" s="2">
        <f>SUM(I101:AM101)</f>
        <v>53260.246763156174</v>
      </c>
    </row>
    <row r="102" spans="1:41" x14ac:dyDescent="0.15">
      <c r="A102" t="s">
        <v>600</v>
      </c>
      <c r="B102" t="s">
        <v>25</v>
      </c>
      <c r="I102" s="2">
        <f t="shared" ref="I102:AN102" si="51">I100+I93</f>
        <v>3006.2330125735489</v>
      </c>
      <c r="J102" s="2">
        <f t="shared" si="51"/>
        <v>3005.1810976936467</v>
      </c>
      <c r="K102" s="2">
        <f t="shared" si="51"/>
        <v>2917.5946509809446</v>
      </c>
      <c r="L102" s="2">
        <f t="shared" si="51"/>
        <v>2830.0082042682425</v>
      </c>
      <c r="M102" s="2">
        <f t="shared" si="51"/>
        <v>2742.4217575555408</v>
      </c>
      <c r="N102" s="2">
        <f t="shared" si="51"/>
        <v>2654.8353108428391</v>
      </c>
      <c r="O102" s="2">
        <f t="shared" si="51"/>
        <v>2567.248864130137</v>
      </c>
      <c r="P102" s="2">
        <f t="shared" si="51"/>
        <v>2479.6624174174349</v>
      </c>
      <c r="Q102" s="2">
        <f t="shared" si="51"/>
        <v>2392.0759707047332</v>
      </c>
      <c r="R102" s="2">
        <f t="shared" si="51"/>
        <v>2304.4895239920311</v>
      </c>
      <c r="S102" s="2">
        <f t="shared" si="51"/>
        <v>2216.903077279329</v>
      </c>
      <c r="T102" s="2">
        <f t="shared" si="51"/>
        <v>2102.1878386726803</v>
      </c>
      <c r="U102" s="2">
        <f t="shared" si="51"/>
        <v>1987.4726000660314</v>
      </c>
      <c r="V102" s="2">
        <f t="shared" si="51"/>
        <v>1872.7573614593825</v>
      </c>
      <c r="W102" s="2">
        <f t="shared" si="51"/>
        <v>1758.0421228527339</v>
      </c>
      <c r="X102" s="2">
        <f t="shared" si="51"/>
        <v>1643.3268842460852</v>
      </c>
      <c r="Y102" s="2">
        <f t="shared" si="51"/>
        <v>1528.6116456394366</v>
      </c>
      <c r="Z102" s="2">
        <f t="shared" si="51"/>
        <v>1413.8964070327875</v>
      </c>
      <c r="AA102" s="2">
        <f t="shared" si="51"/>
        <v>1299.1811684261388</v>
      </c>
      <c r="AB102" s="2">
        <f t="shared" si="51"/>
        <v>1184.4659298194902</v>
      </c>
      <c r="AC102" s="2">
        <f t="shared" si="51"/>
        <v>1069.7506912128415</v>
      </c>
      <c r="AD102" s="2">
        <f t="shared" si="51"/>
        <v>985.96065212572228</v>
      </c>
      <c r="AE102" s="2">
        <f t="shared" si="51"/>
        <v>902.17061303860328</v>
      </c>
      <c r="AF102" s="2">
        <f t="shared" si="51"/>
        <v>818.38057395148417</v>
      </c>
      <c r="AG102" s="2">
        <f t="shared" si="51"/>
        <v>734.59053486436505</v>
      </c>
      <c r="AH102" s="2">
        <f t="shared" si="51"/>
        <v>650.80049577724594</v>
      </c>
      <c r="AI102" s="2">
        <f t="shared" si="51"/>
        <v>567.01045669012694</v>
      </c>
      <c r="AJ102" s="2">
        <f t="shared" si="51"/>
        <v>483.22041760300783</v>
      </c>
      <c r="AK102" s="2">
        <f t="shared" si="51"/>
        <v>399.43037851588872</v>
      </c>
      <c r="AL102" s="2">
        <f t="shared" si="51"/>
        <v>315.64033942876966</v>
      </c>
      <c r="AM102" s="2">
        <f t="shared" si="51"/>
        <v>231.85030034165067</v>
      </c>
      <c r="AN102" s="2">
        <f t="shared" si="51"/>
        <v>51065.401299202902</v>
      </c>
      <c r="AO102" s="2"/>
    </row>
    <row r="103" spans="1:41" x14ac:dyDescent="0.15">
      <c r="A103" t="s">
        <v>601</v>
      </c>
      <c r="B103" t="s">
        <v>25</v>
      </c>
      <c r="I103" s="2">
        <f t="shared" ref="I103:AN103" si="52">I92</f>
        <v>164.68313333333333</v>
      </c>
      <c r="J103" s="2">
        <f t="shared" si="52"/>
        <v>157.61959006955843</v>
      </c>
      <c r="K103" s="2">
        <f t="shared" si="52"/>
        <v>150.55604680578352</v>
      </c>
      <c r="L103" s="2">
        <f t="shared" si="52"/>
        <v>143.49250354200862</v>
      </c>
      <c r="M103" s="2">
        <f t="shared" si="52"/>
        <v>136.42896027823372</v>
      </c>
      <c r="N103" s="2">
        <f t="shared" si="52"/>
        <v>129.36541701445881</v>
      </c>
      <c r="O103" s="2">
        <f t="shared" si="52"/>
        <v>122.3018737506839</v>
      </c>
      <c r="P103" s="2">
        <f t="shared" si="52"/>
        <v>115.23833048690898</v>
      </c>
      <c r="Q103" s="2">
        <f t="shared" si="52"/>
        <v>108.17478722313406</v>
      </c>
      <c r="R103" s="2">
        <f t="shared" si="52"/>
        <v>101.11124395935914</v>
      </c>
      <c r="S103" s="2">
        <f t="shared" si="52"/>
        <v>94.047700695584211</v>
      </c>
      <c r="T103" s="2">
        <f t="shared" si="52"/>
        <v>84.458717553608523</v>
      </c>
      <c r="U103" s="2">
        <f t="shared" si="52"/>
        <v>74.869734411632834</v>
      </c>
      <c r="V103" s="2">
        <f t="shared" si="52"/>
        <v>65.280751269657145</v>
      </c>
      <c r="W103" s="2">
        <f t="shared" si="52"/>
        <v>55.691768127681456</v>
      </c>
      <c r="X103" s="2">
        <f t="shared" si="52"/>
        <v>46.102784985705767</v>
      </c>
      <c r="Y103" s="2">
        <f t="shared" si="52"/>
        <v>36.513801843730079</v>
      </c>
      <c r="Z103" s="2">
        <f t="shared" si="52"/>
        <v>26.924818701754393</v>
      </c>
      <c r="AA103" s="2">
        <f t="shared" si="52"/>
        <v>17.335835559778708</v>
      </c>
      <c r="AB103" s="2">
        <f t="shared" si="52"/>
        <v>7.7468524178030229</v>
      </c>
      <c r="AC103" s="2">
        <f t="shared" si="52"/>
        <v>-1.8421307241726439</v>
      </c>
      <c r="AD103" s="2">
        <f t="shared" si="52"/>
        <v>-3.0647200598726974</v>
      </c>
      <c r="AE103" s="2">
        <f t="shared" si="52"/>
        <v>-4.2873093955727501</v>
      </c>
      <c r="AF103" s="2">
        <f t="shared" si="52"/>
        <v>-5.5098987312728038</v>
      </c>
      <c r="AG103" s="2">
        <f t="shared" si="52"/>
        <v>-6.7324880669728575</v>
      </c>
      <c r="AH103" s="2">
        <f t="shared" si="52"/>
        <v>-7.9550774026729112</v>
      </c>
      <c r="AI103" s="2">
        <f t="shared" si="52"/>
        <v>-9.1776667383729649</v>
      </c>
      <c r="AJ103" s="2">
        <f t="shared" si="52"/>
        <v>-10.400256074073019</v>
      </c>
      <c r="AK103" s="2">
        <f t="shared" si="52"/>
        <v>-11.622845409773072</v>
      </c>
      <c r="AL103" s="2">
        <f t="shared" si="52"/>
        <v>-12.845434745473126</v>
      </c>
      <c r="AM103" s="2">
        <f t="shared" si="52"/>
        <v>-14.068024081173176</v>
      </c>
      <c r="AN103" s="2">
        <f t="shared" si="52"/>
        <v>1750.4388006009963</v>
      </c>
      <c r="AO103" s="2">
        <f>SUM(AN102:AN103)</f>
        <v>52815.8400998039</v>
      </c>
    </row>
    <row r="104" spans="1:41" x14ac:dyDescent="0.15">
      <c r="A104" t="s">
        <v>604</v>
      </c>
      <c r="B104" t="s">
        <v>193</v>
      </c>
      <c r="I104" s="531">
        <f>D125/1000</f>
        <v>0.438</v>
      </c>
      <c r="J104" s="146">
        <f t="shared" ref="J104:R104" si="53">I104+(J88-I88)*($S$104-$I$104)/10</f>
        <v>0.40800000000000003</v>
      </c>
      <c r="K104" s="146">
        <f t="shared" si="53"/>
        <v>0.378</v>
      </c>
      <c r="L104" s="146">
        <f t="shared" si="53"/>
        <v>0.34799999999999998</v>
      </c>
      <c r="M104" s="146">
        <f t="shared" si="53"/>
        <v>0.31799999999999995</v>
      </c>
      <c r="N104" s="146">
        <f t="shared" si="53"/>
        <v>0.28799999999999992</v>
      </c>
      <c r="O104" s="146">
        <f t="shared" si="53"/>
        <v>0.2579999999999999</v>
      </c>
      <c r="P104" s="146">
        <f t="shared" si="53"/>
        <v>0.2279999999999999</v>
      </c>
      <c r="Q104" s="146">
        <f t="shared" si="53"/>
        <v>0.1979999999999999</v>
      </c>
      <c r="R104" s="146">
        <f t="shared" si="53"/>
        <v>0.1679999999999999</v>
      </c>
      <c r="S104" s="531">
        <f>E125/1000</f>
        <v>0.13800000000000001</v>
      </c>
      <c r="T104" s="146">
        <f t="shared" ref="T104:AB104" si="54">S104+(T88-S88)*($AC$104-$S$104)/10</f>
        <v>0.12410000000000002</v>
      </c>
      <c r="U104" s="146">
        <f t="shared" si="54"/>
        <v>0.11020000000000002</v>
      </c>
      <c r="V104" s="146">
        <f t="shared" si="54"/>
        <v>9.6300000000000024E-2</v>
      </c>
      <c r="W104" s="146">
        <f t="shared" si="54"/>
        <v>8.2400000000000029E-2</v>
      </c>
      <c r="X104" s="146">
        <f t="shared" si="54"/>
        <v>6.8500000000000033E-2</v>
      </c>
      <c r="Y104" s="146">
        <f t="shared" si="54"/>
        <v>5.460000000000003E-2</v>
      </c>
      <c r="Z104" s="146">
        <f t="shared" si="54"/>
        <v>4.0700000000000028E-2</v>
      </c>
      <c r="AA104" s="146">
        <f t="shared" si="54"/>
        <v>2.6800000000000025E-2</v>
      </c>
      <c r="AB104" s="146">
        <f t="shared" si="54"/>
        <v>1.2900000000000024E-2</v>
      </c>
      <c r="AC104" s="531">
        <f>F125/1000</f>
        <v>-1E-3</v>
      </c>
      <c r="AD104" s="146">
        <f t="shared" ref="AD104:AL104" si="55">AC104+(AD88-AC88)*($AM$104-$AC$104)/10</f>
        <v>-1.4E-3</v>
      </c>
      <c r="AE104" s="146">
        <f t="shared" si="55"/>
        <v>-1.8E-3</v>
      </c>
      <c r="AF104" s="146">
        <f t="shared" si="55"/>
        <v>-2.2000000000000001E-3</v>
      </c>
      <c r="AG104" s="146">
        <f t="shared" si="55"/>
        <v>-2.6000000000000003E-3</v>
      </c>
      <c r="AH104" s="146">
        <f t="shared" si="55"/>
        <v>-3.0000000000000005E-3</v>
      </c>
      <c r="AI104" s="146">
        <f t="shared" si="55"/>
        <v>-3.4000000000000007E-3</v>
      </c>
      <c r="AJ104" s="146">
        <f t="shared" si="55"/>
        <v>-3.8000000000000009E-3</v>
      </c>
      <c r="AK104" s="146">
        <f t="shared" si="55"/>
        <v>-4.2000000000000006E-3</v>
      </c>
      <c r="AL104" s="146">
        <f t="shared" si="55"/>
        <v>-4.6000000000000008E-3</v>
      </c>
      <c r="AM104" s="530">
        <f>G125/1000</f>
        <v>-5.0000000000000001E-3</v>
      </c>
      <c r="AN104" s="2"/>
    </row>
    <row r="105" spans="1:41" x14ac:dyDescent="0.15">
      <c r="A105" t="s">
        <v>601</v>
      </c>
      <c r="B105" t="s">
        <v>25</v>
      </c>
      <c r="I105" s="4">
        <f t="shared" ref="I105:AM105" si="56">I90*I104/3.6</f>
        <v>164.68313333333333</v>
      </c>
      <c r="J105" s="4">
        <f t="shared" si="56"/>
        <v>165.86852716217274</v>
      </c>
      <c r="K105" s="4">
        <f t="shared" si="56"/>
        <v>165.22082385932006</v>
      </c>
      <c r="L105" s="4">
        <f t="shared" si="56"/>
        <v>162.7400234247753</v>
      </c>
      <c r="M105" s="4">
        <f t="shared" si="56"/>
        <v>158.42612585853848</v>
      </c>
      <c r="N105" s="4">
        <f t="shared" si="56"/>
        <v>152.27913116060958</v>
      </c>
      <c r="O105" s="4">
        <f t="shared" si="56"/>
        <v>144.29903933098865</v>
      </c>
      <c r="P105" s="4">
        <f t="shared" si="56"/>
        <v>134.4858503696756</v>
      </c>
      <c r="Q105" s="4">
        <f t="shared" si="56"/>
        <v>122.8395642766705</v>
      </c>
      <c r="R105" s="4">
        <f t="shared" si="56"/>
        <v>109.36018105197336</v>
      </c>
      <c r="S105" s="4">
        <f t="shared" si="56"/>
        <v>94.047700695584226</v>
      </c>
      <c r="T105" s="4">
        <f t="shared" si="56"/>
        <v>98.978144393430355</v>
      </c>
      <c r="U105" s="4">
        <f t="shared" si="56"/>
        <v>100.68204879353831</v>
      </c>
      <c r="V105" s="4">
        <f t="shared" si="56"/>
        <v>99.159413895908102</v>
      </c>
      <c r="W105" s="4">
        <f t="shared" si="56"/>
        <v>94.410239700539677</v>
      </c>
      <c r="X105" s="4">
        <f t="shared" si="56"/>
        <v>86.43452620743308</v>
      </c>
      <c r="Y105" s="4">
        <f t="shared" si="56"/>
        <v>75.232273416588299</v>
      </c>
      <c r="Z105" s="4">
        <f t="shared" si="56"/>
        <v>60.80348132800534</v>
      </c>
      <c r="AA105" s="4">
        <f t="shared" si="56"/>
        <v>43.14814994168421</v>
      </c>
      <c r="AB105" s="4">
        <f t="shared" si="56"/>
        <v>22.266279257624891</v>
      </c>
      <c r="AC105" s="4">
        <f t="shared" si="56"/>
        <v>-1.8421307241726439</v>
      </c>
      <c r="AD105" s="4">
        <f t="shared" si="56"/>
        <v>-2.7149893867303798</v>
      </c>
      <c r="AE105" s="4">
        <f t="shared" si="56"/>
        <v>-3.6655659766530757</v>
      </c>
      <c r="AF105" s="4">
        <f t="shared" si="56"/>
        <v>-4.6938604939407309</v>
      </c>
      <c r="AG105" s="4">
        <f t="shared" si="56"/>
        <v>-5.799872938593345</v>
      </c>
      <c r="AH105" s="4">
        <f t="shared" si="56"/>
        <v>-6.9836033106109188</v>
      </c>
      <c r="AI105" s="4">
        <f t="shared" si="56"/>
        <v>-8.2450516099934532</v>
      </c>
      <c r="AJ105" s="4">
        <f t="shared" si="56"/>
        <v>-9.5842178367409474</v>
      </c>
      <c r="AK105" s="4">
        <f t="shared" si="56"/>
        <v>-11.0011019908534</v>
      </c>
      <c r="AL105" s="4">
        <f t="shared" si="56"/>
        <v>-12.495704072330811</v>
      </c>
      <c r="AM105" s="4">
        <f t="shared" si="56"/>
        <v>-14.068024081173176</v>
      </c>
      <c r="AN105" s="2">
        <f>AN94</f>
        <v>14248.041845082189</v>
      </c>
    </row>
    <row r="106" spans="1:41" x14ac:dyDescent="0.15">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J106" s="2"/>
    </row>
    <row r="107" spans="1:41" x14ac:dyDescent="0.15">
      <c r="C107" s="1" t="s">
        <v>598</v>
      </c>
    </row>
    <row r="108" spans="1:41" x14ac:dyDescent="0.15">
      <c r="D108" s="1">
        <v>2020</v>
      </c>
      <c r="E108" s="1">
        <v>2030</v>
      </c>
      <c r="F108" s="1">
        <v>2040</v>
      </c>
      <c r="G108" s="1">
        <v>2050</v>
      </c>
      <c r="H108" t="s">
        <v>531</v>
      </c>
    </row>
    <row r="109" spans="1:41" x14ac:dyDescent="0.15">
      <c r="C109" t="s">
        <v>532</v>
      </c>
      <c r="D109" s="527">
        <f>D136*D122</f>
        <v>1353.56</v>
      </c>
      <c r="E109" s="527">
        <f t="shared" ref="E109:G109" si="57">E136*E122</f>
        <v>2453.4182790152404</v>
      </c>
      <c r="F109" s="527">
        <f t="shared" si="57"/>
        <v>6631.6706070215178</v>
      </c>
      <c r="G109" s="527">
        <f t="shared" si="57"/>
        <v>10128.977338444687</v>
      </c>
      <c r="H109" t="s">
        <v>533</v>
      </c>
    </row>
    <row r="110" spans="1:41" x14ac:dyDescent="0.15">
      <c r="C110" t="s">
        <v>534</v>
      </c>
      <c r="D110" s="527">
        <f>D137*D122</f>
        <v>1500.7893333333336</v>
      </c>
      <c r="E110" s="527">
        <f t="shared" ref="E110:G110" si="58">E137*E122</f>
        <v>1023.2628276670575</v>
      </c>
      <c r="F110" s="527">
        <f t="shared" si="58"/>
        <v>492.77515968289924</v>
      </c>
      <c r="G110" s="527">
        <f t="shared" si="58"/>
        <v>46.421369112814943</v>
      </c>
      <c r="H110" t="s">
        <v>533</v>
      </c>
    </row>
    <row r="111" spans="1:41" x14ac:dyDescent="0.15">
      <c r="C111" t="s">
        <v>535</v>
      </c>
      <c r="D111" s="2">
        <f>SUM(D109:D110)</f>
        <v>2854.3493333333336</v>
      </c>
      <c r="E111" s="2">
        <f t="shared" ref="E111:G111" si="59">SUM(E109:E110)</f>
        <v>3476.6811066822979</v>
      </c>
      <c r="F111" s="2">
        <f t="shared" si="59"/>
        <v>7124.4457667044171</v>
      </c>
      <c r="G111" s="2">
        <f t="shared" si="59"/>
        <v>10175.398707557502</v>
      </c>
    </row>
    <row r="112" spans="1:41" x14ac:dyDescent="0.15">
      <c r="C112" t="s">
        <v>536</v>
      </c>
      <c r="D112" s="38">
        <f>D111/3.6</f>
        <v>792.87481481481484</v>
      </c>
      <c r="E112" s="38">
        <f t="shared" ref="E112:G112" si="60">E111/3.6</f>
        <v>965.74475185619383</v>
      </c>
      <c r="F112" s="38">
        <f t="shared" si="60"/>
        <v>1979.0127129734492</v>
      </c>
      <c r="G112" s="38">
        <f t="shared" si="60"/>
        <v>2826.4996409881951</v>
      </c>
    </row>
    <row r="113" spans="3:8" x14ac:dyDescent="0.15">
      <c r="C113" t="s">
        <v>537</v>
      </c>
      <c r="D113" s="493">
        <f>D109*D125/3.6/1000</f>
        <v>164.68313333333333</v>
      </c>
      <c r="E113" s="493">
        <f t="shared" ref="E113:G113" si="61">E109*E125/3.6/1000</f>
        <v>94.047700695584211</v>
      </c>
      <c r="F113" s="493">
        <f t="shared" si="61"/>
        <v>-1.8421307241726439</v>
      </c>
      <c r="G113" s="493">
        <f t="shared" si="61"/>
        <v>-14.068024081173176</v>
      </c>
    </row>
    <row r="114" spans="3:8" x14ac:dyDescent="0.15">
      <c r="C114" t="s">
        <v>538</v>
      </c>
      <c r="D114" s="493">
        <f>D110*$D$172</f>
        <v>792.40551947680149</v>
      </c>
      <c r="E114" s="493">
        <f t="shared" ref="E114:G114" si="62">E110*$D$172</f>
        <v>540.27510358025961</v>
      </c>
      <c r="F114" s="493">
        <f t="shared" si="62"/>
        <v>260.18159092756849</v>
      </c>
      <c r="G114" s="493">
        <f t="shared" si="62"/>
        <v>24.510134960090646</v>
      </c>
    </row>
    <row r="115" spans="3:8" x14ac:dyDescent="0.15">
      <c r="C115" t="s">
        <v>539</v>
      </c>
      <c r="D115" s="146">
        <f>D110/D111</f>
        <v>0.52579034941763736</v>
      </c>
      <c r="E115" s="146">
        <f>E110/E111</f>
        <v>0.29432173853975618</v>
      </c>
      <c r="F115" s="146">
        <f>F110/F111</f>
        <v>6.9166806207698064E-2</v>
      </c>
      <c r="G115" s="146">
        <f>G110/G111</f>
        <v>4.562117952030393E-3</v>
      </c>
    </row>
    <row r="116" spans="3:8" x14ac:dyDescent="0.15">
      <c r="C116" t="s">
        <v>540</v>
      </c>
      <c r="D116" s="493">
        <f>SUM(D113:D114)</f>
        <v>957.08865281013482</v>
      </c>
      <c r="E116" s="493">
        <f t="shared" ref="E116:G116" si="63">SUM(E113:E114)</f>
        <v>634.32280427584385</v>
      </c>
      <c r="F116" s="493">
        <f t="shared" si="63"/>
        <v>258.33946020339584</v>
      </c>
      <c r="G116" s="493">
        <f t="shared" si="63"/>
        <v>10.44211087891747</v>
      </c>
    </row>
    <row r="117" spans="3:8" x14ac:dyDescent="0.15">
      <c r="C117" t="s">
        <v>541</v>
      </c>
      <c r="D117" s="493">
        <f>D111*D125/3.6/1000</f>
        <v>347.27916888888888</v>
      </c>
      <c r="E117" s="493">
        <f t="shared" ref="E117:G117" si="64">E111*E125/3.6/1000</f>
        <v>133.27277575615474</v>
      </c>
      <c r="F117" s="493">
        <f t="shared" si="64"/>
        <v>-1.9790127129734492</v>
      </c>
      <c r="G117" s="493">
        <f t="shared" si="64"/>
        <v>-14.132498204940974</v>
      </c>
    </row>
    <row r="120" spans="3:8" x14ac:dyDescent="0.15">
      <c r="C120" s="1" t="s">
        <v>585</v>
      </c>
    </row>
    <row r="121" spans="3:8" ht="16" x14ac:dyDescent="0.2">
      <c r="C121" s="516" t="s">
        <v>542</v>
      </c>
      <c r="D121" s="521">
        <v>2020</v>
      </c>
      <c r="E121" s="521">
        <v>2030</v>
      </c>
      <c r="F121" s="521">
        <v>2040</v>
      </c>
      <c r="G121" s="521">
        <v>2050</v>
      </c>
      <c r="H121" s="516" t="s">
        <v>531</v>
      </c>
    </row>
    <row r="122" spans="3:8" x14ac:dyDescent="0.15">
      <c r="C122" t="s">
        <v>543</v>
      </c>
      <c r="D122" s="121">
        <v>1781</v>
      </c>
      <c r="E122" s="121">
        <v>1937</v>
      </c>
      <c r="F122" s="121">
        <v>1958</v>
      </c>
      <c r="G122" s="121">
        <v>1987</v>
      </c>
      <c r="H122" t="s">
        <v>544</v>
      </c>
    </row>
    <row r="123" spans="3:8" x14ac:dyDescent="0.15">
      <c r="C123" t="s">
        <v>545</v>
      </c>
      <c r="D123" s="121">
        <v>2349</v>
      </c>
      <c r="E123" s="121">
        <v>1778</v>
      </c>
      <c r="F123" s="121">
        <v>859</v>
      </c>
      <c r="G123" s="121">
        <v>220</v>
      </c>
      <c r="H123" t="s">
        <v>546</v>
      </c>
    </row>
    <row r="124" spans="3:8" x14ac:dyDescent="0.15">
      <c r="C124" t="s">
        <v>547</v>
      </c>
      <c r="D124" s="480">
        <f>D123/D122</f>
        <v>1.3189219539584502</v>
      </c>
      <c r="E124" s="480">
        <f t="shared" ref="E124:G124" si="65">E123/E122</f>
        <v>0.91791430046463607</v>
      </c>
      <c r="F124" s="480">
        <f t="shared" si="65"/>
        <v>0.43871297242083757</v>
      </c>
      <c r="G124" s="480">
        <f t="shared" si="65"/>
        <v>0.11071967790639155</v>
      </c>
      <c r="H124" t="s">
        <v>533</v>
      </c>
    </row>
    <row r="125" spans="3:8" x14ac:dyDescent="0.15">
      <c r="C125" t="s">
        <v>548</v>
      </c>
      <c r="D125" s="518">
        <v>438</v>
      </c>
      <c r="E125" s="518">
        <v>138</v>
      </c>
      <c r="F125" s="518">
        <v>-1</v>
      </c>
      <c r="G125" s="518">
        <v>-5</v>
      </c>
      <c r="H125" t="s">
        <v>544</v>
      </c>
    </row>
    <row r="126" spans="3:8" x14ac:dyDescent="0.15">
      <c r="C126" t="s">
        <v>549</v>
      </c>
      <c r="D126" s="164">
        <v>0.32</v>
      </c>
      <c r="E126" s="164">
        <v>0.38</v>
      </c>
      <c r="F126" s="164">
        <f>AVERAGE(E126,G126)</f>
        <v>0.42000000000000004</v>
      </c>
      <c r="G126" s="164">
        <v>0.46</v>
      </c>
      <c r="H126" t="s">
        <v>550</v>
      </c>
    </row>
    <row r="128" spans="3:8" x14ac:dyDescent="0.15">
      <c r="C128" t="s">
        <v>551</v>
      </c>
      <c r="D128" s="122">
        <v>2020</v>
      </c>
      <c r="E128" s="122">
        <v>2030</v>
      </c>
      <c r="F128" s="122">
        <v>2040</v>
      </c>
      <c r="G128" s="122">
        <v>2050</v>
      </c>
      <c r="H128" t="s">
        <v>531</v>
      </c>
    </row>
    <row r="129" spans="3:8" x14ac:dyDescent="0.15">
      <c r="C129" t="s">
        <v>552</v>
      </c>
      <c r="D129" s="499">
        <f>D153*(1-$D$133)</f>
        <v>0</v>
      </c>
      <c r="E129" s="499">
        <f>E153*(1-$E$133)</f>
        <v>1.4536928487690504E-2</v>
      </c>
      <c r="F129" s="499">
        <f>F153*(1-$F$133)</f>
        <v>0.10181200453001132</v>
      </c>
      <c r="G129" s="499">
        <f>G153*(1-$G$133)</f>
        <v>0.17152245345016429</v>
      </c>
      <c r="H129" t="s">
        <v>533</v>
      </c>
    </row>
    <row r="130" spans="3:8" x14ac:dyDescent="0.15">
      <c r="C130" t="s">
        <v>553</v>
      </c>
      <c r="D130" s="499">
        <f t="shared" ref="D130:D132" si="66">D154*(1-$D$133)</f>
        <v>0</v>
      </c>
      <c r="E130" s="499">
        <f t="shared" ref="E130:E132" si="67">E154*(1-$E$133)</f>
        <v>0</v>
      </c>
      <c r="F130" s="499">
        <f t="shared" ref="F130:F132" si="68">F154*(1-$F$133)</f>
        <v>4.2695356738391844E-2</v>
      </c>
      <c r="G130" s="499">
        <f t="shared" ref="G130:G132" si="69">G154*(1-$G$133)</f>
        <v>7.6889375684556421E-2</v>
      </c>
      <c r="H130" t="s">
        <v>533</v>
      </c>
    </row>
    <row r="131" spans="3:8" x14ac:dyDescent="0.15">
      <c r="C131" t="s">
        <v>554</v>
      </c>
      <c r="D131" s="499">
        <f t="shared" si="66"/>
        <v>0</v>
      </c>
      <c r="E131" s="499">
        <f t="shared" si="67"/>
        <v>4.3610785463071511E-2</v>
      </c>
      <c r="F131" s="499">
        <f t="shared" si="68"/>
        <v>0.19377123442808608</v>
      </c>
      <c r="G131" s="499">
        <f t="shared" si="69"/>
        <v>0.31347207009857614</v>
      </c>
      <c r="H131" t="s">
        <v>533</v>
      </c>
    </row>
    <row r="132" spans="3:8" x14ac:dyDescent="0.15">
      <c r="C132" t="s">
        <v>555</v>
      </c>
      <c r="D132" s="499">
        <f t="shared" si="66"/>
        <v>0.8</v>
      </c>
      <c r="E132" s="499">
        <f t="shared" si="67"/>
        <v>0.66869871043376317</v>
      </c>
      <c r="F132" s="499">
        <f t="shared" si="68"/>
        <v>0.31857304643261608</v>
      </c>
      <c r="G132" s="499">
        <f t="shared" si="69"/>
        <v>2.9572836801752492E-2</v>
      </c>
      <c r="H132" t="s">
        <v>533</v>
      </c>
    </row>
    <row r="133" spans="3:8" x14ac:dyDescent="0.15">
      <c r="C133" t="s">
        <v>556</v>
      </c>
      <c r="D133" s="499">
        <f>(D150-SUMPRODUCT(D153:D156,$F$160:$F$163))/(1-SUMPRODUCT(D153:D156,$F$160:$F$163))</f>
        <v>0.2</v>
      </c>
      <c r="E133" s="499">
        <f t="shared" ref="E133:G133" si="70">(E150-SUMPRODUCT(E153:E156,$F$160:$F$163))/(1-SUMPRODUCT(E153:E156,$F$160:$F$163))</f>
        <v>0.27315357561547476</v>
      </c>
      <c r="F133" s="499">
        <f t="shared" si="70"/>
        <v>0.3431483578708947</v>
      </c>
      <c r="G133" s="499">
        <f t="shared" si="70"/>
        <v>0.40854326396495072</v>
      </c>
      <c r="H133" t="s">
        <v>533</v>
      </c>
    </row>
    <row r="135" spans="3:8" x14ac:dyDescent="0.15">
      <c r="C135" t="s">
        <v>530</v>
      </c>
      <c r="D135" s="162">
        <v>2020</v>
      </c>
      <c r="E135" s="162">
        <v>2030</v>
      </c>
      <c r="F135" s="162">
        <v>2040</v>
      </c>
      <c r="G135" s="162">
        <v>2050</v>
      </c>
      <c r="H135" t="s">
        <v>531</v>
      </c>
    </row>
    <row r="136" spans="3:8" x14ac:dyDescent="0.15">
      <c r="C136" t="s">
        <v>557</v>
      </c>
      <c r="D136" s="480">
        <f>SUMPRODUCT(D129:D133,$D$160:$D$164)</f>
        <v>0.76</v>
      </c>
      <c r="E136" s="480">
        <f t="shared" ref="E136:G136" si="71">SUMPRODUCT(E129:E133,$D$160:$D$164)</f>
        <v>1.2666072684642438</v>
      </c>
      <c r="F136" s="480">
        <f t="shared" si="71"/>
        <v>3.3869614949037374</v>
      </c>
      <c r="G136" s="480">
        <f t="shared" si="71"/>
        <v>5.0976232201533405</v>
      </c>
      <c r="H136" t="s">
        <v>533</v>
      </c>
    </row>
    <row r="137" spans="3:8" x14ac:dyDescent="0.15">
      <c r="C137" t="s">
        <v>558</v>
      </c>
      <c r="D137" s="480">
        <f>SUMPRODUCT(D129:D133,$E$160:$E$164)*(1/(1-D173))</f>
        <v>0.84266666666666679</v>
      </c>
      <c r="E137" s="480">
        <f>SUMPRODUCT(E129:E133,$E$160:$E$164)</f>
        <v>0.52827198124267294</v>
      </c>
      <c r="F137" s="480">
        <f t="shared" ref="F137:G137" si="72">SUMPRODUCT(F129:F133,$E$160:$E$164)</f>
        <v>0.25167270668176672</v>
      </c>
      <c r="G137" s="480">
        <f t="shared" si="72"/>
        <v>2.3362541073384469E-2</v>
      </c>
      <c r="H137" t="s">
        <v>533</v>
      </c>
    </row>
    <row r="138" spans="3:8" x14ac:dyDescent="0.15">
      <c r="C138" t="s">
        <v>559</v>
      </c>
      <c r="D138" s="480">
        <f>D136/3.6*D125/1000</f>
        <v>9.2466666666666669E-2</v>
      </c>
      <c r="E138" s="480">
        <f t="shared" ref="E138:G138" si="73">E136/3.6*E125/1000</f>
        <v>4.8553278624462674E-2</v>
      </c>
      <c r="F138" s="480">
        <f t="shared" si="73"/>
        <v>-9.4082263747326039E-4</v>
      </c>
      <c r="G138" s="480">
        <f t="shared" si="73"/>
        <v>-7.0800322502129727E-3</v>
      </c>
      <c r="H138" t="s">
        <v>533</v>
      </c>
    </row>
    <row r="139" spans="3:8" x14ac:dyDescent="0.15">
      <c r="C139" t="s">
        <v>560</v>
      </c>
      <c r="D139" s="480">
        <f>D137*$D$172</f>
        <v>0.44492168415317324</v>
      </c>
      <c r="E139" s="480">
        <f t="shared" ref="E139:G139" si="74">E137*$D$172</f>
        <v>0.2789236466599172</v>
      </c>
      <c r="F139" s="480">
        <f t="shared" si="74"/>
        <v>0.13288130282306868</v>
      </c>
      <c r="G139" s="480">
        <f t="shared" si="74"/>
        <v>1.2335246582833742E-2</v>
      </c>
      <c r="H139" t="s">
        <v>533</v>
      </c>
    </row>
    <row r="140" spans="3:8" x14ac:dyDescent="0.15">
      <c r="C140" t="s">
        <v>561</v>
      </c>
      <c r="D140" s="480">
        <f>SUM(D138:D139)</f>
        <v>0.53738835081983993</v>
      </c>
      <c r="E140" s="480">
        <f t="shared" ref="E140:G140" si="75">SUM(E138:E139)</f>
        <v>0.32747692528437988</v>
      </c>
      <c r="F140" s="480">
        <f t="shared" si="75"/>
        <v>0.13194048018559543</v>
      </c>
      <c r="G140" s="480">
        <f t="shared" si="75"/>
        <v>5.2552143326207697E-3</v>
      </c>
      <c r="H140" t="s">
        <v>533</v>
      </c>
    </row>
    <row r="141" spans="3:8" x14ac:dyDescent="0.15">
      <c r="C141" t="s">
        <v>562</v>
      </c>
      <c r="D141" s="163">
        <f>D136/SUM(D136:D137)</f>
        <v>0.47420965058236264</v>
      </c>
      <c r="E141" s="163">
        <f>E136/SUM(E136:E137)</f>
        <v>0.70567826146024371</v>
      </c>
      <c r="F141" s="163">
        <f>F136/SUM(F136:F137)</f>
        <v>0.930833193792302</v>
      </c>
      <c r="G141" s="163">
        <f>G136/SUM(G136:G137)</f>
        <v>0.99543788204796957</v>
      </c>
      <c r="H141" t="s">
        <v>533</v>
      </c>
    </row>
    <row r="143" spans="3:8" ht="16" x14ac:dyDescent="0.2">
      <c r="C143" s="516" t="s">
        <v>563</v>
      </c>
      <c r="D143" s="521">
        <v>2020</v>
      </c>
      <c r="E143" s="521">
        <v>2030</v>
      </c>
      <c r="F143" s="521">
        <v>2040</v>
      </c>
      <c r="G143" s="521">
        <v>2050</v>
      </c>
      <c r="H143" s="516" t="s">
        <v>531</v>
      </c>
    </row>
    <row r="144" spans="3:8" x14ac:dyDescent="0.15">
      <c r="C144" t="s">
        <v>564</v>
      </c>
      <c r="D144" s="480">
        <f>D140+D124</f>
        <v>1.8563103047782903</v>
      </c>
      <c r="E144" s="480">
        <f t="shared" ref="E144:G144" si="76">E140+E124</f>
        <v>1.2453912257490161</v>
      </c>
      <c r="F144" s="480">
        <f t="shared" si="76"/>
        <v>0.57065345260643296</v>
      </c>
      <c r="G144" s="480">
        <f t="shared" si="76"/>
        <v>0.11597489223901232</v>
      </c>
      <c r="H144" t="s">
        <v>533</v>
      </c>
    </row>
    <row r="145" spans="3:11" x14ac:dyDescent="0.15">
      <c r="C145" t="s">
        <v>565</v>
      </c>
      <c r="D145" s="480">
        <f>D140*D122/1000</f>
        <v>0.95708865281013489</v>
      </c>
      <c r="E145" s="480">
        <f t="shared" ref="E145:G145" si="77">E140*E122/1000</f>
        <v>0.63432280427584387</v>
      </c>
      <c r="F145" s="480">
        <f t="shared" si="77"/>
        <v>0.25833946020339582</v>
      </c>
      <c r="G145" s="480">
        <f t="shared" si="77"/>
        <v>1.0442110878917469E-2</v>
      </c>
      <c r="H145" t="s">
        <v>533</v>
      </c>
    </row>
    <row r="146" spans="3:11" x14ac:dyDescent="0.15">
      <c r="C146" t="s">
        <v>566</v>
      </c>
      <c r="D146" s="519">
        <f>D145+D123/1000</f>
        <v>3.3060886528101352</v>
      </c>
      <c r="E146" s="519">
        <f t="shared" ref="E146:G146" si="78">E145+E123/1000</f>
        <v>2.4123228042758438</v>
      </c>
      <c r="F146" s="519">
        <f t="shared" si="78"/>
        <v>1.1173394602033957</v>
      </c>
      <c r="G146" s="519">
        <f t="shared" si="78"/>
        <v>0.23044211087891747</v>
      </c>
      <c r="H146" t="s">
        <v>533</v>
      </c>
    </row>
    <row r="147" spans="3:11" ht="14" thickBot="1" x14ac:dyDescent="0.2">
      <c r="D147" s="4"/>
      <c r="E147" s="4"/>
      <c r="F147" s="4"/>
      <c r="G147" s="4"/>
    </row>
    <row r="148" spans="3:11" ht="16" thickBot="1" x14ac:dyDescent="0.25">
      <c r="C148" s="505" t="s">
        <v>586</v>
      </c>
      <c r="D148" s="495"/>
      <c r="E148" s="495"/>
      <c r="F148" s="495"/>
      <c r="G148" s="495"/>
    </row>
    <row r="149" spans="3:11" x14ac:dyDescent="0.15">
      <c r="D149" s="1">
        <v>2020</v>
      </c>
      <c r="E149" s="1">
        <v>2030</v>
      </c>
      <c r="F149" s="1">
        <v>2040</v>
      </c>
      <c r="G149" s="1">
        <v>2050</v>
      </c>
    </row>
    <row r="150" spans="3:11" x14ac:dyDescent="0.15">
      <c r="C150" t="s">
        <v>587</v>
      </c>
      <c r="D150" s="499">
        <v>0.32</v>
      </c>
      <c r="E150" s="499">
        <v>0.38</v>
      </c>
      <c r="F150" s="499">
        <f>AVERAGE(E150,G150)</f>
        <v>0.42000000000000004</v>
      </c>
      <c r="G150" s="499">
        <v>0.46</v>
      </c>
    </row>
    <row r="152" spans="3:11" ht="16" x14ac:dyDescent="0.2">
      <c r="C152" s="496" t="s">
        <v>588</v>
      </c>
      <c r="I152" s="516" t="s">
        <v>593</v>
      </c>
      <c r="J152" s="517" t="s">
        <v>594</v>
      </c>
    </row>
    <row r="153" spans="3:11" x14ac:dyDescent="0.15">
      <c r="C153" t="s">
        <v>589</v>
      </c>
      <c r="D153" s="499">
        <v>0</v>
      </c>
      <c r="E153" s="499">
        <v>0.02</v>
      </c>
      <c r="F153" s="499">
        <f>AVERAGE(E153,G153)</f>
        <v>0.155</v>
      </c>
      <c r="G153" s="499">
        <v>0.28999999999999998</v>
      </c>
      <c r="H153" t="s">
        <v>590</v>
      </c>
      <c r="I153" t="s">
        <v>552</v>
      </c>
      <c r="J153" s="164">
        <f>$J$156</f>
        <v>0.11</v>
      </c>
      <c r="K153" t="s">
        <v>595</v>
      </c>
    </row>
    <row r="154" spans="3:11" x14ac:dyDescent="0.15">
      <c r="C154" t="s">
        <v>591</v>
      </c>
      <c r="D154" s="499">
        <v>0</v>
      </c>
      <c r="E154" s="499">
        <v>0</v>
      </c>
      <c r="F154" s="499">
        <f t="shared" ref="F154:F155" si="79">AVERAGE(E154,G154)</f>
        <v>6.5000000000000002E-2</v>
      </c>
      <c r="G154" s="499">
        <v>0.13</v>
      </c>
      <c r="H154" t="s">
        <v>590</v>
      </c>
      <c r="I154" t="s">
        <v>553</v>
      </c>
      <c r="J154" s="164">
        <f t="shared" ref="J154:J155" si="80">$J$156</f>
        <v>0.11</v>
      </c>
      <c r="K154" t="s">
        <v>595</v>
      </c>
    </row>
    <row r="155" spans="3:11" x14ac:dyDescent="0.15">
      <c r="C155" t="s">
        <v>554</v>
      </c>
      <c r="D155" s="499">
        <v>0</v>
      </c>
      <c r="E155" s="499">
        <v>0.06</v>
      </c>
      <c r="F155" s="499">
        <f t="shared" si="79"/>
        <v>0.29500000000000004</v>
      </c>
      <c r="G155" s="499">
        <v>0.53</v>
      </c>
      <c r="H155" t="s">
        <v>590</v>
      </c>
      <c r="I155" t="s">
        <v>596</v>
      </c>
      <c r="J155" s="164">
        <f t="shared" si="80"/>
        <v>0.11</v>
      </c>
      <c r="K155" t="s">
        <v>595</v>
      </c>
    </row>
    <row r="156" spans="3:11" x14ac:dyDescent="0.15">
      <c r="C156" t="s">
        <v>555</v>
      </c>
      <c r="D156" s="499">
        <f>1-SUM(D153:D155)</f>
        <v>1</v>
      </c>
      <c r="E156" s="499">
        <f t="shared" ref="E156:F156" si="81">1-SUM(E153:E155)</f>
        <v>0.92</v>
      </c>
      <c r="F156" s="499">
        <f t="shared" si="81"/>
        <v>0.48499999999999999</v>
      </c>
      <c r="G156" s="499">
        <f t="shared" ref="G156" si="82">1-SUM(G153:G155)</f>
        <v>5.0000000000000044E-2</v>
      </c>
      <c r="H156" t="s">
        <v>590</v>
      </c>
      <c r="I156" t="s">
        <v>555</v>
      </c>
      <c r="J156" s="164">
        <v>0.11</v>
      </c>
      <c r="K156" t="s">
        <v>597</v>
      </c>
    </row>
    <row r="157" spans="3:11" ht="15" x14ac:dyDescent="0.2">
      <c r="C157" s="526" t="s">
        <v>592</v>
      </c>
      <c r="D157" s="4">
        <v>1</v>
      </c>
      <c r="E157" s="4">
        <v>70</v>
      </c>
      <c r="G157" s="4">
        <v>670</v>
      </c>
    </row>
    <row r="159" spans="3:11" ht="68" x14ac:dyDescent="0.15">
      <c r="C159" s="522" t="s">
        <v>567</v>
      </c>
      <c r="D159" s="525" t="s">
        <v>568</v>
      </c>
      <c r="E159" s="525" t="s">
        <v>569</v>
      </c>
      <c r="F159" s="525" t="s">
        <v>570</v>
      </c>
      <c r="G159" s="1"/>
      <c r="H159" s="525" t="s">
        <v>571</v>
      </c>
      <c r="I159" s="525" t="s">
        <v>572</v>
      </c>
    </row>
    <row r="160" spans="3:11" x14ac:dyDescent="0.15">
      <c r="C160" t="s">
        <v>552</v>
      </c>
      <c r="D160" s="520">
        <v>6.1</v>
      </c>
      <c r="E160" s="520">
        <v>0</v>
      </c>
      <c r="F160" s="163">
        <v>0</v>
      </c>
      <c r="H160" s="121">
        <f>D160/3.6*1000</f>
        <v>1694.4444444444441</v>
      </c>
      <c r="I160" s="121">
        <f>E160/3.6*1000</f>
        <v>0</v>
      </c>
    </row>
    <row r="161" spans="3:9" x14ac:dyDescent="0.15">
      <c r="C161" t="s">
        <v>553</v>
      </c>
      <c r="D161" s="520">
        <v>12.1</v>
      </c>
      <c r="E161" s="520">
        <v>0</v>
      </c>
      <c r="F161" s="163">
        <v>0</v>
      </c>
      <c r="H161" s="121">
        <f t="shared" ref="H161:I164" si="83">D161/3.6*1000</f>
        <v>3361.1111111111109</v>
      </c>
      <c r="I161" s="121">
        <f t="shared" si="83"/>
        <v>0</v>
      </c>
    </row>
    <row r="162" spans="3:9" x14ac:dyDescent="0.15">
      <c r="C162" t="s">
        <v>554</v>
      </c>
      <c r="D162" s="520">
        <v>7</v>
      </c>
      <c r="E162" s="520">
        <v>0</v>
      </c>
      <c r="F162" s="163">
        <v>0.15</v>
      </c>
      <c r="H162" s="121">
        <f t="shared" si="83"/>
        <v>1944.4444444444443</v>
      </c>
      <c r="I162" s="121">
        <f t="shared" si="83"/>
        <v>0</v>
      </c>
    </row>
    <row r="163" spans="3:9" x14ac:dyDescent="0.15">
      <c r="C163" t="s">
        <v>555</v>
      </c>
      <c r="D163" s="520">
        <v>0.39</v>
      </c>
      <c r="E163" s="520">
        <v>0.79</v>
      </c>
      <c r="F163" s="163">
        <v>0.15</v>
      </c>
      <c r="H163" s="121">
        <f t="shared" si="83"/>
        <v>108.33333333333334</v>
      </c>
      <c r="I163" s="121">
        <f t="shared" si="83"/>
        <v>219.44444444444443</v>
      </c>
    </row>
    <row r="164" spans="3:9" x14ac:dyDescent="0.15">
      <c r="C164" t="s">
        <v>556</v>
      </c>
      <c r="D164" s="520">
        <v>2.2399999999999998</v>
      </c>
      <c r="E164" s="520">
        <v>0</v>
      </c>
      <c r="F164" s="163">
        <v>1</v>
      </c>
      <c r="H164" s="121">
        <f t="shared" si="83"/>
        <v>622.22222222222217</v>
      </c>
      <c r="I164" s="121">
        <f t="shared" si="83"/>
        <v>0</v>
      </c>
    </row>
    <row r="166" spans="3:9" ht="16" x14ac:dyDescent="0.2">
      <c r="C166" s="523" t="s">
        <v>573</v>
      </c>
      <c r="D166" s="524" t="s">
        <v>574</v>
      </c>
      <c r="E166" s="524" t="s">
        <v>575</v>
      </c>
      <c r="F166" s="523" t="s">
        <v>531</v>
      </c>
    </row>
    <row r="167" spans="3:9" x14ac:dyDescent="0.15">
      <c r="C167" t="s">
        <v>576</v>
      </c>
      <c r="D167" s="164">
        <f>1-E167</f>
        <v>0.30000000000000004</v>
      </c>
      <c r="E167" s="164">
        <v>0.7</v>
      </c>
      <c r="F167" t="s">
        <v>577</v>
      </c>
    </row>
    <row r="168" spans="3:9" x14ac:dyDescent="0.15">
      <c r="C168" t="s">
        <v>578</v>
      </c>
      <c r="D168" s="520">
        <v>44.444850952677058</v>
      </c>
      <c r="E168" s="520">
        <v>260.03395933968801</v>
      </c>
      <c r="F168" t="s">
        <v>579</v>
      </c>
    </row>
    <row r="170" spans="3:9" ht="16" x14ac:dyDescent="0.2">
      <c r="C170" s="523" t="s">
        <v>580</v>
      </c>
      <c r="D170" s="521" t="s">
        <v>499</v>
      </c>
      <c r="E170" s="523" t="s">
        <v>531</v>
      </c>
    </row>
    <row r="171" spans="3:9" x14ac:dyDescent="0.15">
      <c r="C171" t="s">
        <v>581</v>
      </c>
      <c r="D171" s="164">
        <v>0.37</v>
      </c>
      <c r="E171" t="s">
        <v>577</v>
      </c>
    </row>
    <row r="172" spans="3:9" x14ac:dyDescent="0.15">
      <c r="C172" t="s">
        <v>582</v>
      </c>
      <c r="D172" s="480">
        <f>SUMPRODUCT(D167:E167,D168:E168)/D171/1000</f>
        <v>0.52799250492860739</v>
      </c>
      <c r="E172" t="s">
        <v>533</v>
      </c>
      <c r="I172">
        <f>D172*1000/3.6</f>
        <v>146.66458470239093</v>
      </c>
    </row>
    <row r="173" spans="3:9" x14ac:dyDescent="0.15">
      <c r="C173" t="s">
        <v>583</v>
      </c>
      <c r="D173" s="164">
        <v>0.25</v>
      </c>
      <c r="E173" t="s">
        <v>584</v>
      </c>
    </row>
  </sheetData>
  <phoneticPr fontId="100" type="noConversion"/>
  <dataValidations count="1">
    <dataValidation allowBlank="1" showErrorMessage="1" prompt="Please enter a value between 0-100%" sqref="E81" xr:uid="{C162D672-7AF1-4092-AE16-7A69C3C14D03}"/>
  </dataValidation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8"/>
    <pageSetUpPr fitToPage="1"/>
  </sheetPr>
  <dimension ref="A1:AA220"/>
  <sheetViews>
    <sheetView workbookViewId="0">
      <selection activeCell="P206" sqref="P206"/>
    </sheetView>
  </sheetViews>
  <sheetFormatPr baseColWidth="10" defaultColWidth="9.1640625" defaultRowHeight="12" x14ac:dyDescent="0.15"/>
  <cols>
    <col min="1" max="1" width="24.5" style="178" customWidth="1"/>
    <col min="2" max="6" width="5.83203125" style="178" customWidth="1"/>
    <col min="7" max="7" width="0.5" style="178" customWidth="1"/>
    <col min="8" max="10" width="4.5" style="178" customWidth="1"/>
    <col min="11" max="11" width="0.5" style="178" customWidth="1"/>
    <col min="12" max="13" width="6.5" style="178" customWidth="1"/>
    <col min="14" max="16384" width="9.1640625" style="178"/>
  </cols>
  <sheetData>
    <row r="1" spans="1:18" s="165" customFormat="1" ht="42.75" customHeight="1" x14ac:dyDescent="0.15">
      <c r="A1" s="682" t="s">
        <v>313</v>
      </c>
      <c r="B1" s="682"/>
      <c r="C1" s="682"/>
      <c r="D1" s="682"/>
      <c r="E1" s="682"/>
      <c r="F1" s="682"/>
      <c r="G1" s="682"/>
      <c r="H1" s="682"/>
      <c r="I1" s="682"/>
      <c r="J1" s="682"/>
      <c r="K1" s="682"/>
      <c r="L1" s="682"/>
      <c r="M1" s="682"/>
    </row>
    <row r="2" spans="1:18" s="169" customFormat="1" ht="12" customHeight="1" x14ac:dyDescent="0.15">
      <c r="A2" s="166"/>
      <c r="B2" s="167" t="s">
        <v>314</v>
      </c>
      <c r="C2" s="167" t="s">
        <v>314</v>
      </c>
      <c r="D2" s="167" t="s">
        <v>314</v>
      </c>
      <c r="E2" s="167" t="s">
        <v>314</v>
      </c>
      <c r="F2" s="167" t="s">
        <v>314</v>
      </c>
      <c r="G2" s="167"/>
      <c r="H2" s="166"/>
      <c r="I2" s="166"/>
      <c r="J2" s="166"/>
      <c r="K2" s="166"/>
      <c r="L2" s="168">
        <v>10</v>
      </c>
      <c r="M2" s="168">
        <v>30</v>
      </c>
    </row>
    <row r="3" spans="1:18" s="173" customFormat="1" ht="12" customHeight="1" x14ac:dyDescent="0.15">
      <c r="A3" s="170"/>
      <c r="B3" s="171"/>
      <c r="C3" s="172"/>
      <c r="D3" s="171"/>
      <c r="E3" s="171"/>
      <c r="F3" s="171"/>
      <c r="G3" s="171"/>
      <c r="H3" s="171"/>
      <c r="I3" s="171"/>
      <c r="J3" s="171"/>
      <c r="K3" s="171"/>
      <c r="L3" s="171"/>
      <c r="M3" s="171"/>
    </row>
    <row r="4" spans="1:18" ht="15" customHeight="1" x14ac:dyDescent="0.15">
      <c r="A4" s="174"/>
      <c r="B4" s="175" t="s">
        <v>316</v>
      </c>
      <c r="C4" s="175"/>
      <c r="D4" s="175"/>
      <c r="E4" s="175"/>
      <c r="F4" s="175"/>
      <c r="G4" s="175"/>
      <c r="H4" s="176" t="s">
        <v>317</v>
      </c>
      <c r="I4" s="176"/>
      <c r="J4" s="177"/>
      <c r="K4" s="177"/>
      <c r="L4" s="176" t="s">
        <v>318</v>
      </c>
      <c r="M4" s="176"/>
    </row>
    <row r="5" spans="1:18" ht="26" x14ac:dyDescent="0.15">
      <c r="A5" s="179"/>
      <c r="B5" s="180">
        <v>2019</v>
      </c>
      <c r="C5" s="180">
        <v>2020</v>
      </c>
      <c r="D5" s="180">
        <v>2030</v>
      </c>
      <c r="E5" s="180">
        <v>2040</v>
      </c>
      <c r="F5" s="180">
        <v>2050</v>
      </c>
      <c r="G5" s="174"/>
      <c r="H5" s="180">
        <v>2020</v>
      </c>
      <c r="I5" s="180">
        <v>2030</v>
      </c>
      <c r="J5" s="180">
        <v>2050</v>
      </c>
      <c r="K5" s="181"/>
      <c r="L5" s="182" t="s">
        <v>319</v>
      </c>
      <c r="M5" s="182" t="s">
        <v>320</v>
      </c>
    </row>
    <row r="6" spans="1:18" ht="15" customHeight="1" x14ac:dyDescent="0.15">
      <c r="A6" s="183" t="s">
        <v>321</v>
      </c>
      <c r="B6" s="184">
        <v>612</v>
      </c>
      <c r="C6" s="184">
        <v>587</v>
      </c>
      <c r="D6" s="184">
        <v>547</v>
      </c>
      <c r="E6" s="184">
        <v>535</v>
      </c>
      <c r="F6" s="184">
        <v>543</v>
      </c>
      <c r="G6" s="185">
        <v>0</v>
      </c>
      <c r="H6" s="186">
        <v>100</v>
      </c>
      <c r="I6" s="186">
        <v>100</v>
      </c>
      <c r="J6" s="186">
        <v>100</v>
      </c>
      <c r="K6" s="187"/>
      <c r="L6" s="188">
        <v>-0.7</v>
      </c>
      <c r="M6" s="188">
        <v>-0.3</v>
      </c>
      <c r="N6" s="189"/>
      <c r="O6" s="189"/>
      <c r="P6" s="189"/>
      <c r="Q6" s="189"/>
      <c r="R6" s="189"/>
    </row>
    <row r="7" spans="1:18" ht="15" customHeight="1" x14ac:dyDescent="0.15">
      <c r="A7" s="190" t="s">
        <v>322</v>
      </c>
      <c r="B7" s="191">
        <v>67</v>
      </c>
      <c r="C7" s="192">
        <v>69</v>
      </c>
      <c r="D7" s="191">
        <v>167</v>
      </c>
      <c r="E7" s="191">
        <v>295</v>
      </c>
      <c r="F7" s="191">
        <v>362</v>
      </c>
      <c r="G7" s="193">
        <v>0</v>
      </c>
      <c r="H7" s="194">
        <v>12</v>
      </c>
      <c r="I7" s="194">
        <v>30</v>
      </c>
      <c r="J7" s="194">
        <v>67</v>
      </c>
      <c r="K7" s="195"/>
      <c r="L7" s="196">
        <v>9.3000000000000007</v>
      </c>
      <c r="M7" s="196">
        <v>5.7</v>
      </c>
      <c r="N7" s="189"/>
      <c r="O7" s="189"/>
      <c r="P7" s="189"/>
      <c r="Q7" s="189"/>
      <c r="R7" s="189"/>
    </row>
    <row r="8" spans="1:18" ht="15" customHeight="1" x14ac:dyDescent="0.15">
      <c r="A8" s="197" t="s">
        <v>323</v>
      </c>
      <c r="B8" s="198">
        <v>4</v>
      </c>
      <c r="C8" s="199">
        <v>5</v>
      </c>
      <c r="D8" s="198">
        <v>32</v>
      </c>
      <c r="E8" s="198">
        <v>78</v>
      </c>
      <c r="F8" s="198">
        <v>109</v>
      </c>
      <c r="G8" s="200">
        <v>0</v>
      </c>
      <c r="H8" s="201">
        <v>1</v>
      </c>
      <c r="I8" s="201">
        <v>6</v>
      </c>
      <c r="J8" s="201">
        <v>20</v>
      </c>
      <c r="K8" s="202"/>
      <c r="L8" s="203">
        <v>21</v>
      </c>
      <c r="M8" s="203">
        <v>11</v>
      </c>
      <c r="N8" s="189"/>
      <c r="O8" s="189"/>
      <c r="P8" s="189"/>
      <c r="Q8" s="189"/>
      <c r="R8" s="189"/>
    </row>
    <row r="9" spans="1:18" ht="15" customHeight="1" x14ac:dyDescent="0.15">
      <c r="A9" s="197" t="s">
        <v>95</v>
      </c>
      <c r="B9" s="198">
        <v>5</v>
      </c>
      <c r="C9" s="199">
        <v>6</v>
      </c>
      <c r="D9" s="198">
        <v>29</v>
      </c>
      <c r="E9" s="198">
        <v>67</v>
      </c>
      <c r="F9" s="198">
        <v>89</v>
      </c>
      <c r="G9" s="200">
        <v>0</v>
      </c>
      <c r="H9" s="201">
        <v>1</v>
      </c>
      <c r="I9" s="201">
        <v>5</v>
      </c>
      <c r="J9" s="201">
        <v>16</v>
      </c>
      <c r="K9" s="202"/>
      <c r="L9" s="203">
        <v>17</v>
      </c>
      <c r="M9" s="204">
        <v>9.6</v>
      </c>
      <c r="N9" s="189"/>
      <c r="O9" s="189"/>
      <c r="P9" s="189"/>
      <c r="Q9" s="189"/>
      <c r="R9" s="189"/>
    </row>
    <row r="10" spans="1:18" ht="15" customHeight="1" x14ac:dyDescent="0.15">
      <c r="A10" s="197" t="s">
        <v>89</v>
      </c>
      <c r="B10" s="198">
        <v>15</v>
      </c>
      <c r="C10" s="199">
        <v>16</v>
      </c>
      <c r="D10" s="198">
        <v>21</v>
      </c>
      <c r="E10" s="198">
        <v>27</v>
      </c>
      <c r="F10" s="198">
        <v>30</v>
      </c>
      <c r="G10" s="200">
        <v>0</v>
      </c>
      <c r="H10" s="201">
        <v>3</v>
      </c>
      <c r="I10" s="201">
        <v>4</v>
      </c>
      <c r="J10" s="201">
        <v>6</v>
      </c>
      <c r="K10" s="202"/>
      <c r="L10" s="204">
        <v>2.9</v>
      </c>
      <c r="M10" s="204">
        <v>2.2000000000000002</v>
      </c>
      <c r="N10" s="189"/>
      <c r="O10" s="189"/>
      <c r="P10" s="189"/>
      <c r="Q10" s="189"/>
      <c r="R10" s="189"/>
    </row>
    <row r="11" spans="1:18" ht="15" customHeight="1" x14ac:dyDescent="0.15">
      <c r="A11" s="197" t="s">
        <v>324</v>
      </c>
      <c r="B11" s="198">
        <v>31</v>
      </c>
      <c r="C11" s="199">
        <v>32</v>
      </c>
      <c r="D11" s="198">
        <v>54</v>
      </c>
      <c r="E11" s="198">
        <v>73</v>
      </c>
      <c r="F11" s="198">
        <v>73</v>
      </c>
      <c r="G11" s="200">
        <v>0</v>
      </c>
      <c r="H11" s="201">
        <v>5</v>
      </c>
      <c r="I11" s="201">
        <v>10</v>
      </c>
      <c r="J11" s="201">
        <v>14</v>
      </c>
      <c r="K11" s="202"/>
      <c r="L11" s="204">
        <v>5.3</v>
      </c>
      <c r="M11" s="204">
        <v>2.8</v>
      </c>
      <c r="N11" s="189"/>
      <c r="O11" s="189"/>
      <c r="P11" s="189"/>
      <c r="Q11" s="189"/>
      <c r="R11" s="189"/>
    </row>
    <row r="12" spans="1:18" ht="15" customHeight="1" x14ac:dyDescent="0.15">
      <c r="A12" s="197" t="s">
        <v>325</v>
      </c>
      <c r="B12" s="198">
        <v>4</v>
      </c>
      <c r="C12" s="199">
        <v>3</v>
      </c>
      <c r="D12" s="198">
        <v>12</v>
      </c>
      <c r="E12" s="198">
        <v>14</v>
      </c>
      <c r="F12" s="198">
        <v>15</v>
      </c>
      <c r="G12" s="200">
        <v>0</v>
      </c>
      <c r="H12" s="201">
        <v>1</v>
      </c>
      <c r="I12" s="201">
        <v>2</v>
      </c>
      <c r="J12" s="201">
        <v>3</v>
      </c>
      <c r="K12" s="202"/>
      <c r="L12" s="203">
        <v>14</v>
      </c>
      <c r="M12" s="204">
        <v>4.9000000000000004</v>
      </c>
      <c r="N12" s="189"/>
      <c r="O12" s="189"/>
      <c r="P12" s="189"/>
      <c r="Q12" s="189"/>
      <c r="R12" s="189"/>
    </row>
    <row r="13" spans="1:18" ht="15" customHeight="1" x14ac:dyDescent="0.15">
      <c r="A13" s="197" t="s">
        <v>326</v>
      </c>
      <c r="B13" s="198">
        <v>2</v>
      </c>
      <c r="C13" s="199">
        <v>2</v>
      </c>
      <c r="D13" s="198">
        <v>5</v>
      </c>
      <c r="E13" s="198">
        <v>10</v>
      </c>
      <c r="F13" s="198">
        <v>14</v>
      </c>
      <c r="G13" s="200">
        <v>0</v>
      </c>
      <c r="H13" s="205">
        <v>0</v>
      </c>
      <c r="I13" s="201">
        <v>1</v>
      </c>
      <c r="J13" s="201">
        <v>3</v>
      </c>
      <c r="K13" s="202"/>
      <c r="L13" s="203">
        <v>9.8000000000000007</v>
      </c>
      <c r="M13" s="204">
        <v>6.4</v>
      </c>
      <c r="N13" s="189"/>
      <c r="O13" s="189"/>
      <c r="P13" s="189"/>
      <c r="Q13" s="189"/>
      <c r="R13" s="189"/>
    </row>
    <row r="14" spans="1:18" ht="15" customHeight="1" x14ac:dyDescent="0.15">
      <c r="A14" s="197" t="s">
        <v>126</v>
      </c>
      <c r="B14" s="198">
        <v>4</v>
      </c>
      <c r="C14" s="199">
        <v>5</v>
      </c>
      <c r="D14" s="198">
        <v>13</v>
      </c>
      <c r="E14" s="198">
        <v>24</v>
      </c>
      <c r="F14" s="198">
        <v>32</v>
      </c>
      <c r="G14" s="200">
        <v>0</v>
      </c>
      <c r="H14" s="201">
        <v>1</v>
      </c>
      <c r="I14" s="201">
        <v>2</v>
      </c>
      <c r="J14" s="201">
        <v>6</v>
      </c>
      <c r="K14" s="202"/>
      <c r="L14" s="203">
        <v>11</v>
      </c>
      <c r="M14" s="204">
        <v>6.7</v>
      </c>
      <c r="N14" s="189"/>
      <c r="O14" s="189"/>
      <c r="P14" s="189"/>
      <c r="Q14" s="189"/>
      <c r="R14" s="189"/>
    </row>
    <row r="15" spans="1:18" ht="15" customHeight="1" x14ac:dyDescent="0.15">
      <c r="A15" s="190" t="s">
        <v>327</v>
      </c>
      <c r="B15" s="191">
        <v>25</v>
      </c>
      <c r="C15" s="192">
        <v>25</v>
      </c>
      <c r="D15" s="191">
        <v>0</v>
      </c>
      <c r="E15" s="191">
        <v>0</v>
      </c>
      <c r="F15" s="191">
        <v>0</v>
      </c>
      <c r="G15" s="193">
        <v>0</v>
      </c>
      <c r="H15" s="194">
        <v>4</v>
      </c>
      <c r="I15" s="194">
        <v>0</v>
      </c>
      <c r="J15" s="194">
        <v>0</v>
      </c>
      <c r="K15" s="195"/>
      <c r="L15" s="206" t="s">
        <v>328</v>
      </c>
      <c r="M15" s="206" t="s">
        <v>328</v>
      </c>
      <c r="N15" s="189"/>
      <c r="O15" s="189"/>
      <c r="P15" s="189"/>
      <c r="Q15" s="189"/>
      <c r="R15" s="189"/>
    </row>
    <row r="16" spans="1:18" ht="15" customHeight="1" x14ac:dyDescent="0.15">
      <c r="A16" s="207" t="s">
        <v>87</v>
      </c>
      <c r="B16" s="191">
        <v>30</v>
      </c>
      <c r="C16" s="192">
        <v>29</v>
      </c>
      <c r="D16" s="191">
        <v>41</v>
      </c>
      <c r="E16" s="191">
        <v>54</v>
      </c>
      <c r="F16" s="191">
        <v>61</v>
      </c>
      <c r="G16" s="193">
        <v>0</v>
      </c>
      <c r="H16" s="194">
        <v>5</v>
      </c>
      <c r="I16" s="194">
        <v>8</v>
      </c>
      <c r="J16" s="194">
        <v>11</v>
      </c>
      <c r="K16" s="195"/>
      <c r="L16" s="196">
        <v>3.5</v>
      </c>
      <c r="M16" s="196">
        <v>2.4</v>
      </c>
      <c r="N16" s="189"/>
      <c r="O16" s="189"/>
      <c r="P16" s="189"/>
      <c r="Q16" s="189"/>
      <c r="R16" s="189"/>
    </row>
    <row r="17" spans="1:18" ht="15" customHeight="1" x14ac:dyDescent="0.15">
      <c r="A17" s="207" t="s">
        <v>329</v>
      </c>
      <c r="B17" s="191">
        <v>139</v>
      </c>
      <c r="C17" s="192">
        <v>136</v>
      </c>
      <c r="D17" s="191">
        <v>116</v>
      </c>
      <c r="E17" s="191">
        <v>44</v>
      </c>
      <c r="F17" s="191">
        <v>17</v>
      </c>
      <c r="G17" s="193">
        <v>0</v>
      </c>
      <c r="H17" s="194">
        <v>23</v>
      </c>
      <c r="I17" s="194">
        <v>21</v>
      </c>
      <c r="J17" s="194">
        <v>3</v>
      </c>
      <c r="K17" s="195"/>
      <c r="L17" s="196">
        <v>-1.6</v>
      </c>
      <c r="M17" s="196">
        <v>-6.6</v>
      </c>
      <c r="N17" s="189"/>
      <c r="O17" s="189"/>
      <c r="P17" s="189"/>
      <c r="Q17" s="189"/>
      <c r="R17" s="189"/>
    </row>
    <row r="18" spans="1:18" ht="15" customHeight="1" x14ac:dyDescent="0.15">
      <c r="A18" s="207" t="s">
        <v>330</v>
      </c>
      <c r="B18" s="191">
        <v>0</v>
      </c>
      <c r="C18" s="192">
        <v>1</v>
      </c>
      <c r="D18" s="191">
        <v>13</v>
      </c>
      <c r="E18" s="191">
        <v>31</v>
      </c>
      <c r="F18" s="191">
        <v>43</v>
      </c>
      <c r="G18" s="193">
        <v>0</v>
      </c>
      <c r="H18" s="208">
        <v>0</v>
      </c>
      <c r="I18" s="194">
        <v>2</v>
      </c>
      <c r="J18" s="194">
        <v>8</v>
      </c>
      <c r="K18" s="195"/>
      <c r="L18" s="209">
        <v>37</v>
      </c>
      <c r="M18" s="209">
        <v>16</v>
      </c>
      <c r="N18" s="189"/>
      <c r="O18" s="189"/>
      <c r="P18" s="189"/>
      <c r="Q18" s="189"/>
      <c r="R18" s="189"/>
    </row>
    <row r="19" spans="1:18" ht="15" customHeight="1" x14ac:dyDescent="0.15">
      <c r="A19" s="207" t="s">
        <v>84</v>
      </c>
      <c r="B19" s="191">
        <v>190</v>
      </c>
      <c r="C19" s="192">
        <v>173</v>
      </c>
      <c r="D19" s="191">
        <v>137</v>
      </c>
      <c r="E19" s="191">
        <v>79</v>
      </c>
      <c r="F19" s="191">
        <v>42</v>
      </c>
      <c r="G19" s="193">
        <v>0</v>
      </c>
      <c r="H19" s="194">
        <v>29</v>
      </c>
      <c r="I19" s="194">
        <v>25</v>
      </c>
      <c r="J19" s="194">
        <v>8</v>
      </c>
      <c r="K19" s="195"/>
      <c r="L19" s="196">
        <v>-2.2999999999999998</v>
      </c>
      <c r="M19" s="196">
        <v>-4.5999999999999996</v>
      </c>
      <c r="N19" s="189"/>
      <c r="O19" s="189"/>
      <c r="P19" s="189"/>
      <c r="Q19" s="189"/>
      <c r="R19" s="189"/>
    </row>
    <row r="20" spans="1:18" ht="15" customHeight="1" x14ac:dyDescent="0.15">
      <c r="A20" s="197" t="s">
        <v>331</v>
      </c>
      <c r="B20" s="198">
        <v>28</v>
      </c>
      <c r="C20" s="199">
        <v>27</v>
      </c>
      <c r="D20" s="198">
        <v>32</v>
      </c>
      <c r="E20" s="198">
        <v>31</v>
      </c>
      <c r="F20" s="198">
        <v>29</v>
      </c>
      <c r="G20" s="200">
        <v>0</v>
      </c>
      <c r="H20" s="201">
        <v>5</v>
      </c>
      <c r="I20" s="201">
        <v>6</v>
      </c>
      <c r="J20" s="201">
        <v>5</v>
      </c>
      <c r="K20" s="202"/>
      <c r="L20" s="204">
        <v>1.4</v>
      </c>
      <c r="M20" s="204">
        <v>0.2</v>
      </c>
      <c r="N20" s="189"/>
      <c r="O20" s="189"/>
      <c r="P20" s="189"/>
      <c r="Q20" s="189"/>
      <c r="R20" s="189"/>
    </row>
    <row r="21" spans="1:18" ht="15" customHeight="1" x14ac:dyDescent="0.15">
      <c r="A21" s="190" t="s">
        <v>332</v>
      </c>
      <c r="B21" s="191">
        <v>160</v>
      </c>
      <c r="C21" s="192">
        <v>154</v>
      </c>
      <c r="D21" s="191">
        <v>68</v>
      </c>
      <c r="E21" s="191">
        <v>16</v>
      </c>
      <c r="F21" s="191">
        <v>3</v>
      </c>
      <c r="G21" s="193">
        <v>0</v>
      </c>
      <c r="H21" s="194">
        <v>26</v>
      </c>
      <c r="I21" s="194">
        <v>12</v>
      </c>
      <c r="J21" s="194">
        <v>1</v>
      </c>
      <c r="K21" s="195"/>
      <c r="L21" s="196">
        <v>-7.9</v>
      </c>
      <c r="M21" s="209">
        <v>-12</v>
      </c>
      <c r="N21" s="189"/>
      <c r="O21" s="189"/>
      <c r="P21" s="189"/>
      <c r="Q21" s="189"/>
      <c r="R21" s="189"/>
    </row>
    <row r="22" spans="1:18" s="219" customFormat="1" ht="15" customHeight="1" x14ac:dyDescent="0.15">
      <c r="A22" s="210" t="s">
        <v>333</v>
      </c>
      <c r="B22" s="211">
        <v>0</v>
      </c>
      <c r="C22" s="212">
        <v>0</v>
      </c>
      <c r="D22" s="213">
        <v>4</v>
      </c>
      <c r="E22" s="213">
        <v>16</v>
      </c>
      <c r="F22" s="213">
        <v>14</v>
      </c>
      <c r="G22" s="214">
        <v>0</v>
      </c>
      <c r="H22" s="215">
        <v>0</v>
      </c>
      <c r="I22" s="216">
        <v>1</v>
      </c>
      <c r="J22" s="216">
        <v>3</v>
      </c>
      <c r="K22" s="217"/>
      <c r="L22" s="218">
        <v>60</v>
      </c>
      <c r="M22" s="218">
        <v>22</v>
      </c>
      <c r="N22" s="189"/>
      <c r="O22" s="189"/>
      <c r="P22" s="189"/>
      <c r="Q22" s="189"/>
      <c r="R22" s="189"/>
    </row>
    <row r="23" spans="1:18" ht="15" customHeight="1" x14ac:dyDescent="0.15">
      <c r="A23" s="220" t="s">
        <v>334</v>
      </c>
      <c r="B23" s="221">
        <v>233</v>
      </c>
      <c r="C23" s="221">
        <v>230</v>
      </c>
      <c r="D23" s="221">
        <v>240</v>
      </c>
      <c r="E23" s="221">
        <v>308</v>
      </c>
      <c r="F23" s="221">
        <v>371</v>
      </c>
      <c r="G23" s="222">
        <v>0</v>
      </c>
      <c r="H23" s="223">
        <v>100</v>
      </c>
      <c r="I23" s="223">
        <v>100</v>
      </c>
      <c r="J23" s="223">
        <v>100</v>
      </c>
      <c r="K23" s="224"/>
      <c r="L23" s="225">
        <v>0.4</v>
      </c>
      <c r="M23" s="225">
        <v>1.6</v>
      </c>
      <c r="N23" s="189"/>
      <c r="O23" s="189"/>
      <c r="P23" s="189"/>
      <c r="Q23" s="189"/>
      <c r="R23" s="189"/>
    </row>
    <row r="24" spans="1:18" ht="15" customHeight="1" x14ac:dyDescent="0.15">
      <c r="A24" s="207" t="s">
        <v>322</v>
      </c>
      <c r="B24" s="191">
        <v>36</v>
      </c>
      <c r="C24" s="192">
        <v>38</v>
      </c>
      <c r="D24" s="191">
        <v>107</v>
      </c>
      <c r="E24" s="191">
        <v>220</v>
      </c>
      <c r="F24" s="191">
        <v>284</v>
      </c>
      <c r="G24" s="193">
        <v>0</v>
      </c>
      <c r="H24" s="194">
        <v>17</v>
      </c>
      <c r="I24" s="194">
        <v>44</v>
      </c>
      <c r="J24" s="194">
        <v>77</v>
      </c>
      <c r="K24" s="195"/>
      <c r="L24" s="209">
        <v>11</v>
      </c>
      <c r="M24" s="196">
        <v>6.9</v>
      </c>
      <c r="N24" s="189"/>
      <c r="O24" s="189"/>
      <c r="P24" s="189"/>
      <c r="Q24" s="189"/>
      <c r="R24" s="189"/>
    </row>
    <row r="25" spans="1:18" ht="15" customHeight="1" x14ac:dyDescent="0.15">
      <c r="A25" s="197" t="s">
        <v>96</v>
      </c>
      <c r="B25" s="198">
        <v>2</v>
      </c>
      <c r="C25" s="199">
        <v>3</v>
      </c>
      <c r="D25" s="198">
        <v>25</v>
      </c>
      <c r="E25" s="198">
        <v>61</v>
      </c>
      <c r="F25" s="198">
        <v>84</v>
      </c>
      <c r="G25" s="200">
        <v>0</v>
      </c>
      <c r="H25" s="201">
        <v>1</v>
      </c>
      <c r="I25" s="201">
        <v>10</v>
      </c>
      <c r="J25" s="201">
        <v>23</v>
      </c>
      <c r="K25" s="202"/>
      <c r="L25" s="203">
        <v>24</v>
      </c>
      <c r="M25" s="203">
        <v>12</v>
      </c>
      <c r="N25" s="189"/>
      <c r="O25" s="189"/>
      <c r="P25" s="189"/>
      <c r="Q25" s="189"/>
      <c r="R25" s="189"/>
    </row>
    <row r="26" spans="1:18" ht="15" customHeight="1" x14ac:dyDescent="0.15">
      <c r="A26" s="197" t="s">
        <v>95</v>
      </c>
      <c r="B26" s="198">
        <v>5</v>
      </c>
      <c r="C26" s="199">
        <v>6</v>
      </c>
      <c r="D26" s="198">
        <v>29</v>
      </c>
      <c r="E26" s="198">
        <v>67</v>
      </c>
      <c r="F26" s="198">
        <v>89</v>
      </c>
      <c r="G26" s="200">
        <v>0</v>
      </c>
      <c r="H26" s="201">
        <v>2</v>
      </c>
      <c r="I26" s="201">
        <v>12</v>
      </c>
      <c r="J26" s="201">
        <v>24</v>
      </c>
      <c r="K26" s="202"/>
      <c r="L26" s="203">
        <v>17</v>
      </c>
      <c r="M26" s="204">
        <v>9.6</v>
      </c>
      <c r="N26" s="189"/>
      <c r="O26" s="189"/>
      <c r="P26" s="189"/>
      <c r="Q26" s="189"/>
      <c r="R26" s="189"/>
    </row>
    <row r="27" spans="1:18" ht="15" customHeight="1" x14ac:dyDescent="0.15">
      <c r="A27" s="197" t="s">
        <v>89</v>
      </c>
      <c r="B27" s="198">
        <v>15</v>
      </c>
      <c r="C27" s="199">
        <v>16</v>
      </c>
      <c r="D27" s="198">
        <v>21</v>
      </c>
      <c r="E27" s="198">
        <v>27</v>
      </c>
      <c r="F27" s="198">
        <v>30</v>
      </c>
      <c r="G27" s="200">
        <v>0</v>
      </c>
      <c r="H27" s="201">
        <v>7</v>
      </c>
      <c r="I27" s="201">
        <v>9</v>
      </c>
      <c r="J27" s="201">
        <v>8</v>
      </c>
      <c r="K27" s="202"/>
      <c r="L27" s="204">
        <v>2.9</v>
      </c>
      <c r="M27" s="204">
        <v>2.2000000000000002</v>
      </c>
      <c r="N27" s="189"/>
      <c r="O27" s="189"/>
      <c r="P27" s="189"/>
      <c r="Q27" s="189"/>
      <c r="R27" s="189"/>
    </row>
    <row r="28" spans="1:18" ht="15" customHeight="1" x14ac:dyDescent="0.15">
      <c r="A28" s="197" t="s">
        <v>335</v>
      </c>
      <c r="B28" s="198">
        <v>9</v>
      </c>
      <c r="C28" s="199">
        <v>10</v>
      </c>
      <c r="D28" s="198">
        <v>18</v>
      </c>
      <c r="E28" s="198">
        <v>35</v>
      </c>
      <c r="F28" s="198">
        <v>39</v>
      </c>
      <c r="G28" s="200">
        <v>0</v>
      </c>
      <c r="H28" s="201">
        <v>4</v>
      </c>
      <c r="I28" s="201">
        <v>8</v>
      </c>
      <c r="J28" s="201">
        <v>10</v>
      </c>
      <c r="K28" s="202"/>
      <c r="L28" s="204">
        <v>6.3</v>
      </c>
      <c r="M28" s="204">
        <v>4.5999999999999996</v>
      </c>
      <c r="N28" s="189"/>
      <c r="O28" s="189"/>
      <c r="P28" s="189"/>
      <c r="Q28" s="189"/>
      <c r="R28" s="189"/>
    </row>
    <row r="29" spans="1:18" ht="15" customHeight="1" x14ac:dyDescent="0.15">
      <c r="A29" s="197" t="s">
        <v>126</v>
      </c>
      <c r="B29" s="198">
        <v>4</v>
      </c>
      <c r="C29" s="199">
        <v>4</v>
      </c>
      <c r="D29" s="198">
        <v>14</v>
      </c>
      <c r="E29" s="198">
        <v>30</v>
      </c>
      <c r="F29" s="198">
        <v>42</v>
      </c>
      <c r="G29" s="200">
        <v>0</v>
      </c>
      <c r="H29" s="201">
        <v>2</v>
      </c>
      <c r="I29" s="201">
        <v>6</v>
      </c>
      <c r="J29" s="201">
        <v>11</v>
      </c>
      <c r="K29" s="202"/>
      <c r="L29" s="203">
        <v>14</v>
      </c>
      <c r="M29" s="204">
        <v>8.5</v>
      </c>
      <c r="N29" s="189"/>
      <c r="O29" s="189"/>
      <c r="P29" s="189"/>
      <c r="Q29" s="189"/>
      <c r="R29" s="189"/>
    </row>
    <row r="30" spans="1:18" ht="15" customHeight="1" x14ac:dyDescent="0.15">
      <c r="A30" s="190" t="s">
        <v>99</v>
      </c>
      <c r="B30" s="191">
        <v>0</v>
      </c>
      <c r="C30" s="192">
        <v>0</v>
      </c>
      <c r="D30" s="191">
        <v>5</v>
      </c>
      <c r="E30" s="191">
        <v>11</v>
      </c>
      <c r="F30" s="191">
        <v>11</v>
      </c>
      <c r="G30" s="193">
        <v>0</v>
      </c>
      <c r="H30" s="194">
        <v>0</v>
      </c>
      <c r="I30" s="194">
        <v>2</v>
      </c>
      <c r="J30" s="194">
        <v>3</v>
      </c>
      <c r="K30" s="195"/>
      <c r="L30" s="206" t="s">
        <v>328</v>
      </c>
      <c r="M30" s="206" t="s">
        <v>328</v>
      </c>
      <c r="N30" s="189"/>
      <c r="O30" s="189"/>
      <c r="P30" s="189"/>
      <c r="Q30" s="189"/>
      <c r="R30" s="189"/>
    </row>
    <row r="31" spans="1:18" ht="15" customHeight="1" x14ac:dyDescent="0.15">
      <c r="A31" s="190" t="s">
        <v>10</v>
      </c>
      <c r="B31" s="191">
        <v>0</v>
      </c>
      <c r="C31" s="192">
        <v>0</v>
      </c>
      <c r="D31" s="191">
        <v>1</v>
      </c>
      <c r="E31" s="191">
        <v>2</v>
      </c>
      <c r="F31" s="191">
        <v>2</v>
      </c>
      <c r="G31" s="193">
        <v>0</v>
      </c>
      <c r="H31" s="194">
        <v>0</v>
      </c>
      <c r="I31" s="208">
        <v>0</v>
      </c>
      <c r="J31" s="208">
        <v>0</v>
      </c>
      <c r="K31" s="195"/>
      <c r="L31" s="206" t="s">
        <v>328</v>
      </c>
      <c r="M31" s="206" t="s">
        <v>328</v>
      </c>
      <c r="N31" s="189"/>
      <c r="O31" s="189"/>
      <c r="P31" s="189"/>
      <c r="Q31" s="189"/>
      <c r="R31" s="189"/>
    </row>
    <row r="32" spans="1:18" ht="15" customHeight="1" x14ac:dyDescent="0.15">
      <c r="A32" s="190" t="s">
        <v>87</v>
      </c>
      <c r="B32" s="191">
        <v>30</v>
      </c>
      <c r="C32" s="192">
        <v>29</v>
      </c>
      <c r="D32" s="191">
        <v>41</v>
      </c>
      <c r="E32" s="191">
        <v>54</v>
      </c>
      <c r="F32" s="191">
        <v>61</v>
      </c>
      <c r="G32" s="193">
        <v>0</v>
      </c>
      <c r="H32" s="194">
        <v>13</v>
      </c>
      <c r="I32" s="194">
        <v>17</v>
      </c>
      <c r="J32" s="194">
        <v>16</v>
      </c>
      <c r="K32" s="195"/>
      <c r="L32" s="196">
        <v>3.5</v>
      </c>
      <c r="M32" s="196">
        <v>2.4</v>
      </c>
      <c r="N32" s="189"/>
      <c r="O32" s="189"/>
      <c r="P32" s="189"/>
      <c r="Q32" s="189"/>
      <c r="R32" s="189"/>
    </row>
    <row r="33" spans="1:27" ht="15" customHeight="1" x14ac:dyDescent="0.15">
      <c r="A33" s="190" t="s">
        <v>329</v>
      </c>
      <c r="B33" s="191">
        <v>56</v>
      </c>
      <c r="C33" s="192">
        <v>55</v>
      </c>
      <c r="D33" s="191">
        <v>49</v>
      </c>
      <c r="E33" s="191">
        <v>4</v>
      </c>
      <c r="F33" s="191">
        <v>2</v>
      </c>
      <c r="G33" s="193">
        <v>0</v>
      </c>
      <c r="H33" s="194">
        <v>24</v>
      </c>
      <c r="I33" s="194">
        <v>21</v>
      </c>
      <c r="J33" s="208">
        <v>0</v>
      </c>
      <c r="K33" s="195"/>
      <c r="L33" s="196">
        <v>-1.1000000000000001</v>
      </c>
      <c r="M33" s="209">
        <v>-11</v>
      </c>
      <c r="N33" s="189"/>
      <c r="O33" s="189"/>
      <c r="P33" s="189"/>
      <c r="Q33" s="189"/>
      <c r="R33" s="189"/>
    </row>
    <row r="34" spans="1:27" ht="15" customHeight="1" x14ac:dyDescent="0.15">
      <c r="A34" s="190" t="s">
        <v>330</v>
      </c>
      <c r="B34" s="191">
        <v>0</v>
      </c>
      <c r="C34" s="192">
        <v>0</v>
      </c>
      <c r="D34" s="191">
        <v>1</v>
      </c>
      <c r="E34" s="191">
        <v>5</v>
      </c>
      <c r="F34" s="191">
        <v>5</v>
      </c>
      <c r="G34" s="193">
        <v>0</v>
      </c>
      <c r="H34" s="194">
        <v>0</v>
      </c>
      <c r="I34" s="194">
        <v>1</v>
      </c>
      <c r="J34" s="194">
        <v>1</v>
      </c>
      <c r="K34" s="195"/>
      <c r="L34" s="206" t="s">
        <v>328</v>
      </c>
      <c r="M34" s="206" t="s">
        <v>328</v>
      </c>
      <c r="N34" s="189"/>
      <c r="O34" s="189"/>
      <c r="P34" s="189"/>
      <c r="Q34" s="189"/>
      <c r="R34" s="189"/>
    </row>
    <row r="35" spans="1:27" ht="15" customHeight="1" x14ac:dyDescent="0.15">
      <c r="A35" s="190" t="s">
        <v>84</v>
      </c>
      <c r="B35" s="191">
        <v>9</v>
      </c>
      <c r="C35" s="192">
        <v>8</v>
      </c>
      <c r="D35" s="191">
        <v>2</v>
      </c>
      <c r="E35" s="226">
        <v>0</v>
      </c>
      <c r="F35" s="226">
        <v>0</v>
      </c>
      <c r="G35" s="193">
        <v>0</v>
      </c>
      <c r="H35" s="194">
        <v>4</v>
      </c>
      <c r="I35" s="194">
        <v>1</v>
      </c>
      <c r="J35" s="208">
        <v>0</v>
      </c>
      <c r="K35" s="195"/>
      <c r="L35" s="209">
        <v>-12</v>
      </c>
      <c r="M35" s="209">
        <v>-14</v>
      </c>
      <c r="N35" s="189"/>
      <c r="O35" s="189"/>
      <c r="P35" s="189"/>
      <c r="Q35" s="189"/>
      <c r="R35" s="189"/>
    </row>
    <row r="36" spans="1:27" ht="15" customHeight="1" x14ac:dyDescent="0.15">
      <c r="A36" s="190" t="s">
        <v>332</v>
      </c>
      <c r="B36" s="191">
        <v>102</v>
      </c>
      <c r="C36" s="192">
        <v>100</v>
      </c>
      <c r="D36" s="191">
        <v>30</v>
      </c>
      <c r="E36" s="226">
        <v>0</v>
      </c>
      <c r="F36" s="226">
        <v>0</v>
      </c>
      <c r="G36" s="193">
        <v>0</v>
      </c>
      <c r="H36" s="194">
        <v>43</v>
      </c>
      <c r="I36" s="194">
        <v>12</v>
      </c>
      <c r="J36" s="208">
        <v>0</v>
      </c>
      <c r="K36" s="195"/>
      <c r="L36" s="209">
        <v>-11</v>
      </c>
      <c r="M36" s="209">
        <v>-34</v>
      </c>
      <c r="N36" s="189"/>
      <c r="O36" s="189"/>
      <c r="P36" s="189"/>
      <c r="Q36" s="189"/>
      <c r="R36" s="189"/>
    </row>
    <row r="37" spans="1:27" ht="15" customHeight="1" x14ac:dyDescent="0.15">
      <c r="A37" s="227" t="s">
        <v>333</v>
      </c>
      <c r="B37" s="211">
        <v>0</v>
      </c>
      <c r="C37" s="212">
        <v>0</v>
      </c>
      <c r="D37" s="213">
        <v>3</v>
      </c>
      <c r="E37" s="213">
        <v>10</v>
      </c>
      <c r="F37" s="213">
        <v>7</v>
      </c>
      <c r="G37" s="214">
        <v>0</v>
      </c>
      <c r="H37" s="215">
        <v>0</v>
      </c>
      <c r="I37" s="216">
        <v>1</v>
      </c>
      <c r="J37" s="216">
        <v>2</v>
      </c>
      <c r="K37" s="217"/>
      <c r="L37" s="218">
        <v>55</v>
      </c>
      <c r="M37" s="218">
        <v>19</v>
      </c>
      <c r="N37" s="189"/>
      <c r="O37" s="189"/>
      <c r="P37" s="189"/>
      <c r="Q37" s="189"/>
      <c r="R37" s="189"/>
    </row>
    <row r="38" spans="1:27" ht="15" customHeight="1" x14ac:dyDescent="0.15">
      <c r="A38" s="183" t="s">
        <v>336</v>
      </c>
      <c r="B38" s="184">
        <v>57</v>
      </c>
      <c r="C38" s="184">
        <v>57</v>
      </c>
      <c r="D38" s="184">
        <v>61</v>
      </c>
      <c r="E38" s="184">
        <v>76</v>
      </c>
      <c r="F38" s="184">
        <v>91</v>
      </c>
      <c r="G38" s="185">
        <v>0</v>
      </c>
      <c r="H38" s="186">
        <v>100</v>
      </c>
      <c r="I38" s="186">
        <v>100</v>
      </c>
      <c r="J38" s="186">
        <v>100</v>
      </c>
      <c r="K38" s="187"/>
      <c r="L38" s="188">
        <v>0.7</v>
      </c>
      <c r="M38" s="225">
        <v>1.5</v>
      </c>
      <c r="N38" s="189"/>
      <c r="O38" s="189"/>
      <c r="P38" s="189"/>
      <c r="Q38" s="189"/>
      <c r="R38" s="189"/>
    </row>
    <row r="39" spans="1:27" ht="15" customHeight="1" x14ac:dyDescent="0.15">
      <c r="A39" s="190" t="s">
        <v>337</v>
      </c>
      <c r="B39" s="191">
        <v>0</v>
      </c>
      <c r="C39" s="228">
        <v>0</v>
      </c>
      <c r="D39" s="191">
        <v>21</v>
      </c>
      <c r="E39" s="191">
        <v>49</v>
      </c>
      <c r="F39" s="191">
        <v>70</v>
      </c>
      <c r="G39" s="193">
        <v>0</v>
      </c>
      <c r="H39" s="229">
        <v>0</v>
      </c>
      <c r="I39" s="194">
        <v>35</v>
      </c>
      <c r="J39" s="194">
        <v>77</v>
      </c>
      <c r="K39" s="195"/>
      <c r="L39" s="209">
        <v>66</v>
      </c>
      <c r="M39" s="209">
        <v>23</v>
      </c>
      <c r="N39" s="189"/>
      <c r="O39" s="189"/>
      <c r="P39" s="189"/>
      <c r="Q39" s="189"/>
      <c r="R39" s="189"/>
    </row>
    <row r="40" spans="1:27" s="237" customFormat="1" ht="15" customHeight="1" thickBot="1" x14ac:dyDescent="0.2">
      <c r="A40" s="230" t="s">
        <v>338</v>
      </c>
      <c r="B40" s="231">
        <v>5</v>
      </c>
      <c r="C40" s="232">
        <v>6</v>
      </c>
      <c r="D40" s="231">
        <v>12</v>
      </c>
      <c r="E40" s="231">
        <v>15</v>
      </c>
      <c r="F40" s="231">
        <v>12</v>
      </c>
      <c r="G40" s="233">
        <v>0</v>
      </c>
      <c r="H40" s="234">
        <v>10</v>
      </c>
      <c r="I40" s="234">
        <v>20</v>
      </c>
      <c r="J40" s="234">
        <v>13</v>
      </c>
      <c r="K40" s="235"/>
      <c r="L40" s="236">
        <v>8.3000000000000007</v>
      </c>
      <c r="M40" s="236">
        <v>2.7</v>
      </c>
      <c r="N40" s="189"/>
      <c r="O40" s="189"/>
      <c r="P40" s="189"/>
      <c r="Q40" s="189"/>
      <c r="R40" s="189"/>
    </row>
    <row r="41" spans="1:27" s="165" customFormat="1" ht="42.75" customHeight="1" x14ac:dyDescent="0.15">
      <c r="A41" s="682" t="s">
        <v>339</v>
      </c>
      <c r="B41" s="682"/>
      <c r="C41" s="682"/>
      <c r="D41" s="682"/>
      <c r="E41" s="682"/>
      <c r="F41" s="682"/>
      <c r="G41" s="682"/>
      <c r="H41" s="682"/>
      <c r="I41" s="682"/>
      <c r="J41" s="682"/>
      <c r="K41" s="682"/>
      <c r="L41" s="682"/>
      <c r="M41" s="682"/>
    </row>
    <row r="42" spans="1:27" s="169" customFormat="1" ht="12" customHeight="1" x14ac:dyDescent="0.15">
      <c r="A42" s="166"/>
      <c r="B42" s="167" t="s">
        <v>314</v>
      </c>
      <c r="C42" s="167" t="s">
        <v>314</v>
      </c>
      <c r="D42" s="167" t="s">
        <v>314</v>
      </c>
      <c r="E42" s="167" t="s">
        <v>314</v>
      </c>
      <c r="F42" s="167" t="s">
        <v>314</v>
      </c>
      <c r="G42" s="167"/>
      <c r="H42" s="166"/>
      <c r="I42" s="166"/>
      <c r="J42" s="166"/>
      <c r="K42" s="166"/>
      <c r="L42" s="168">
        <v>10</v>
      </c>
      <c r="M42" s="168">
        <v>30</v>
      </c>
    </row>
    <row r="43" spans="1:27" s="173" customFormat="1" ht="12" customHeight="1" x14ac:dyDescent="0.15">
      <c r="A43" s="170" t="s">
        <v>315</v>
      </c>
      <c r="B43" s="171"/>
      <c r="C43" s="238"/>
      <c r="D43" s="238"/>
      <c r="E43" s="238"/>
      <c r="F43" s="238"/>
      <c r="G43" s="238"/>
      <c r="H43" s="238"/>
      <c r="I43" s="238"/>
      <c r="J43" s="238"/>
      <c r="K43" s="238"/>
      <c r="L43" s="238"/>
      <c r="M43" s="238"/>
    </row>
    <row r="44" spans="1:27" ht="15" customHeight="1" x14ac:dyDescent="0.15">
      <c r="A44" s="174"/>
      <c r="B44" s="175" t="s">
        <v>340</v>
      </c>
      <c r="C44" s="175"/>
      <c r="D44" s="175"/>
      <c r="E44" s="175"/>
      <c r="F44" s="175"/>
      <c r="G44" s="175"/>
      <c r="H44" s="176" t="s">
        <v>317</v>
      </c>
      <c r="I44" s="176"/>
      <c r="J44" s="177"/>
      <c r="K44" s="177"/>
      <c r="L44" s="176" t="s">
        <v>341</v>
      </c>
      <c r="M44" s="176"/>
      <c r="O44" s="174"/>
      <c r="P44" s="175" t="s">
        <v>340</v>
      </c>
      <c r="Q44" s="175"/>
      <c r="R44" s="175"/>
      <c r="S44" s="175"/>
      <c r="T44" s="175"/>
      <c r="U44" s="175"/>
      <c r="V44" s="176" t="s">
        <v>317</v>
      </c>
      <c r="W44" s="176"/>
      <c r="X44" s="177"/>
      <c r="Y44" s="177"/>
      <c r="Z44" s="176" t="s">
        <v>341</v>
      </c>
      <c r="AA44" s="176"/>
    </row>
    <row r="45" spans="1:27" ht="26" x14ac:dyDescent="0.15">
      <c r="A45" s="179"/>
      <c r="B45" s="180">
        <v>2019</v>
      </c>
      <c r="C45" s="180">
        <v>2020</v>
      </c>
      <c r="D45" s="180">
        <v>2030</v>
      </c>
      <c r="E45" s="180">
        <v>2040</v>
      </c>
      <c r="F45" s="180">
        <v>2050</v>
      </c>
      <c r="G45" s="239"/>
      <c r="H45" s="180">
        <v>2020</v>
      </c>
      <c r="I45" s="180">
        <v>2030</v>
      </c>
      <c r="J45" s="180">
        <v>2050</v>
      </c>
      <c r="K45" s="240"/>
      <c r="L45" s="182" t="s">
        <v>319</v>
      </c>
      <c r="M45" s="182" t="s">
        <v>320</v>
      </c>
      <c r="O45" s="179"/>
      <c r="P45" s="180">
        <v>2019</v>
      </c>
      <c r="Q45" s="180">
        <v>2020</v>
      </c>
      <c r="R45" s="180">
        <v>2030</v>
      </c>
      <c r="S45" s="180">
        <v>2040</v>
      </c>
      <c r="T45" s="180">
        <v>2050</v>
      </c>
      <c r="U45" s="239"/>
      <c r="V45" s="180">
        <v>2020</v>
      </c>
      <c r="W45" s="180">
        <v>2030</v>
      </c>
      <c r="X45" s="180">
        <v>2050</v>
      </c>
      <c r="Y45" s="240"/>
      <c r="Z45" s="182" t="s">
        <v>319</v>
      </c>
      <c r="AA45" s="182" t="s">
        <v>320</v>
      </c>
    </row>
    <row r="46" spans="1:27" ht="15" customHeight="1" x14ac:dyDescent="0.15">
      <c r="A46" s="183" t="s">
        <v>342</v>
      </c>
      <c r="B46" s="184">
        <v>435</v>
      </c>
      <c r="C46" s="184">
        <v>412</v>
      </c>
      <c r="D46" s="184">
        <v>394</v>
      </c>
      <c r="E46" s="184">
        <v>363</v>
      </c>
      <c r="F46" s="184">
        <v>344</v>
      </c>
      <c r="G46" s="185">
        <v>0</v>
      </c>
      <c r="H46" s="186">
        <v>100</v>
      </c>
      <c r="I46" s="186">
        <v>100</v>
      </c>
      <c r="J46" s="186">
        <v>100</v>
      </c>
      <c r="K46" s="241">
        <v>0</v>
      </c>
      <c r="L46" s="242">
        <v>-0.4</v>
      </c>
      <c r="M46" s="188">
        <v>-0.6</v>
      </c>
      <c r="O46" s="183" t="s">
        <v>120</v>
      </c>
      <c r="P46" s="184">
        <v>122</v>
      </c>
      <c r="Q46" s="184">
        <v>105</v>
      </c>
      <c r="R46" s="184">
        <v>102</v>
      </c>
      <c r="S46" s="184">
        <v>85</v>
      </c>
      <c r="T46" s="184">
        <v>80</v>
      </c>
      <c r="U46" s="185">
        <v>0</v>
      </c>
      <c r="V46" s="186">
        <v>100</v>
      </c>
      <c r="W46" s="186">
        <v>100</v>
      </c>
      <c r="X46" s="186">
        <v>100</v>
      </c>
      <c r="Y46" s="241">
        <v>0</v>
      </c>
      <c r="Z46" s="242">
        <v>-0.3</v>
      </c>
      <c r="AA46" s="188">
        <v>-0.9</v>
      </c>
    </row>
    <row r="47" spans="1:27" ht="15" customHeight="1" x14ac:dyDescent="0.15">
      <c r="A47" s="190" t="s">
        <v>37</v>
      </c>
      <c r="B47" s="191">
        <v>82</v>
      </c>
      <c r="C47" s="192">
        <v>81</v>
      </c>
      <c r="D47" s="191">
        <v>103</v>
      </c>
      <c r="E47" s="191">
        <v>140</v>
      </c>
      <c r="F47" s="191">
        <v>169</v>
      </c>
      <c r="G47" s="193">
        <v>0</v>
      </c>
      <c r="H47" s="194">
        <v>20</v>
      </c>
      <c r="I47" s="194">
        <v>26</v>
      </c>
      <c r="J47" s="194">
        <v>49</v>
      </c>
      <c r="K47" s="243">
        <v>0</v>
      </c>
      <c r="L47" s="244">
        <v>2.4</v>
      </c>
      <c r="M47" s="196">
        <v>2.5</v>
      </c>
      <c r="O47" s="190" t="s">
        <v>37</v>
      </c>
      <c r="P47" s="191">
        <v>1</v>
      </c>
      <c r="Q47" s="192">
        <v>1</v>
      </c>
      <c r="R47" s="191">
        <v>7</v>
      </c>
      <c r="S47" s="191">
        <v>22</v>
      </c>
      <c r="T47" s="191">
        <v>35</v>
      </c>
      <c r="U47" s="193">
        <v>0</v>
      </c>
      <c r="V47" s="194">
        <v>1</v>
      </c>
      <c r="W47" s="194">
        <v>7</v>
      </c>
      <c r="X47" s="194">
        <v>44</v>
      </c>
      <c r="Y47" s="243">
        <v>0</v>
      </c>
      <c r="Z47" s="245">
        <v>17</v>
      </c>
      <c r="AA47" s="209">
        <v>11</v>
      </c>
    </row>
    <row r="48" spans="1:27" ht="15" customHeight="1" x14ac:dyDescent="0.15">
      <c r="A48" s="190" t="s">
        <v>343</v>
      </c>
      <c r="B48" s="191">
        <v>175</v>
      </c>
      <c r="C48" s="192">
        <v>158</v>
      </c>
      <c r="D48" s="191">
        <v>143</v>
      </c>
      <c r="E48" s="191">
        <v>96</v>
      </c>
      <c r="F48" s="191">
        <v>66</v>
      </c>
      <c r="G48" s="193">
        <v>0</v>
      </c>
      <c r="H48" s="194">
        <v>38</v>
      </c>
      <c r="I48" s="194">
        <v>36</v>
      </c>
      <c r="J48" s="194">
        <v>19</v>
      </c>
      <c r="K48" s="243">
        <v>0</v>
      </c>
      <c r="L48" s="244">
        <v>-1</v>
      </c>
      <c r="M48" s="196">
        <v>-2.9</v>
      </c>
      <c r="O48" s="190" t="s">
        <v>343</v>
      </c>
      <c r="P48" s="191">
        <v>115</v>
      </c>
      <c r="Q48" s="192">
        <v>99</v>
      </c>
      <c r="R48" s="191">
        <v>89</v>
      </c>
      <c r="S48" s="191">
        <v>53</v>
      </c>
      <c r="T48" s="191">
        <v>30</v>
      </c>
      <c r="U48" s="193">
        <v>0</v>
      </c>
      <c r="V48" s="194">
        <v>94</v>
      </c>
      <c r="W48" s="194">
        <v>87</v>
      </c>
      <c r="X48" s="194">
        <v>38</v>
      </c>
      <c r="Y48" s="243">
        <v>0</v>
      </c>
      <c r="Z48" s="244">
        <v>-1</v>
      </c>
      <c r="AA48" s="196">
        <v>-3.9</v>
      </c>
    </row>
    <row r="49" spans="1:27" s="237" customFormat="1" ht="15" customHeight="1" x14ac:dyDescent="0.15">
      <c r="A49" s="197" t="s">
        <v>344</v>
      </c>
      <c r="B49" s="198">
        <v>4</v>
      </c>
      <c r="C49" s="199">
        <v>3</v>
      </c>
      <c r="D49" s="198">
        <v>12</v>
      </c>
      <c r="E49" s="198">
        <v>14</v>
      </c>
      <c r="F49" s="198">
        <v>15</v>
      </c>
      <c r="G49" s="200">
        <v>0</v>
      </c>
      <c r="H49" s="201">
        <v>1</v>
      </c>
      <c r="I49" s="201">
        <v>3</v>
      </c>
      <c r="J49" s="201">
        <v>4</v>
      </c>
      <c r="K49" s="246">
        <v>0</v>
      </c>
      <c r="L49" s="247">
        <v>14</v>
      </c>
      <c r="M49" s="204">
        <v>4.9000000000000004</v>
      </c>
      <c r="N49" s="178"/>
      <c r="O49" s="248" t="s">
        <v>344</v>
      </c>
      <c r="P49" s="198">
        <v>4.0244064331054688</v>
      </c>
      <c r="Q49" s="199">
        <v>3.2081572423173834</v>
      </c>
      <c r="R49" s="198">
        <v>11.46739387512207</v>
      </c>
      <c r="S49" s="198">
        <v>11.951639175415039</v>
      </c>
      <c r="T49" s="198">
        <v>11.377335548400879</v>
      </c>
      <c r="U49" s="200"/>
      <c r="V49" s="201">
        <v>3.0482218097411815</v>
      </c>
      <c r="W49" s="201">
        <v>11.203995858174608</v>
      </c>
      <c r="X49" s="201">
        <v>14.302939984053603</v>
      </c>
      <c r="Y49" s="246"/>
      <c r="Z49" s="247">
        <v>13.584980636978461</v>
      </c>
      <c r="AA49" s="204">
        <v>4.3100525069406537</v>
      </c>
    </row>
    <row r="50" spans="1:27" s="237" customFormat="1" ht="15" customHeight="1" x14ac:dyDescent="0.15">
      <c r="A50" s="197" t="s">
        <v>10</v>
      </c>
      <c r="B50" s="198">
        <v>0</v>
      </c>
      <c r="C50" s="199">
        <v>0</v>
      </c>
      <c r="D50" s="198">
        <v>1</v>
      </c>
      <c r="E50" s="198">
        <v>3</v>
      </c>
      <c r="F50" s="198">
        <v>5</v>
      </c>
      <c r="G50" s="200">
        <v>0</v>
      </c>
      <c r="H50" s="201">
        <v>0</v>
      </c>
      <c r="I50" s="205">
        <v>0</v>
      </c>
      <c r="J50" s="201">
        <v>1</v>
      </c>
      <c r="K50" s="246">
        <v>0</v>
      </c>
      <c r="L50" s="249" t="s">
        <v>345</v>
      </c>
      <c r="M50" s="250" t="s">
        <v>345</v>
      </c>
      <c r="N50" s="178"/>
      <c r="O50" s="248" t="s">
        <v>84</v>
      </c>
      <c r="P50" s="198">
        <v>111</v>
      </c>
      <c r="Q50" s="199">
        <v>96</v>
      </c>
      <c r="R50" s="198">
        <v>76</v>
      </c>
      <c r="S50" s="198">
        <v>35</v>
      </c>
      <c r="T50" s="198">
        <v>9</v>
      </c>
      <c r="U50" s="200">
        <v>0</v>
      </c>
      <c r="V50" s="201">
        <v>91</v>
      </c>
      <c r="W50" s="201">
        <v>74</v>
      </c>
      <c r="X50" s="201">
        <v>12</v>
      </c>
      <c r="Y50" s="246">
        <v>0</v>
      </c>
      <c r="Z50" s="251">
        <v>-2.2000000000000002</v>
      </c>
      <c r="AA50" s="204">
        <v>-7.4</v>
      </c>
    </row>
    <row r="51" spans="1:27" s="237" customFormat="1" ht="15" customHeight="1" x14ac:dyDescent="0.15">
      <c r="A51" s="197" t="s">
        <v>346</v>
      </c>
      <c r="B51" s="198">
        <v>0</v>
      </c>
      <c r="C51" s="199">
        <v>0</v>
      </c>
      <c r="D51" s="252">
        <v>0</v>
      </c>
      <c r="E51" s="198">
        <v>2</v>
      </c>
      <c r="F51" s="198">
        <v>5</v>
      </c>
      <c r="G51" s="200">
        <v>0</v>
      </c>
      <c r="H51" s="201">
        <v>0</v>
      </c>
      <c r="I51" s="205">
        <v>0</v>
      </c>
      <c r="J51" s="201">
        <v>1</v>
      </c>
      <c r="K51" s="246">
        <v>0</v>
      </c>
      <c r="L51" s="249" t="s">
        <v>345</v>
      </c>
      <c r="M51" s="250" t="s">
        <v>345</v>
      </c>
      <c r="N51" s="178"/>
      <c r="O51" s="190" t="s">
        <v>347</v>
      </c>
      <c r="P51" s="191">
        <v>5</v>
      </c>
      <c r="Q51" s="192">
        <v>5</v>
      </c>
      <c r="R51" s="191">
        <v>6</v>
      </c>
      <c r="S51" s="191">
        <v>10</v>
      </c>
      <c r="T51" s="191">
        <v>15</v>
      </c>
      <c r="U51" s="193">
        <v>0</v>
      </c>
      <c r="V51" s="194">
        <v>5</v>
      </c>
      <c r="W51" s="194">
        <v>6</v>
      </c>
      <c r="X51" s="194">
        <v>18</v>
      </c>
      <c r="Y51" s="243">
        <v>0</v>
      </c>
      <c r="Z51" s="244">
        <v>2.1</v>
      </c>
      <c r="AA51" s="196">
        <v>3.7</v>
      </c>
    </row>
    <row r="52" spans="1:27" s="237" customFormat="1" ht="15" customHeight="1" x14ac:dyDescent="0.15">
      <c r="A52" s="197" t="s">
        <v>84</v>
      </c>
      <c r="B52" s="198">
        <v>171</v>
      </c>
      <c r="C52" s="199">
        <v>154</v>
      </c>
      <c r="D52" s="198">
        <v>129</v>
      </c>
      <c r="E52" s="198">
        <v>77</v>
      </c>
      <c r="F52" s="198">
        <v>42</v>
      </c>
      <c r="G52" s="200">
        <v>0</v>
      </c>
      <c r="H52" s="201">
        <v>37</v>
      </c>
      <c r="I52" s="201">
        <v>33</v>
      </c>
      <c r="J52" s="201">
        <v>12</v>
      </c>
      <c r="K52" s="246">
        <v>0</v>
      </c>
      <c r="L52" s="251">
        <v>-1.8</v>
      </c>
      <c r="M52" s="204">
        <v>-4.2</v>
      </c>
      <c r="N52" s="178"/>
      <c r="O52" s="197" t="s">
        <v>348</v>
      </c>
      <c r="P52" s="253">
        <v>0</v>
      </c>
      <c r="Q52" s="254">
        <v>0</v>
      </c>
      <c r="R52" s="198">
        <v>1</v>
      </c>
      <c r="S52" s="198">
        <v>1</v>
      </c>
      <c r="T52" s="198">
        <v>2</v>
      </c>
      <c r="U52" s="200">
        <v>0</v>
      </c>
      <c r="V52" s="255">
        <v>0</v>
      </c>
      <c r="W52" s="255">
        <v>0</v>
      </c>
      <c r="X52" s="201">
        <v>2</v>
      </c>
      <c r="Y52" s="246">
        <v>0</v>
      </c>
      <c r="Z52" s="247">
        <v>23</v>
      </c>
      <c r="AA52" s="203">
        <v>11</v>
      </c>
    </row>
    <row r="53" spans="1:27" ht="15" customHeight="1" x14ac:dyDescent="0.15">
      <c r="A53" s="190" t="s">
        <v>347</v>
      </c>
      <c r="B53" s="191">
        <v>70</v>
      </c>
      <c r="C53" s="192">
        <v>68</v>
      </c>
      <c r="D53" s="191">
        <v>68</v>
      </c>
      <c r="E53" s="191">
        <v>60</v>
      </c>
      <c r="F53" s="191">
        <v>53</v>
      </c>
      <c r="G53" s="193">
        <v>0</v>
      </c>
      <c r="H53" s="194">
        <v>16</v>
      </c>
      <c r="I53" s="194">
        <v>17</v>
      </c>
      <c r="J53" s="194">
        <v>15</v>
      </c>
      <c r="K53" s="243">
        <v>0</v>
      </c>
      <c r="L53" s="244">
        <v>0.1</v>
      </c>
      <c r="M53" s="196">
        <v>-0.8</v>
      </c>
      <c r="O53" s="197" t="s">
        <v>99</v>
      </c>
      <c r="P53" s="253">
        <v>0</v>
      </c>
      <c r="Q53" s="254">
        <v>0</v>
      </c>
      <c r="R53" s="198">
        <v>1</v>
      </c>
      <c r="S53" s="198">
        <v>6</v>
      </c>
      <c r="T53" s="198">
        <v>13</v>
      </c>
      <c r="U53" s="200">
        <v>0</v>
      </c>
      <c r="V53" s="255">
        <v>0</v>
      </c>
      <c r="W53" s="201">
        <v>1</v>
      </c>
      <c r="X53" s="201">
        <v>16</v>
      </c>
      <c r="Y53" s="246">
        <v>0</v>
      </c>
      <c r="Z53" s="247">
        <v>92</v>
      </c>
      <c r="AA53" s="203">
        <v>34</v>
      </c>
    </row>
    <row r="54" spans="1:27" s="237" customFormat="1" ht="15" customHeight="1" x14ac:dyDescent="0.15">
      <c r="A54" s="197" t="s">
        <v>348</v>
      </c>
      <c r="B54" s="253">
        <v>0</v>
      </c>
      <c r="C54" s="254">
        <v>0</v>
      </c>
      <c r="D54" s="198">
        <v>2</v>
      </c>
      <c r="E54" s="198">
        <v>5</v>
      </c>
      <c r="F54" s="198">
        <v>8</v>
      </c>
      <c r="G54" s="200">
        <v>0</v>
      </c>
      <c r="H54" s="255">
        <v>0</v>
      </c>
      <c r="I54" s="201">
        <v>1</v>
      </c>
      <c r="J54" s="201">
        <v>2</v>
      </c>
      <c r="K54" s="246">
        <v>0</v>
      </c>
      <c r="L54" s="247">
        <v>25</v>
      </c>
      <c r="M54" s="203">
        <v>13</v>
      </c>
      <c r="N54" s="178"/>
      <c r="O54" s="248" t="s">
        <v>86</v>
      </c>
      <c r="P54" s="198">
        <v>5</v>
      </c>
      <c r="Q54" s="199">
        <v>5</v>
      </c>
      <c r="R54" s="198">
        <v>4</v>
      </c>
      <c r="S54" s="198">
        <v>2</v>
      </c>
      <c r="T54" s="253">
        <v>0</v>
      </c>
      <c r="U54" s="200">
        <v>0</v>
      </c>
      <c r="V54" s="201">
        <v>5</v>
      </c>
      <c r="W54" s="201">
        <v>4</v>
      </c>
      <c r="X54" s="201">
        <v>0</v>
      </c>
      <c r="Y54" s="246">
        <v>0</v>
      </c>
      <c r="Z54" s="251">
        <v>-1.5</v>
      </c>
      <c r="AA54" s="203">
        <v>12</v>
      </c>
    </row>
    <row r="55" spans="1:27" s="237" customFormat="1" ht="15" customHeight="1" x14ac:dyDescent="0.15">
      <c r="A55" s="197" t="s">
        <v>99</v>
      </c>
      <c r="B55" s="253">
        <v>0</v>
      </c>
      <c r="C55" s="254">
        <v>0</v>
      </c>
      <c r="D55" s="198">
        <v>6</v>
      </c>
      <c r="E55" s="198">
        <v>12</v>
      </c>
      <c r="F55" s="198">
        <v>20</v>
      </c>
      <c r="G55" s="200">
        <v>0</v>
      </c>
      <c r="H55" s="255">
        <v>0</v>
      </c>
      <c r="I55" s="201">
        <v>2</v>
      </c>
      <c r="J55" s="201">
        <v>6</v>
      </c>
      <c r="K55" s="246">
        <v>0</v>
      </c>
      <c r="L55" s="247">
        <v>54</v>
      </c>
      <c r="M55" s="203">
        <v>20</v>
      </c>
      <c r="N55" s="178"/>
      <c r="O55" s="256" t="s">
        <v>349</v>
      </c>
      <c r="P55" s="257">
        <v>90</v>
      </c>
      <c r="Q55" s="258">
        <v>81</v>
      </c>
      <c r="R55" s="257">
        <v>73</v>
      </c>
      <c r="S55" s="257">
        <v>57</v>
      </c>
      <c r="T55" s="257">
        <v>50</v>
      </c>
      <c r="U55" s="259">
        <v>0</v>
      </c>
      <c r="V55" s="260">
        <v>77</v>
      </c>
      <c r="W55" s="260">
        <v>72</v>
      </c>
      <c r="X55" s="260">
        <v>63</v>
      </c>
      <c r="Y55" s="261">
        <v>0</v>
      </c>
      <c r="Z55" s="262">
        <v>-0.9</v>
      </c>
      <c r="AA55" s="263">
        <v>-1.6</v>
      </c>
    </row>
    <row r="56" spans="1:27" s="237" customFormat="1" ht="15" customHeight="1" x14ac:dyDescent="0.15">
      <c r="A56" s="197" t="s">
        <v>350</v>
      </c>
      <c r="B56" s="198">
        <v>0</v>
      </c>
      <c r="C56" s="199">
        <v>0</v>
      </c>
      <c r="D56" s="253">
        <v>0</v>
      </c>
      <c r="E56" s="198">
        <v>1</v>
      </c>
      <c r="F56" s="198">
        <v>4</v>
      </c>
      <c r="G56" s="200">
        <v>0</v>
      </c>
      <c r="H56" s="201">
        <v>0</v>
      </c>
      <c r="I56" s="255">
        <v>0</v>
      </c>
      <c r="J56" s="201">
        <v>1</v>
      </c>
      <c r="K56" s="246">
        <v>0</v>
      </c>
      <c r="L56" s="249" t="s">
        <v>345</v>
      </c>
      <c r="M56" s="250" t="s">
        <v>345</v>
      </c>
      <c r="N56" s="178"/>
      <c r="O56" s="248" t="s">
        <v>351</v>
      </c>
      <c r="P56" s="198">
        <v>47</v>
      </c>
      <c r="Q56" s="199">
        <v>41</v>
      </c>
      <c r="R56" s="198">
        <v>30</v>
      </c>
      <c r="S56" s="198">
        <v>19</v>
      </c>
      <c r="T56" s="198">
        <v>17</v>
      </c>
      <c r="U56" s="200">
        <v>0</v>
      </c>
      <c r="V56" s="201">
        <v>39</v>
      </c>
      <c r="W56" s="201">
        <v>29</v>
      </c>
      <c r="X56" s="201">
        <v>21</v>
      </c>
      <c r="Y56" s="246">
        <v>0</v>
      </c>
      <c r="Z56" s="251">
        <v>-3.1</v>
      </c>
      <c r="AA56" s="204">
        <v>-2.9</v>
      </c>
    </row>
    <row r="57" spans="1:27" s="237" customFormat="1" ht="15" customHeight="1" x14ac:dyDescent="0.15">
      <c r="A57" s="197" t="s">
        <v>86</v>
      </c>
      <c r="B57" s="198">
        <v>70</v>
      </c>
      <c r="C57" s="199">
        <v>67</v>
      </c>
      <c r="D57" s="198">
        <v>58</v>
      </c>
      <c r="E57" s="198">
        <v>40</v>
      </c>
      <c r="F57" s="198">
        <v>20</v>
      </c>
      <c r="G57" s="200">
        <v>0</v>
      </c>
      <c r="H57" s="201">
        <v>16</v>
      </c>
      <c r="I57" s="201">
        <v>15</v>
      </c>
      <c r="J57" s="201">
        <v>6</v>
      </c>
      <c r="K57" s="246">
        <v>0</v>
      </c>
      <c r="L57" s="251">
        <v>-1.4</v>
      </c>
      <c r="M57" s="204">
        <v>-4</v>
      </c>
      <c r="N57" s="178"/>
      <c r="O57" s="248" t="s">
        <v>352</v>
      </c>
      <c r="P57" s="198">
        <v>27</v>
      </c>
      <c r="Q57" s="199">
        <v>25</v>
      </c>
      <c r="R57" s="198">
        <v>28</v>
      </c>
      <c r="S57" s="198">
        <v>24</v>
      </c>
      <c r="T57" s="198">
        <v>22</v>
      </c>
      <c r="U57" s="200">
        <v>0</v>
      </c>
      <c r="V57" s="201">
        <v>24</v>
      </c>
      <c r="W57" s="201">
        <v>27</v>
      </c>
      <c r="X57" s="201">
        <v>28</v>
      </c>
      <c r="Y57" s="246">
        <v>0</v>
      </c>
      <c r="Z57" s="251">
        <v>1.1000000000000001</v>
      </c>
      <c r="AA57" s="204">
        <v>-0.4</v>
      </c>
    </row>
    <row r="58" spans="1:27" x14ac:dyDescent="0.15">
      <c r="A58" s="178" t="s">
        <v>353</v>
      </c>
      <c r="B58" s="189">
        <v>92</v>
      </c>
      <c r="C58" s="192">
        <v>89</v>
      </c>
      <c r="D58" s="189">
        <v>61</v>
      </c>
      <c r="E58" s="189">
        <v>46</v>
      </c>
      <c r="F58" s="189">
        <v>35</v>
      </c>
      <c r="G58" s="264">
        <v>0</v>
      </c>
      <c r="H58" s="194">
        <v>22</v>
      </c>
      <c r="I58" s="194">
        <v>16</v>
      </c>
      <c r="J58" s="194">
        <v>10</v>
      </c>
      <c r="K58" s="243">
        <v>0</v>
      </c>
      <c r="L58" s="244">
        <v>-3.6</v>
      </c>
      <c r="M58" s="196">
        <v>-3</v>
      </c>
      <c r="O58" s="265" t="s">
        <v>354</v>
      </c>
      <c r="P58" s="266">
        <v>14</v>
      </c>
      <c r="Q58" s="267">
        <v>8</v>
      </c>
      <c r="R58" s="266">
        <v>13</v>
      </c>
      <c r="S58" s="266">
        <v>13</v>
      </c>
      <c r="T58" s="266">
        <v>14</v>
      </c>
      <c r="U58" s="268">
        <v>0</v>
      </c>
      <c r="V58" s="269">
        <v>8</v>
      </c>
      <c r="W58" s="269">
        <v>13</v>
      </c>
      <c r="X58" s="269">
        <v>18</v>
      </c>
      <c r="Y58" s="270">
        <v>0</v>
      </c>
      <c r="Z58" s="271">
        <v>4.5999999999999996</v>
      </c>
      <c r="AA58" s="272">
        <v>1.7</v>
      </c>
    </row>
    <row r="59" spans="1:27" s="237" customFormat="1" ht="15" customHeight="1" x14ac:dyDescent="0.15">
      <c r="A59" s="197" t="s">
        <v>105</v>
      </c>
      <c r="B59" s="198">
        <v>39</v>
      </c>
      <c r="C59" s="199">
        <v>39</v>
      </c>
      <c r="D59" s="198">
        <v>24</v>
      </c>
      <c r="E59" s="198">
        <v>25</v>
      </c>
      <c r="F59" s="198">
        <v>25</v>
      </c>
      <c r="G59" s="200">
        <v>0</v>
      </c>
      <c r="H59" s="201">
        <v>9</v>
      </c>
      <c r="I59" s="201">
        <v>6</v>
      </c>
      <c r="J59" s="201">
        <v>7</v>
      </c>
      <c r="K59" s="246">
        <v>0</v>
      </c>
      <c r="L59" s="251">
        <v>-4.8</v>
      </c>
      <c r="M59" s="204">
        <v>-1.4</v>
      </c>
      <c r="N59" s="178"/>
      <c r="O59" s="273" t="s">
        <v>355</v>
      </c>
      <c r="P59" s="274">
        <v>12</v>
      </c>
      <c r="Q59" s="275">
        <v>11</v>
      </c>
      <c r="R59" s="274">
        <v>11</v>
      </c>
      <c r="S59" s="274">
        <v>10</v>
      </c>
      <c r="T59" s="274">
        <v>10</v>
      </c>
      <c r="U59" s="276">
        <v>0</v>
      </c>
      <c r="V59" s="277">
        <v>10</v>
      </c>
      <c r="W59" s="277">
        <v>11</v>
      </c>
      <c r="X59" s="277">
        <v>12</v>
      </c>
      <c r="Y59" s="278">
        <v>0</v>
      </c>
      <c r="Z59" s="279">
        <v>0.4</v>
      </c>
      <c r="AA59" s="280">
        <v>-0.3</v>
      </c>
    </row>
    <row r="60" spans="1:27" s="237" customFormat="1" ht="15" customHeight="1" x14ac:dyDescent="0.15">
      <c r="A60" s="197" t="s">
        <v>85</v>
      </c>
      <c r="B60" s="198">
        <v>53</v>
      </c>
      <c r="C60" s="199">
        <v>50</v>
      </c>
      <c r="D60" s="198">
        <v>38</v>
      </c>
      <c r="E60" s="198">
        <v>21</v>
      </c>
      <c r="F60" s="198">
        <v>10</v>
      </c>
      <c r="G60" s="200">
        <v>0</v>
      </c>
      <c r="H60" s="201">
        <v>12</v>
      </c>
      <c r="I60" s="201">
        <v>10</v>
      </c>
      <c r="J60" s="201">
        <v>3</v>
      </c>
      <c r="K60" s="246">
        <v>0</v>
      </c>
      <c r="L60" s="251">
        <v>-2.8</v>
      </c>
      <c r="M60" s="204">
        <v>-5.3</v>
      </c>
      <c r="N60" s="178"/>
      <c r="O60" s="183" t="s">
        <v>356</v>
      </c>
      <c r="P60" s="184">
        <v>129</v>
      </c>
      <c r="Q60" s="184">
        <v>127</v>
      </c>
      <c r="R60" s="184">
        <v>99</v>
      </c>
      <c r="S60" s="184">
        <v>89</v>
      </c>
      <c r="T60" s="184">
        <v>86</v>
      </c>
      <c r="U60" s="185">
        <v>0</v>
      </c>
      <c r="V60" s="186">
        <v>100</v>
      </c>
      <c r="W60" s="186">
        <v>100</v>
      </c>
      <c r="X60" s="186">
        <v>100</v>
      </c>
      <c r="Y60" s="241">
        <v>0</v>
      </c>
      <c r="Z60" s="242">
        <v>-2.4</v>
      </c>
      <c r="AA60" s="225">
        <v>-1.3</v>
      </c>
    </row>
    <row r="61" spans="1:27" ht="15" customHeight="1" x14ac:dyDescent="0.15">
      <c r="A61" s="190" t="s">
        <v>101</v>
      </c>
      <c r="B61" s="191">
        <v>13</v>
      </c>
      <c r="C61" s="192">
        <v>13</v>
      </c>
      <c r="D61" s="191">
        <v>12</v>
      </c>
      <c r="E61" s="191">
        <v>9</v>
      </c>
      <c r="F61" s="191">
        <v>6</v>
      </c>
      <c r="G61" s="193">
        <v>0</v>
      </c>
      <c r="H61" s="194">
        <v>3</v>
      </c>
      <c r="I61" s="194">
        <v>3</v>
      </c>
      <c r="J61" s="194">
        <v>2</v>
      </c>
      <c r="K61" s="243">
        <v>0</v>
      </c>
      <c r="L61" s="244">
        <v>-1.2</v>
      </c>
      <c r="M61" s="196">
        <v>-2.7</v>
      </c>
      <c r="O61" s="190" t="s">
        <v>37</v>
      </c>
      <c r="P61" s="191">
        <v>43</v>
      </c>
      <c r="Q61" s="192">
        <v>42</v>
      </c>
      <c r="R61" s="191">
        <v>45</v>
      </c>
      <c r="S61" s="191">
        <v>51</v>
      </c>
      <c r="T61" s="191">
        <v>57</v>
      </c>
      <c r="U61" s="193">
        <v>0</v>
      </c>
      <c r="V61" s="194">
        <v>33</v>
      </c>
      <c r="W61" s="194">
        <v>46</v>
      </c>
      <c r="X61" s="194">
        <v>66</v>
      </c>
      <c r="Y61" s="243">
        <v>0</v>
      </c>
      <c r="Z61" s="244">
        <v>0.7</v>
      </c>
      <c r="AA61" s="196">
        <v>1</v>
      </c>
    </row>
    <row r="62" spans="1:27" ht="15" customHeight="1" x14ac:dyDescent="0.15">
      <c r="A62" s="227" t="s">
        <v>357</v>
      </c>
      <c r="B62" s="213">
        <v>3</v>
      </c>
      <c r="C62" s="281">
        <v>3</v>
      </c>
      <c r="D62" s="213">
        <v>7</v>
      </c>
      <c r="E62" s="213">
        <v>11</v>
      </c>
      <c r="F62" s="213">
        <v>15</v>
      </c>
      <c r="G62" s="214">
        <v>0</v>
      </c>
      <c r="H62" s="216">
        <v>1</v>
      </c>
      <c r="I62" s="216">
        <v>2</v>
      </c>
      <c r="J62" s="216">
        <v>4</v>
      </c>
      <c r="K62" s="282">
        <v>0</v>
      </c>
      <c r="L62" s="283">
        <v>8.1999999999999993</v>
      </c>
      <c r="M62" s="284">
        <v>5.2</v>
      </c>
      <c r="O62" s="190" t="s">
        <v>343</v>
      </c>
      <c r="P62" s="191">
        <v>13</v>
      </c>
      <c r="Q62" s="192">
        <v>13</v>
      </c>
      <c r="R62" s="191">
        <v>9</v>
      </c>
      <c r="S62" s="191">
        <v>4</v>
      </c>
      <c r="T62" s="191">
        <v>2</v>
      </c>
      <c r="U62" s="193">
        <v>0</v>
      </c>
      <c r="V62" s="194">
        <v>10</v>
      </c>
      <c r="W62" s="194">
        <v>10</v>
      </c>
      <c r="X62" s="194">
        <v>2</v>
      </c>
      <c r="Y62" s="243">
        <v>0</v>
      </c>
      <c r="Z62" s="244">
        <v>-3.2</v>
      </c>
      <c r="AA62" s="196">
        <v>-6</v>
      </c>
    </row>
    <row r="63" spans="1:27" ht="15" customHeight="1" x14ac:dyDescent="0.15">
      <c r="A63" s="183" t="s">
        <v>118</v>
      </c>
      <c r="B63" s="184">
        <v>162</v>
      </c>
      <c r="C63" s="184">
        <v>157</v>
      </c>
      <c r="D63" s="184">
        <v>170</v>
      </c>
      <c r="E63" s="184">
        <v>169</v>
      </c>
      <c r="F63" s="184">
        <v>160</v>
      </c>
      <c r="G63" s="185">
        <v>0</v>
      </c>
      <c r="H63" s="186">
        <v>100</v>
      </c>
      <c r="I63" s="186">
        <v>100</v>
      </c>
      <c r="J63" s="186">
        <v>100</v>
      </c>
      <c r="K63" s="241">
        <v>0</v>
      </c>
      <c r="L63" s="242">
        <v>0.8</v>
      </c>
      <c r="M63" s="225">
        <v>0.1</v>
      </c>
      <c r="O63" s="248" t="s">
        <v>344</v>
      </c>
      <c r="P63" s="253">
        <v>0</v>
      </c>
      <c r="Q63" s="254">
        <v>0</v>
      </c>
      <c r="R63" s="253">
        <v>0</v>
      </c>
      <c r="S63" s="198">
        <v>1</v>
      </c>
      <c r="T63" s="198">
        <v>1</v>
      </c>
      <c r="U63" s="200">
        <v>0</v>
      </c>
      <c r="V63" s="255">
        <v>0</v>
      </c>
      <c r="W63" s="255">
        <v>0</v>
      </c>
      <c r="X63" s="201">
        <v>1</v>
      </c>
      <c r="Y63" s="246">
        <v>0</v>
      </c>
      <c r="Z63" s="247">
        <v>26</v>
      </c>
      <c r="AA63" s="203">
        <v>12</v>
      </c>
    </row>
    <row r="64" spans="1:27" ht="15" customHeight="1" x14ac:dyDescent="0.15">
      <c r="A64" s="190" t="s">
        <v>37</v>
      </c>
      <c r="B64" s="191">
        <v>35</v>
      </c>
      <c r="C64" s="192">
        <v>35</v>
      </c>
      <c r="D64" s="191">
        <v>47</v>
      </c>
      <c r="E64" s="191">
        <v>62</v>
      </c>
      <c r="F64" s="191">
        <v>74</v>
      </c>
      <c r="G64" s="193">
        <v>0</v>
      </c>
      <c r="H64" s="194">
        <v>22</v>
      </c>
      <c r="I64" s="194">
        <v>28</v>
      </c>
      <c r="J64" s="194">
        <v>46</v>
      </c>
      <c r="K64" s="243">
        <v>0</v>
      </c>
      <c r="L64" s="244">
        <v>3</v>
      </c>
      <c r="M64" s="196">
        <v>2.5</v>
      </c>
      <c r="O64" s="248" t="s">
        <v>84</v>
      </c>
      <c r="P64" s="198">
        <v>13</v>
      </c>
      <c r="Q64" s="199">
        <v>13</v>
      </c>
      <c r="R64" s="198">
        <v>9</v>
      </c>
      <c r="S64" s="198">
        <v>4</v>
      </c>
      <c r="T64" s="198">
        <v>1</v>
      </c>
      <c r="U64" s="200">
        <v>0</v>
      </c>
      <c r="V64" s="201">
        <v>10</v>
      </c>
      <c r="W64" s="201">
        <v>9</v>
      </c>
      <c r="X64" s="201">
        <v>1</v>
      </c>
      <c r="Y64" s="246">
        <v>0</v>
      </c>
      <c r="Z64" s="251">
        <v>-3.4</v>
      </c>
      <c r="AA64" s="204">
        <v>-7.7</v>
      </c>
    </row>
    <row r="65" spans="1:27" ht="15" customHeight="1" x14ac:dyDescent="0.15">
      <c r="A65" s="190" t="s">
        <v>343</v>
      </c>
      <c r="B65" s="191">
        <v>31</v>
      </c>
      <c r="C65" s="192">
        <v>31</v>
      </c>
      <c r="D65" s="191">
        <v>31</v>
      </c>
      <c r="E65" s="191">
        <v>27</v>
      </c>
      <c r="F65" s="191">
        <v>23</v>
      </c>
      <c r="G65" s="193">
        <v>0</v>
      </c>
      <c r="H65" s="194">
        <v>20</v>
      </c>
      <c r="I65" s="194">
        <v>18</v>
      </c>
      <c r="J65" s="194">
        <v>15</v>
      </c>
      <c r="K65" s="243">
        <v>0</v>
      </c>
      <c r="L65" s="244">
        <v>-0.2</v>
      </c>
      <c r="M65" s="196">
        <v>-0.9</v>
      </c>
      <c r="O65" s="190" t="s">
        <v>347</v>
      </c>
      <c r="P65" s="191">
        <v>30</v>
      </c>
      <c r="Q65" s="192">
        <v>28</v>
      </c>
      <c r="R65" s="191">
        <v>23</v>
      </c>
      <c r="S65" s="191">
        <v>13</v>
      </c>
      <c r="T65" s="191">
        <v>6</v>
      </c>
      <c r="U65" s="193">
        <v>0</v>
      </c>
      <c r="V65" s="194">
        <v>22</v>
      </c>
      <c r="W65" s="194">
        <v>23</v>
      </c>
      <c r="X65" s="194">
        <v>7</v>
      </c>
      <c r="Y65" s="243">
        <v>0</v>
      </c>
      <c r="Z65" s="244">
        <v>-2.1</v>
      </c>
      <c r="AA65" s="196">
        <v>-4.9000000000000004</v>
      </c>
    </row>
    <row r="66" spans="1:27" s="237" customFormat="1" ht="15" customHeight="1" x14ac:dyDescent="0.15">
      <c r="A66" s="197" t="s">
        <v>84</v>
      </c>
      <c r="B66" s="198">
        <v>31</v>
      </c>
      <c r="C66" s="199">
        <v>31</v>
      </c>
      <c r="D66" s="198">
        <v>31</v>
      </c>
      <c r="E66" s="198">
        <v>27</v>
      </c>
      <c r="F66" s="198">
        <v>23</v>
      </c>
      <c r="G66" s="200">
        <v>0</v>
      </c>
      <c r="H66" s="201">
        <v>20</v>
      </c>
      <c r="I66" s="201">
        <v>18</v>
      </c>
      <c r="J66" s="201">
        <v>15</v>
      </c>
      <c r="K66" s="246">
        <v>0</v>
      </c>
      <c r="L66" s="251">
        <v>-0.2</v>
      </c>
      <c r="M66" s="204">
        <v>-0.9</v>
      </c>
      <c r="N66" s="178"/>
      <c r="O66" s="248" t="s">
        <v>348</v>
      </c>
      <c r="P66" s="253">
        <v>0</v>
      </c>
      <c r="Q66" s="254">
        <v>0</v>
      </c>
      <c r="R66" s="198">
        <v>1</v>
      </c>
      <c r="S66" s="198">
        <v>2</v>
      </c>
      <c r="T66" s="198">
        <v>2</v>
      </c>
      <c r="U66" s="200">
        <v>0</v>
      </c>
      <c r="V66" s="255">
        <v>0</v>
      </c>
      <c r="W66" s="201">
        <v>1</v>
      </c>
      <c r="X66" s="201">
        <v>2</v>
      </c>
      <c r="Y66" s="246">
        <v>0</v>
      </c>
      <c r="Z66" s="247">
        <v>29</v>
      </c>
      <c r="AA66" s="203">
        <v>11</v>
      </c>
    </row>
    <row r="67" spans="1:27" ht="15" customHeight="1" x14ac:dyDescent="0.15">
      <c r="A67" s="190" t="s">
        <v>347</v>
      </c>
      <c r="B67" s="191">
        <v>32</v>
      </c>
      <c r="C67" s="192">
        <v>32</v>
      </c>
      <c r="D67" s="191">
        <v>35</v>
      </c>
      <c r="E67" s="191">
        <v>34</v>
      </c>
      <c r="F67" s="191">
        <v>28</v>
      </c>
      <c r="G67" s="193">
        <v>0</v>
      </c>
      <c r="H67" s="194">
        <v>20</v>
      </c>
      <c r="I67" s="194">
        <v>21</v>
      </c>
      <c r="J67" s="194">
        <v>18</v>
      </c>
      <c r="K67" s="243">
        <v>0</v>
      </c>
      <c r="L67" s="244">
        <v>1</v>
      </c>
      <c r="M67" s="196">
        <v>-0.4</v>
      </c>
      <c r="O67" s="248" t="s">
        <v>99</v>
      </c>
      <c r="P67" s="198">
        <v>0</v>
      </c>
      <c r="Q67" s="254">
        <v>0</v>
      </c>
      <c r="R67" s="198">
        <v>2</v>
      </c>
      <c r="S67" s="198">
        <v>2</v>
      </c>
      <c r="T67" s="198">
        <v>2</v>
      </c>
      <c r="U67" s="200">
        <v>0</v>
      </c>
      <c r="V67" s="255">
        <v>0</v>
      </c>
      <c r="W67" s="201">
        <v>2</v>
      </c>
      <c r="X67" s="201">
        <v>2</v>
      </c>
      <c r="Y67" s="246">
        <v>0</v>
      </c>
      <c r="Z67" s="247">
        <v>103</v>
      </c>
      <c r="AA67" s="203">
        <v>27</v>
      </c>
    </row>
    <row r="68" spans="1:27" s="237" customFormat="1" ht="15" customHeight="1" x14ac:dyDescent="0.15">
      <c r="A68" s="197" t="s">
        <v>348</v>
      </c>
      <c r="B68" s="253">
        <v>0</v>
      </c>
      <c r="C68" s="254">
        <v>0</v>
      </c>
      <c r="D68" s="198">
        <v>1</v>
      </c>
      <c r="E68" s="198">
        <v>2</v>
      </c>
      <c r="F68" s="198">
        <v>4</v>
      </c>
      <c r="G68" s="200">
        <v>0</v>
      </c>
      <c r="H68" s="255">
        <v>0</v>
      </c>
      <c r="I68" s="255">
        <v>0</v>
      </c>
      <c r="J68" s="201">
        <v>3</v>
      </c>
      <c r="K68" s="246">
        <v>0</v>
      </c>
      <c r="L68" s="247">
        <v>22</v>
      </c>
      <c r="M68" s="203">
        <v>15</v>
      </c>
      <c r="N68" s="178"/>
      <c r="O68" s="248" t="s">
        <v>86</v>
      </c>
      <c r="P68" s="198">
        <v>30</v>
      </c>
      <c r="Q68" s="199">
        <v>28</v>
      </c>
      <c r="R68" s="198">
        <v>19</v>
      </c>
      <c r="S68" s="198">
        <v>7</v>
      </c>
      <c r="T68" s="198">
        <v>1</v>
      </c>
      <c r="U68" s="200">
        <v>0</v>
      </c>
      <c r="V68" s="201">
        <v>22</v>
      </c>
      <c r="W68" s="201">
        <v>20</v>
      </c>
      <c r="X68" s="201">
        <v>1</v>
      </c>
      <c r="Y68" s="246">
        <v>0</v>
      </c>
      <c r="Z68" s="251">
        <v>-3.8</v>
      </c>
      <c r="AA68" s="203">
        <v>-12</v>
      </c>
    </row>
    <row r="69" spans="1:27" s="237" customFormat="1" ht="15" customHeight="1" x14ac:dyDescent="0.15">
      <c r="A69" s="197" t="s">
        <v>99</v>
      </c>
      <c r="B69" s="198">
        <v>0</v>
      </c>
      <c r="C69" s="254">
        <v>0</v>
      </c>
      <c r="D69" s="198">
        <v>3</v>
      </c>
      <c r="E69" s="198">
        <v>4</v>
      </c>
      <c r="F69" s="198">
        <v>5</v>
      </c>
      <c r="G69" s="200">
        <v>0</v>
      </c>
      <c r="H69" s="255">
        <v>0</v>
      </c>
      <c r="I69" s="201">
        <v>2</v>
      </c>
      <c r="J69" s="201">
        <v>3</v>
      </c>
      <c r="K69" s="246">
        <v>0</v>
      </c>
      <c r="L69" s="247">
        <v>44</v>
      </c>
      <c r="M69" s="203">
        <v>15</v>
      </c>
      <c r="N69" s="178"/>
      <c r="O69" s="178" t="s">
        <v>353</v>
      </c>
      <c r="P69" s="191">
        <v>34</v>
      </c>
      <c r="Q69" s="192">
        <v>34</v>
      </c>
      <c r="R69" s="191">
        <v>10</v>
      </c>
      <c r="S69" s="191">
        <v>7</v>
      </c>
      <c r="T69" s="191">
        <v>6</v>
      </c>
      <c r="U69" s="193">
        <v>0</v>
      </c>
      <c r="V69" s="194">
        <v>27</v>
      </c>
      <c r="W69" s="194">
        <v>10</v>
      </c>
      <c r="X69" s="194">
        <v>7</v>
      </c>
      <c r="Y69" s="243">
        <v>0</v>
      </c>
      <c r="Z69" s="245">
        <v>-11</v>
      </c>
      <c r="AA69" s="196">
        <v>-5.5</v>
      </c>
    </row>
    <row r="70" spans="1:27" s="237" customFormat="1" ht="15" customHeight="1" x14ac:dyDescent="0.15">
      <c r="A70" s="197" t="s">
        <v>329</v>
      </c>
      <c r="B70" s="198">
        <v>32</v>
      </c>
      <c r="C70" s="199">
        <v>32</v>
      </c>
      <c r="D70" s="198">
        <v>30</v>
      </c>
      <c r="E70" s="198">
        <v>22</v>
      </c>
      <c r="F70" s="198">
        <v>9</v>
      </c>
      <c r="G70" s="200">
        <v>0</v>
      </c>
      <c r="H70" s="201">
        <v>20</v>
      </c>
      <c r="I70" s="201">
        <v>18</v>
      </c>
      <c r="J70" s="201">
        <v>6</v>
      </c>
      <c r="K70" s="246">
        <v>0</v>
      </c>
      <c r="L70" s="251">
        <v>-0.5</v>
      </c>
      <c r="M70" s="204">
        <v>-4</v>
      </c>
      <c r="N70" s="178"/>
      <c r="O70" s="248" t="s">
        <v>358</v>
      </c>
      <c r="P70" s="198">
        <v>5</v>
      </c>
      <c r="Q70" s="199">
        <v>5</v>
      </c>
      <c r="R70" s="198">
        <v>9</v>
      </c>
      <c r="S70" s="198">
        <v>7</v>
      </c>
      <c r="T70" s="198">
        <v>6</v>
      </c>
      <c r="U70" s="200">
        <v>0</v>
      </c>
      <c r="V70" s="201">
        <v>4</v>
      </c>
      <c r="W70" s="201">
        <v>9</v>
      </c>
      <c r="X70" s="201">
        <v>7</v>
      </c>
      <c r="Y70" s="246">
        <v>0</v>
      </c>
      <c r="Z70" s="251">
        <v>6.9</v>
      </c>
      <c r="AA70" s="204">
        <v>0.9</v>
      </c>
    </row>
    <row r="71" spans="1:27" ht="15" customHeight="1" x14ac:dyDescent="0.15">
      <c r="A71" s="197" t="s">
        <v>330</v>
      </c>
      <c r="B71" s="253">
        <v>0</v>
      </c>
      <c r="C71" s="254">
        <v>0</v>
      </c>
      <c r="D71" s="198">
        <v>1</v>
      </c>
      <c r="E71" s="198">
        <v>5</v>
      </c>
      <c r="F71" s="198">
        <v>7</v>
      </c>
      <c r="G71" s="200">
        <v>0</v>
      </c>
      <c r="H71" s="255">
        <v>0</v>
      </c>
      <c r="I71" s="201">
        <v>1</v>
      </c>
      <c r="J71" s="201">
        <v>4</v>
      </c>
      <c r="K71" s="246">
        <v>0</v>
      </c>
      <c r="L71" s="247">
        <v>38</v>
      </c>
      <c r="M71" s="203">
        <v>18</v>
      </c>
      <c r="O71" s="285" t="s">
        <v>327</v>
      </c>
      <c r="P71" s="198">
        <v>25</v>
      </c>
      <c r="Q71" s="199">
        <v>25</v>
      </c>
      <c r="R71" s="198">
        <v>0</v>
      </c>
      <c r="S71" s="198">
        <v>0</v>
      </c>
      <c r="T71" s="198">
        <v>0</v>
      </c>
      <c r="U71" s="200">
        <v>0</v>
      </c>
      <c r="V71" s="201">
        <v>20</v>
      </c>
      <c r="W71" s="201">
        <v>0</v>
      </c>
      <c r="X71" s="201">
        <v>0</v>
      </c>
      <c r="Y71" s="246">
        <v>0</v>
      </c>
      <c r="Z71" s="249" t="s">
        <v>345</v>
      </c>
      <c r="AA71" s="250" t="s">
        <v>345</v>
      </c>
    </row>
    <row r="72" spans="1:27" x14ac:dyDescent="0.15">
      <c r="A72" s="178" t="s">
        <v>353</v>
      </c>
      <c r="B72" s="191">
        <v>58</v>
      </c>
      <c r="C72" s="192">
        <v>52</v>
      </c>
      <c r="D72" s="191">
        <v>51</v>
      </c>
      <c r="E72" s="191">
        <v>40</v>
      </c>
      <c r="F72" s="191">
        <v>30</v>
      </c>
      <c r="G72" s="193">
        <v>0</v>
      </c>
      <c r="H72" s="194">
        <v>34</v>
      </c>
      <c r="I72" s="194">
        <v>30</v>
      </c>
      <c r="J72" s="194">
        <v>18</v>
      </c>
      <c r="K72" s="243">
        <v>0</v>
      </c>
      <c r="L72" s="244">
        <v>-0.3</v>
      </c>
      <c r="M72" s="196">
        <v>-1.9</v>
      </c>
      <c r="O72" s="248" t="s">
        <v>85</v>
      </c>
      <c r="P72" s="198">
        <v>4</v>
      </c>
      <c r="Q72" s="199">
        <v>4</v>
      </c>
      <c r="R72" s="198">
        <v>1</v>
      </c>
      <c r="S72" s="253">
        <v>0</v>
      </c>
      <c r="T72" s="253">
        <v>0</v>
      </c>
      <c r="U72" s="200">
        <v>0</v>
      </c>
      <c r="V72" s="201">
        <v>3</v>
      </c>
      <c r="W72" s="201">
        <v>1</v>
      </c>
      <c r="X72" s="255">
        <v>0</v>
      </c>
      <c r="Y72" s="246">
        <v>0</v>
      </c>
      <c r="Z72" s="247">
        <v>-12</v>
      </c>
      <c r="AA72" s="203">
        <v>-21</v>
      </c>
    </row>
    <row r="73" spans="1:27" s="237" customFormat="1" ht="15" customHeight="1" x14ac:dyDescent="0.15">
      <c r="A73" s="197" t="s">
        <v>105</v>
      </c>
      <c r="B73" s="198">
        <v>10</v>
      </c>
      <c r="C73" s="199">
        <v>9</v>
      </c>
      <c r="D73" s="198">
        <v>15</v>
      </c>
      <c r="E73" s="198">
        <v>19</v>
      </c>
      <c r="F73" s="198">
        <v>20</v>
      </c>
      <c r="G73" s="200">
        <v>0</v>
      </c>
      <c r="H73" s="201">
        <v>6</v>
      </c>
      <c r="I73" s="201">
        <v>9</v>
      </c>
      <c r="J73" s="201">
        <v>13</v>
      </c>
      <c r="K73" s="246">
        <v>0</v>
      </c>
      <c r="L73" s="251">
        <v>5.2</v>
      </c>
      <c r="M73" s="204">
        <v>2.8</v>
      </c>
      <c r="N73" s="178"/>
      <c r="O73" s="190" t="s">
        <v>101</v>
      </c>
      <c r="P73" s="191">
        <v>7</v>
      </c>
      <c r="Q73" s="192">
        <v>7</v>
      </c>
      <c r="R73" s="191">
        <v>6</v>
      </c>
      <c r="S73" s="191">
        <v>5</v>
      </c>
      <c r="T73" s="191">
        <v>4</v>
      </c>
      <c r="U73" s="193">
        <v>0</v>
      </c>
      <c r="V73" s="194">
        <v>5</v>
      </c>
      <c r="W73" s="194">
        <v>6</v>
      </c>
      <c r="X73" s="194">
        <v>5</v>
      </c>
      <c r="Y73" s="243">
        <v>0</v>
      </c>
      <c r="Z73" s="244">
        <v>-1.2</v>
      </c>
      <c r="AA73" s="196">
        <v>-1.6</v>
      </c>
    </row>
    <row r="74" spans="1:27" s="237" customFormat="1" ht="15" customHeight="1" x14ac:dyDescent="0.15">
      <c r="A74" s="197" t="s">
        <v>332</v>
      </c>
      <c r="B74" s="198">
        <v>48</v>
      </c>
      <c r="C74" s="199">
        <v>44</v>
      </c>
      <c r="D74" s="198">
        <v>35</v>
      </c>
      <c r="E74" s="198">
        <v>15</v>
      </c>
      <c r="F74" s="198">
        <v>3</v>
      </c>
      <c r="G74" s="200">
        <v>0</v>
      </c>
      <c r="H74" s="201">
        <v>28</v>
      </c>
      <c r="I74" s="201">
        <v>20</v>
      </c>
      <c r="J74" s="201">
        <v>2</v>
      </c>
      <c r="K74" s="246">
        <v>0</v>
      </c>
      <c r="L74" s="251">
        <v>-2.2999999999999998</v>
      </c>
      <c r="M74" s="204">
        <v>-9</v>
      </c>
      <c r="N74" s="178"/>
      <c r="O74" s="190" t="s">
        <v>90</v>
      </c>
      <c r="P74" s="191">
        <v>2</v>
      </c>
      <c r="Q74" s="192">
        <v>3</v>
      </c>
      <c r="R74" s="191">
        <v>5</v>
      </c>
      <c r="S74" s="191">
        <v>8</v>
      </c>
      <c r="T74" s="191">
        <v>11</v>
      </c>
      <c r="U74" s="193">
        <v>0</v>
      </c>
      <c r="V74" s="194">
        <v>2</v>
      </c>
      <c r="W74" s="194">
        <v>5</v>
      </c>
      <c r="X74" s="194">
        <v>12</v>
      </c>
      <c r="Y74" s="243">
        <v>0</v>
      </c>
      <c r="Z74" s="244">
        <v>7.1</v>
      </c>
      <c r="AA74" s="196">
        <v>4.8</v>
      </c>
    </row>
    <row r="75" spans="1:27" ht="15" customHeight="1" x14ac:dyDescent="0.15">
      <c r="A75" s="197" t="s">
        <v>333</v>
      </c>
      <c r="B75" s="253">
        <v>0</v>
      </c>
      <c r="C75" s="254">
        <v>0</v>
      </c>
      <c r="D75" s="198">
        <v>1</v>
      </c>
      <c r="E75" s="198">
        <v>5</v>
      </c>
      <c r="F75" s="198">
        <v>7</v>
      </c>
      <c r="G75" s="200">
        <v>0</v>
      </c>
      <c r="H75" s="255">
        <v>0</v>
      </c>
      <c r="I75" s="201">
        <v>1</v>
      </c>
      <c r="J75" s="201">
        <v>4</v>
      </c>
      <c r="K75" s="246">
        <v>0</v>
      </c>
      <c r="L75" s="247">
        <v>91</v>
      </c>
      <c r="M75" s="203">
        <v>31</v>
      </c>
      <c r="O75" s="256" t="s">
        <v>359</v>
      </c>
      <c r="P75" s="257">
        <v>91</v>
      </c>
      <c r="Q75" s="258">
        <v>90</v>
      </c>
      <c r="R75" s="257">
        <v>67</v>
      </c>
      <c r="S75" s="257">
        <v>59</v>
      </c>
      <c r="T75" s="257">
        <v>58</v>
      </c>
      <c r="U75" s="259">
        <v>0</v>
      </c>
      <c r="V75" s="260">
        <v>71</v>
      </c>
      <c r="W75" s="260">
        <v>67</v>
      </c>
      <c r="X75" s="260">
        <v>67</v>
      </c>
      <c r="Y75" s="261">
        <v>0</v>
      </c>
      <c r="Z75" s="262">
        <v>-3</v>
      </c>
      <c r="AA75" s="263">
        <v>-1.5</v>
      </c>
    </row>
    <row r="76" spans="1:27" ht="15" customHeight="1" x14ac:dyDescent="0.15">
      <c r="A76" s="190" t="s">
        <v>101</v>
      </c>
      <c r="B76" s="191">
        <v>6</v>
      </c>
      <c r="C76" s="192">
        <v>6</v>
      </c>
      <c r="D76" s="191">
        <v>6</v>
      </c>
      <c r="E76" s="191">
        <v>3</v>
      </c>
      <c r="F76" s="191">
        <v>2</v>
      </c>
      <c r="G76" s="193">
        <v>0</v>
      </c>
      <c r="H76" s="194">
        <v>4</v>
      </c>
      <c r="I76" s="194">
        <v>3</v>
      </c>
      <c r="J76" s="194">
        <v>1</v>
      </c>
      <c r="K76" s="243">
        <v>0</v>
      </c>
      <c r="L76" s="244">
        <v>-1.2</v>
      </c>
      <c r="M76" s="196">
        <v>-4.5</v>
      </c>
      <c r="O76" s="273" t="s">
        <v>360</v>
      </c>
      <c r="P76" s="274">
        <v>38</v>
      </c>
      <c r="Q76" s="275">
        <v>36</v>
      </c>
      <c r="R76" s="274">
        <v>32</v>
      </c>
      <c r="S76" s="274">
        <v>30</v>
      </c>
      <c r="T76" s="274">
        <v>28</v>
      </c>
      <c r="U76" s="276">
        <v>0</v>
      </c>
      <c r="V76" s="277">
        <v>29</v>
      </c>
      <c r="W76" s="277">
        <v>33</v>
      </c>
      <c r="X76" s="277">
        <v>33</v>
      </c>
      <c r="Y76" s="278">
        <v>0</v>
      </c>
      <c r="Z76" s="279">
        <v>-1.2</v>
      </c>
      <c r="AA76" s="280">
        <v>-0.9</v>
      </c>
    </row>
    <row r="77" spans="1:27" ht="15" customHeight="1" thickBot="1" x14ac:dyDescent="0.2">
      <c r="A77" s="190" t="s">
        <v>90</v>
      </c>
      <c r="B77" s="226">
        <v>0</v>
      </c>
      <c r="C77" s="228">
        <v>0</v>
      </c>
      <c r="D77" s="191">
        <v>1</v>
      </c>
      <c r="E77" s="191">
        <v>3</v>
      </c>
      <c r="F77" s="191">
        <v>4</v>
      </c>
      <c r="G77" s="193">
        <v>0</v>
      </c>
      <c r="H77" s="229">
        <v>0</v>
      </c>
      <c r="I77" s="194">
        <v>1</v>
      </c>
      <c r="J77" s="194">
        <v>2</v>
      </c>
      <c r="K77" s="243">
        <v>0</v>
      </c>
      <c r="L77" s="245">
        <v>33</v>
      </c>
      <c r="M77" s="209">
        <v>14</v>
      </c>
      <c r="O77" s="286" t="s">
        <v>90</v>
      </c>
      <c r="P77" s="287">
        <v>22</v>
      </c>
      <c r="Q77" s="287">
        <v>23</v>
      </c>
      <c r="R77" s="287">
        <v>22</v>
      </c>
      <c r="S77" s="287">
        <v>20</v>
      </c>
      <c r="T77" s="287">
        <v>18</v>
      </c>
      <c r="U77" s="288">
        <v>0</v>
      </c>
      <c r="V77" s="289">
        <v>100</v>
      </c>
      <c r="W77" s="289">
        <v>100</v>
      </c>
      <c r="X77" s="289">
        <v>100</v>
      </c>
      <c r="Y77" s="290">
        <v>0</v>
      </c>
      <c r="Z77" s="291">
        <v>-0.5</v>
      </c>
      <c r="AA77" s="292">
        <v>-0.9</v>
      </c>
    </row>
    <row r="78" spans="1:27" ht="15" customHeight="1" x14ac:dyDescent="0.15">
      <c r="A78" s="256" t="s">
        <v>6</v>
      </c>
      <c r="B78" s="257">
        <v>36</v>
      </c>
      <c r="C78" s="258">
        <v>33</v>
      </c>
      <c r="D78" s="257">
        <v>37</v>
      </c>
      <c r="E78" s="257">
        <v>36</v>
      </c>
      <c r="F78" s="257">
        <v>32</v>
      </c>
      <c r="G78" s="259">
        <v>0</v>
      </c>
      <c r="H78" s="260">
        <v>21</v>
      </c>
      <c r="I78" s="260">
        <v>22</v>
      </c>
      <c r="J78" s="260">
        <v>20</v>
      </c>
      <c r="K78" s="261">
        <v>0</v>
      </c>
      <c r="L78" s="262">
        <v>1.1000000000000001</v>
      </c>
      <c r="M78" s="263">
        <v>-0.2</v>
      </c>
    </row>
    <row r="79" spans="1:27" ht="15" customHeight="1" x14ac:dyDescent="0.15">
      <c r="A79" s="265" t="s">
        <v>361</v>
      </c>
      <c r="B79" s="266">
        <v>22</v>
      </c>
      <c r="C79" s="267">
        <v>20</v>
      </c>
      <c r="D79" s="266">
        <v>26</v>
      </c>
      <c r="E79" s="266">
        <v>26</v>
      </c>
      <c r="F79" s="266">
        <v>25</v>
      </c>
      <c r="G79" s="268">
        <v>0</v>
      </c>
      <c r="H79" s="269">
        <v>13</v>
      </c>
      <c r="I79" s="269">
        <v>15</v>
      </c>
      <c r="J79" s="269">
        <v>15</v>
      </c>
      <c r="K79" s="270">
        <v>0</v>
      </c>
      <c r="L79" s="271">
        <v>2.7</v>
      </c>
      <c r="M79" s="272">
        <v>0.7</v>
      </c>
    </row>
    <row r="80" spans="1:27" ht="15" customHeight="1" thickBot="1" x14ac:dyDescent="0.2">
      <c r="A80" s="293" t="s">
        <v>7</v>
      </c>
      <c r="B80" s="294">
        <v>12</v>
      </c>
      <c r="C80" s="295">
        <v>16</v>
      </c>
      <c r="D80" s="294">
        <v>11</v>
      </c>
      <c r="E80" s="294">
        <v>11</v>
      </c>
      <c r="F80" s="294">
        <v>10</v>
      </c>
      <c r="G80" s="296">
        <v>0</v>
      </c>
      <c r="H80" s="297">
        <v>10</v>
      </c>
      <c r="I80" s="297">
        <v>7</v>
      </c>
      <c r="J80" s="297">
        <v>7</v>
      </c>
      <c r="K80" s="298">
        <v>0</v>
      </c>
      <c r="L80" s="299">
        <v>-3.3</v>
      </c>
      <c r="M80" s="300">
        <v>-1.3</v>
      </c>
    </row>
    <row r="81" spans="1:24" s="165" customFormat="1" ht="42.75" customHeight="1" x14ac:dyDescent="0.15">
      <c r="A81" s="682" t="s">
        <v>362</v>
      </c>
      <c r="B81" s="682"/>
      <c r="C81" s="682"/>
      <c r="D81" s="682"/>
      <c r="E81" s="682"/>
      <c r="F81" s="682"/>
      <c r="G81" s="682"/>
      <c r="H81" s="682"/>
      <c r="I81" s="682"/>
      <c r="J81" s="682"/>
      <c r="K81" s="682"/>
      <c r="L81" s="682"/>
      <c r="M81" s="682"/>
    </row>
    <row r="82" spans="1:24" s="169" customFormat="1" ht="12" customHeight="1" x14ac:dyDescent="0.15">
      <c r="A82" s="166"/>
      <c r="B82" s="166" t="s">
        <v>314</v>
      </c>
      <c r="C82" s="301" t="s">
        <v>314</v>
      </c>
      <c r="D82" s="301" t="s">
        <v>314</v>
      </c>
      <c r="E82" s="301" t="s">
        <v>314</v>
      </c>
      <c r="F82" s="301" t="s">
        <v>314</v>
      </c>
      <c r="G82" s="301"/>
      <c r="H82" s="166"/>
      <c r="I82" s="166"/>
      <c r="J82" s="166"/>
      <c r="K82" s="166"/>
      <c r="L82" s="168">
        <v>10</v>
      </c>
      <c r="M82" s="168">
        <v>30</v>
      </c>
    </row>
    <row r="83" spans="1:24" ht="12" customHeight="1" x14ac:dyDescent="0.15">
      <c r="A83" s="170" t="s">
        <v>315</v>
      </c>
    </row>
    <row r="84" spans="1:24" ht="15" customHeight="1" x14ac:dyDescent="0.15">
      <c r="A84" s="174"/>
      <c r="B84" s="175" t="s">
        <v>363</v>
      </c>
      <c r="C84" s="175"/>
      <c r="D84" s="175"/>
      <c r="E84" s="175"/>
      <c r="F84" s="175"/>
      <c r="G84" s="175"/>
      <c r="H84" s="176" t="s">
        <v>317</v>
      </c>
      <c r="I84" s="176"/>
      <c r="J84" s="176"/>
      <c r="K84" s="176"/>
      <c r="L84" s="175" t="s">
        <v>318</v>
      </c>
      <c r="M84" s="175"/>
    </row>
    <row r="85" spans="1:24" ht="26" x14ac:dyDescent="0.15">
      <c r="A85" s="174"/>
      <c r="B85" s="180">
        <v>2019</v>
      </c>
      <c r="C85" s="180">
        <v>2020</v>
      </c>
      <c r="D85" s="180">
        <v>2030</v>
      </c>
      <c r="E85" s="180">
        <v>2040</v>
      </c>
      <c r="F85" s="180">
        <v>2050</v>
      </c>
      <c r="G85" s="302"/>
      <c r="H85" s="180">
        <v>2020</v>
      </c>
      <c r="I85" s="180">
        <v>2030</v>
      </c>
      <c r="J85" s="180">
        <v>2050</v>
      </c>
      <c r="K85" s="302"/>
      <c r="L85" s="182" t="s">
        <v>319</v>
      </c>
      <c r="M85" s="182" t="s">
        <v>320</v>
      </c>
    </row>
    <row r="86" spans="1:24" ht="15" customHeight="1" x14ac:dyDescent="0.15">
      <c r="A86" s="183" t="s">
        <v>364</v>
      </c>
      <c r="B86" s="303">
        <v>26922</v>
      </c>
      <c r="C86" s="303">
        <v>26778</v>
      </c>
      <c r="D86" s="303">
        <v>37316</v>
      </c>
      <c r="E86" s="303">
        <v>56553</v>
      </c>
      <c r="F86" s="303">
        <v>71164</v>
      </c>
      <c r="G86" s="185">
        <v>0</v>
      </c>
      <c r="H86" s="186">
        <v>100</v>
      </c>
      <c r="I86" s="186">
        <v>100</v>
      </c>
      <c r="J86" s="186">
        <v>100</v>
      </c>
      <c r="K86" s="241">
        <v>0</v>
      </c>
      <c r="L86" s="188">
        <v>3.4</v>
      </c>
      <c r="M86" s="188">
        <v>3.3</v>
      </c>
      <c r="N86" s="304"/>
      <c r="O86" s="304"/>
      <c r="P86" s="304"/>
      <c r="Q86" s="304"/>
      <c r="R86" s="304"/>
      <c r="S86" s="304"/>
      <c r="T86" s="304"/>
      <c r="U86" s="304"/>
      <c r="V86" s="304"/>
      <c r="W86" s="304"/>
      <c r="X86" s="304"/>
    </row>
    <row r="87" spans="1:24" ht="15" customHeight="1" x14ac:dyDescent="0.15">
      <c r="A87" s="190" t="s">
        <v>322</v>
      </c>
      <c r="B87" s="305">
        <v>7153</v>
      </c>
      <c r="C87" s="306">
        <v>7660</v>
      </c>
      <c r="D87" s="305">
        <v>22817</v>
      </c>
      <c r="E87" s="305">
        <v>47521</v>
      </c>
      <c r="F87" s="305">
        <v>62333</v>
      </c>
      <c r="G87" s="193">
        <v>0</v>
      </c>
      <c r="H87" s="194">
        <v>29</v>
      </c>
      <c r="I87" s="194">
        <v>61</v>
      </c>
      <c r="J87" s="194">
        <v>88</v>
      </c>
      <c r="K87" s="243">
        <v>0</v>
      </c>
      <c r="L87" s="209">
        <v>12</v>
      </c>
      <c r="M87" s="196">
        <v>7.2</v>
      </c>
      <c r="N87" s="304"/>
      <c r="O87" s="304"/>
      <c r="P87" s="304"/>
      <c r="Q87" s="304"/>
      <c r="R87" s="304"/>
      <c r="S87" s="304"/>
      <c r="T87" s="304"/>
      <c r="U87" s="304"/>
      <c r="V87" s="304"/>
      <c r="W87" s="304"/>
      <c r="X87" s="304"/>
    </row>
    <row r="88" spans="1:24" s="237" customFormat="1" ht="15" customHeight="1" x14ac:dyDescent="0.15">
      <c r="A88" s="197" t="s">
        <v>96</v>
      </c>
      <c r="B88" s="307">
        <v>665</v>
      </c>
      <c r="C88" s="308">
        <v>821</v>
      </c>
      <c r="D88" s="307">
        <v>6970</v>
      </c>
      <c r="E88" s="307">
        <v>17031</v>
      </c>
      <c r="F88" s="307">
        <v>23469</v>
      </c>
      <c r="G88" s="200">
        <v>0</v>
      </c>
      <c r="H88" s="201">
        <v>3</v>
      </c>
      <c r="I88" s="201">
        <v>19</v>
      </c>
      <c r="J88" s="201">
        <v>33</v>
      </c>
      <c r="K88" s="246">
        <v>0</v>
      </c>
      <c r="L88" s="203">
        <v>24</v>
      </c>
      <c r="M88" s="203">
        <v>12</v>
      </c>
      <c r="N88" s="304"/>
      <c r="O88" s="304"/>
      <c r="P88" s="304"/>
      <c r="Q88" s="304"/>
      <c r="R88" s="304"/>
      <c r="S88" s="304"/>
      <c r="T88" s="304"/>
      <c r="U88" s="304"/>
      <c r="V88" s="304"/>
      <c r="W88" s="304"/>
      <c r="X88" s="304"/>
    </row>
    <row r="89" spans="1:24" s="237" customFormat="1" ht="15" customHeight="1" x14ac:dyDescent="0.15">
      <c r="A89" s="197" t="s">
        <v>95</v>
      </c>
      <c r="B89" s="307">
        <v>1423</v>
      </c>
      <c r="C89" s="308">
        <v>1592</v>
      </c>
      <c r="D89" s="307">
        <v>8008</v>
      </c>
      <c r="E89" s="307">
        <v>18787</v>
      </c>
      <c r="F89" s="307">
        <v>24785</v>
      </c>
      <c r="G89" s="200">
        <v>0</v>
      </c>
      <c r="H89" s="201">
        <v>6</v>
      </c>
      <c r="I89" s="201">
        <v>21</v>
      </c>
      <c r="J89" s="201">
        <v>35</v>
      </c>
      <c r="K89" s="246">
        <v>0</v>
      </c>
      <c r="L89" s="203">
        <v>18</v>
      </c>
      <c r="M89" s="204">
        <v>9.6</v>
      </c>
      <c r="N89" s="304"/>
      <c r="O89" s="304"/>
      <c r="P89" s="304"/>
      <c r="Q89" s="304"/>
      <c r="R89" s="304"/>
      <c r="S89" s="304"/>
      <c r="T89" s="304"/>
      <c r="U89" s="304"/>
      <c r="V89" s="304"/>
      <c r="W89" s="304"/>
      <c r="X89" s="304"/>
    </row>
    <row r="90" spans="1:24" s="237" customFormat="1" ht="15" customHeight="1" x14ac:dyDescent="0.15">
      <c r="A90" s="197" t="s">
        <v>89</v>
      </c>
      <c r="B90" s="307">
        <v>4294</v>
      </c>
      <c r="C90" s="308">
        <v>4418</v>
      </c>
      <c r="D90" s="307">
        <v>5870</v>
      </c>
      <c r="E90" s="307">
        <v>7445</v>
      </c>
      <c r="F90" s="307">
        <v>8461</v>
      </c>
      <c r="G90" s="200">
        <v>0</v>
      </c>
      <c r="H90" s="201">
        <v>17</v>
      </c>
      <c r="I90" s="201">
        <v>16</v>
      </c>
      <c r="J90" s="201">
        <v>12</v>
      </c>
      <c r="K90" s="246">
        <v>0</v>
      </c>
      <c r="L90" s="204">
        <v>2.9</v>
      </c>
      <c r="M90" s="204">
        <v>2.2000000000000002</v>
      </c>
      <c r="N90" s="304"/>
      <c r="O90" s="304"/>
      <c r="P90" s="304"/>
      <c r="Q90" s="304"/>
      <c r="R90" s="304"/>
      <c r="S90" s="304"/>
      <c r="T90" s="304"/>
      <c r="U90" s="304"/>
      <c r="V90" s="304"/>
      <c r="W90" s="304"/>
      <c r="X90" s="304"/>
    </row>
    <row r="91" spans="1:24" s="237" customFormat="1" ht="15" customHeight="1" x14ac:dyDescent="0.15">
      <c r="A91" s="197" t="s">
        <v>335</v>
      </c>
      <c r="B91" s="307">
        <v>665</v>
      </c>
      <c r="C91" s="308">
        <v>718</v>
      </c>
      <c r="D91" s="307">
        <v>1407</v>
      </c>
      <c r="E91" s="307">
        <v>2676</v>
      </c>
      <c r="F91" s="307">
        <v>3279</v>
      </c>
      <c r="G91" s="200">
        <v>0</v>
      </c>
      <c r="H91" s="201">
        <v>3</v>
      </c>
      <c r="I91" s="201">
        <v>4</v>
      </c>
      <c r="J91" s="201">
        <v>5</v>
      </c>
      <c r="K91" s="246">
        <v>0</v>
      </c>
      <c r="L91" s="204">
        <v>7</v>
      </c>
      <c r="M91" s="204">
        <v>5.2</v>
      </c>
      <c r="N91" s="304"/>
      <c r="O91" s="304"/>
      <c r="P91" s="304"/>
      <c r="Q91" s="304"/>
      <c r="R91" s="304"/>
      <c r="S91" s="304"/>
      <c r="T91" s="304"/>
      <c r="U91" s="304"/>
      <c r="V91" s="304"/>
      <c r="W91" s="304"/>
      <c r="X91" s="304"/>
    </row>
    <row r="92" spans="1:24" s="317" customFormat="1" ht="15" customHeight="1" x14ac:dyDescent="0.15">
      <c r="A92" s="309" t="s">
        <v>365</v>
      </c>
      <c r="B92" s="310">
        <v>0</v>
      </c>
      <c r="C92" s="311">
        <v>0</v>
      </c>
      <c r="D92" s="310">
        <v>129</v>
      </c>
      <c r="E92" s="310">
        <v>673</v>
      </c>
      <c r="F92" s="310">
        <v>842</v>
      </c>
      <c r="G92" s="312">
        <v>0</v>
      </c>
      <c r="H92" s="313">
        <v>0</v>
      </c>
      <c r="I92" s="314">
        <v>0</v>
      </c>
      <c r="J92" s="313">
        <v>1</v>
      </c>
      <c r="K92" s="315">
        <v>0</v>
      </c>
      <c r="L92" s="316" t="s">
        <v>345</v>
      </c>
      <c r="M92" s="316" t="s">
        <v>345</v>
      </c>
      <c r="N92" s="304"/>
      <c r="O92" s="304"/>
      <c r="P92" s="304"/>
      <c r="Q92" s="304"/>
      <c r="R92" s="304"/>
      <c r="S92" s="304"/>
      <c r="T92" s="304"/>
      <c r="U92" s="304"/>
      <c r="V92" s="304"/>
      <c r="W92" s="304"/>
      <c r="X92" s="304"/>
    </row>
    <row r="93" spans="1:24" s="237" customFormat="1" ht="15" customHeight="1" x14ac:dyDescent="0.15">
      <c r="A93" s="197" t="s">
        <v>366</v>
      </c>
      <c r="B93" s="307">
        <v>14</v>
      </c>
      <c r="C93" s="308">
        <v>14</v>
      </c>
      <c r="D93" s="307">
        <v>204</v>
      </c>
      <c r="E93" s="307">
        <v>880</v>
      </c>
      <c r="F93" s="307">
        <v>1386</v>
      </c>
      <c r="G93" s="200">
        <v>0</v>
      </c>
      <c r="H93" s="255">
        <v>0</v>
      </c>
      <c r="I93" s="201">
        <v>1</v>
      </c>
      <c r="J93" s="201">
        <v>2</v>
      </c>
      <c r="K93" s="246">
        <v>0</v>
      </c>
      <c r="L93" s="203">
        <v>31</v>
      </c>
      <c r="M93" s="203">
        <v>17</v>
      </c>
      <c r="N93" s="304"/>
      <c r="O93" s="304"/>
      <c r="P93" s="304"/>
      <c r="Q93" s="304"/>
      <c r="R93" s="304"/>
      <c r="S93" s="304"/>
      <c r="T93" s="304"/>
      <c r="U93" s="304"/>
      <c r="V93" s="304"/>
      <c r="W93" s="304"/>
      <c r="X93" s="304"/>
    </row>
    <row r="94" spans="1:24" s="237" customFormat="1" ht="15" customHeight="1" x14ac:dyDescent="0.15">
      <c r="A94" s="197" t="s">
        <v>94</v>
      </c>
      <c r="B94" s="307">
        <v>92</v>
      </c>
      <c r="C94" s="308">
        <v>94</v>
      </c>
      <c r="D94" s="307">
        <v>330</v>
      </c>
      <c r="E94" s="307">
        <v>625</v>
      </c>
      <c r="F94" s="307">
        <v>821</v>
      </c>
      <c r="G94" s="200">
        <v>0</v>
      </c>
      <c r="H94" s="255">
        <v>0</v>
      </c>
      <c r="I94" s="201">
        <v>1</v>
      </c>
      <c r="J94" s="201">
        <v>1</v>
      </c>
      <c r="K94" s="246">
        <v>0</v>
      </c>
      <c r="L94" s="203">
        <v>13</v>
      </c>
      <c r="M94" s="204">
        <v>7.5</v>
      </c>
      <c r="N94" s="304"/>
      <c r="O94" s="304"/>
      <c r="P94" s="304"/>
      <c r="Q94" s="304"/>
      <c r="R94" s="304"/>
      <c r="S94" s="304"/>
      <c r="T94" s="304"/>
      <c r="U94" s="304"/>
      <c r="V94" s="304"/>
      <c r="W94" s="304"/>
      <c r="X94" s="304"/>
    </row>
    <row r="95" spans="1:24" s="237" customFormat="1" ht="15" customHeight="1" x14ac:dyDescent="0.15">
      <c r="A95" s="197" t="s">
        <v>367</v>
      </c>
      <c r="B95" s="307">
        <v>1</v>
      </c>
      <c r="C95" s="308">
        <v>2</v>
      </c>
      <c r="D95" s="307">
        <v>27</v>
      </c>
      <c r="E95" s="307">
        <v>77</v>
      </c>
      <c r="F95" s="307">
        <v>132</v>
      </c>
      <c r="G95" s="200">
        <v>0</v>
      </c>
      <c r="H95" s="255">
        <v>0</v>
      </c>
      <c r="I95" s="255">
        <v>0</v>
      </c>
      <c r="J95" s="255">
        <v>0</v>
      </c>
      <c r="K95" s="246">
        <v>0</v>
      </c>
      <c r="L95" s="203">
        <v>28</v>
      </c>
      <c r="M95" s="203">
        <v>14</v>
      </c>
      <c r="N95" s="304"/>
      <c r="O95" s="304"/>
      <c r="P95" s="304"/>
      <c r="Q95" s="304"/>
      <c r="R95" s="304"/>
      <c r="S95" s="304"/>
      <c r="T95" s="304"/>
      <c r="U95" s="304"/>
      <c r="V95" s="304"/>
      <c r="W95" s="304"/>
      <c r="X95" s="304"/>
    </row>
    <row r="96" spans="1:24" ht="15" customHeight="1" x14ac:dyDescent="0.15">
      <c r="A96" s="190" t="s">
        <v>87</v>
      </c>
      <c r="B96" s="305">
        <v>2792</v>
      </c>
      <c r="C96" s="306">
        <v>2698</v>
      </c>
      <c r="D96" s="305">
        <v>3777</v>
      </c>
      <c r="E96" s="305">
        <v>4855</v>
      </c>
      <c r="F96" s="305">
        <v>5497</v>
      </c>
      <c r="G96" s="193">
        <v>0</v>
      </c>
      <c r="H96" s="194">
        <v>10</v>
      </c>
      <c r="I96" s="194">
        <v>10</v>
      </c>
      <c r="J96" s="194">
        <v>8</v>
      </c>
      <c r="K96" s="243">
        <v>0</v>
      </c>
      <c r="L96" s="196">
        <v>3.4</v>
      </c>
      <c r="M96" s="196">
        <v>2.4</v>
      </c>
      <c r="N96" s="304"/>
      <c r="O96" s="304"/>
      <c r="P96" s="304"/>
      <c r="Q96" s="304"/>
      <c r="R96" s="304"/>
      <c r="S96" s="304"/>
      <c r="T96" s="304"/>
      <c r="U96" s="304"/>
      <c r="V96" s="304"/>
      <c r="W96" s="304"/>
      <c r="X96" s="304"/>
    </row>
    <row r="97" spans="1:24" ht="15" customHeight="1" x14ac:dyDescent="0.15">
      <c r="A97" s="190" t="s">
        <v>368</v>
      </c>
      <c r="B97" s="305">
        <v>0</v>
      </c>
      <c r="C97" s="306">
        <v>0</v>
      </c>
      <c r="D97" s="305">
        <v>875</v>
      </c>
      <c r="E97" s="305">
        <v>1857</v>
      </c>
      <c r="F97" s="305">
        <v>1713</v>
      </c>
      <c r="G97" s="193">
        <v>0</v>
      </c>
      <c r="H97" s="194">
        <v>0</v>
      </c>
      <c r="I97" s="194">
        <v>2</v>
      </c>
      <c r="J97" s="194">
        <v>2</v>
      </c>
      <c r="K97" s="243">
        <v>0</v>
      </c>
      <c r="L97" s="206" t="s">
        <v>345</v>
      </c>
      <c r="M97" s="206" t="s">
        <v>345</v>
      </c>
      <c r="N97" s="304"/>
      <c r="O97" s="304"/>
      <c r="P97" s="304"/>
      <c r="Q97" s="304"/>
      <c r="R97" s="304"/>
      <c r="S97" s="304"/>
      <c r="T97" s="304"/>
      <c r="U97" s="304"/>
      <c r="V97" s="304"/>
      <c r="W97" s="304"/>
      <c r="X97" s="304"/>
    </row>
    <row r="98" spans="1:24" ht="15" customHeight="1" x14ac:dyDescent="0.15">
      <c r="A98" s="190" t="s">
        <v>369</v>
      </c>
      <c r="B98" s="305">
        <v>1</v>
      </c>
      <c r="C98" s="306">
        <v>4</v>
      </c>
      <c r="D98" s="305">
        <v>459</v>
      </c>
      <c r="E98" s="305">
        <v>1659</v>
      </c>
      <c r="F98" s="305">
        <v>1332</v>
      </c>
      <c r="G98" s="193">
        <v>0</v>
      </c>
      <c r="H98" s="229">
        <v>0</v>
      </c>
      <c r="I98" s="194">
        <v>1</v>
      </c>
      <c r="J98" s="194">
        <v>2</v>
      </c>
      <c r="K98" s="243">
        <v>0</v>
      </c>
      <c r="L98" s="209">
        <v>61</v>
      </c>
      <c r="M98" s="209">
        <v>22</v>
      </c>
      <c r="N98" s="304"/>
      <c r="O98" s="304"/>
      <c r="P98" s="304"/>
      <c r="Q98" s="304"/>
      <c r="R98" s="304"/>
      <c r="S98" s="304"/>
      <c r="T98" s="304"/>
      <c r="U98" s="304"/>
      <c r="V98" s="304"/>
      <c r="W98" s="304"/>
      <c r="X98" s="304"/>
    </row>
    <row r="99" spans="1:24" s="237" customFormat="1" ht="15" customHeight="1" x14ac:dyDescent="0.15">
      <c r="A99" s="197" t="s">
        <v>333</v>
      </c>
      <c r="B99" s="307">
        <v>1</v>
      </c>
      <c r="C99" s="308">
        <v>4</v>
      </c>
      <c r="D99" s="307">
        <v>289</v>
      </c>
      <c r="E99" s="307">
        <v>966</v>
      </c>
      <c r="F99" s="307">
        <v>663</v>
      </c>
      <c r="G99" s="200">
        <v>0</v>
      </c>
      <c r="H99" s="255">
        <v>0</v>
      </c>
      <c r="I99" s="201">
        <v>1</v>
      </c>
      <c r="J99" s="201">
        <v>1</v>
      </c>
      <c r="K99" s="243">
        <v>0</v>
      </c>
      <c r="L99" s="209">
        <v>54</v>
      </c>
      <c r="M99" s="209">
        <v>19</v>
      </c>
      <c r="N99" s="304"/>
      <c r="O99" s="304"/>
      <c r="P99" s="304"/>
      <c r="Q99" s="304"/>
      <c r="R99" s="304"/>
      <c r="S99" s="304"/>
      <c r="T99" s="304"/>
      <c r="U99" s="304"/>
      <c r="V99" s="304"/>
      <c r="W99" s="304"/>
      <c r="X99" s="304"/>
    </row>
    <row r="100" spans="1:24" s="237" customFormat="1" ht="15" customHeight="1" x14ac:dyDescent="0.15">
      <c r="A100" s="197" t="s">
        <v>330</v>
      </c>
      <c r="B100" s="307">
        <v>0</v>
      </c>
      <c r="C100" s="308">
        <v>0</v>
      </c>
      <c r="D100" s="307">
        <v>170</v>
      </c>
      <c r="E100" s="307">
        <v>694</v>
      </c>
      <c r="F100" s="307">
        <v>669</v>
      </c>
      <c r="G100" s="200">
        <v>0</v>
      </c>
      <c r="H100" s="201">
        <v>0</v>
      </c>
      <c r="I100" s="255">
        <v>0</v>
      </c>
      <c r="J100" s="201">
        <v>1</v>
      </c>
      <c r="K100" s="243">
        <v>0</v>
      </c>
      <c r="L100" s="206" t="s">
        <v>345</v>
      </c>
      <c r="M100" s="206" t="s">
        <v>345</v>
      </c>
      <c r="N100" s="304"/>
      <c r="O100" s="304"/>
      <c r="P100" s="304"/>
      <c r="Q100" s="304"/>
      <c r="R100" s="304"/>
      <c r="S100" s="304"/>
      <c r="T100" s="304"/>
      <c r="U100" s="304"/>
      <c r="V100" s="304"/>
      <c r="W100" s="304"/>
      <c r="X100" s="304"/>
    </row>
    <row r="101" spans="1:24" ht="15" customHeight="1" x14ac:dyDescent="0.15">
      <c r="A101" s="190" t="s">
        <v>370</v>
      </c>
      <c r="B101" s="305">
        <v>16941</v>
      </c>
      <c r="C101" s="306">
        <v>16382</v>
      </c>
      <c r="D101" s="305">
        <v>9358</v>
      </c>
      <c r="E101" s="305">
        <v>632</v>
      </c>
      <c r="F101" s="305">
        <v>259</v>
      </c>
      <c r="G101" s="193">
        <v>0</v>
      </c>
      <c r="H101" s="194">
        <v>61</v>
      </c>
      <c r="I101" s="194">
        <v>25</v>
      </c>
      <c r="J101" s="229">
        <v>0</v>
      </c>
      <c r="K101" s="243">
        <v>0</v>
      </c>
      <c r="L101" s="196">
        <v>-5.4</v>
      </c>
      <c r="M101" s="209">
        <v>-13</v>
      </c>
      <c r="N101" s="304"/>
      <c r="O101" s="304"/>
      <c r="P101" s="304"/>
      <c r="Q101" s="304"/>
      <c r="R101" s="304"/>
      <c r="S101" s="304"/>
      <c r="T101" s="304"/>
      <c r="U101" s="304"/>
      <c r="V101" s="304"/>
      <c r="W101" s="304"/>
      <c r="X101" s="304"/>
    </row>
    <row r="102" spans="1:24" s="237" customFormat="1" ht="15" customHeight="1" x14ac:dyDescent="0.15">
      <c r="A102" s="197" t="s">
        <v>85</v>
      </c>
      <c r="B102" s="307">
        <v>9832</v>
      </c>
      <c r="C102" s="308">
        <v>9426</v>
      </c>
      <c r="D102" s="307">
        <v>2947</v>
      </c>
      <c r="E102" s="252">
        <v>0</v>
      </c>
      <c r="F102" s="252">
        <v>0</v>
      </c>
      <c r="G102" s="200">
        <v>0</v>
      </c>
      <c r="H102" s="201">
        <v>35</v>
      </c>
      <c r="I102" s="201">
        <v>8</v>
      </c>
      <c r="J102" s="255">
        <v>0</v>
      </c>
      <c r="K102" s="243">
        <v>0</v>
      </c>
      <c r="L102" s="209">
        <v>-11</v>
      </c>
      <c r="M102" s="209">
        <v>-40</v>
      </c>
      <c r="N102" s="304"/>
      <c r="O102" s="304"/>
      <c r="P102" s="304"/>
      <c r="Q102" s="304"/>
      <c r="R102" s="304"/>
      <c r="S102" s="304"/>
      <c r="T102" s="304"/>
      <c r="U102" s="304"/>
      <c r="V102" s="304"/>
      <c r="W102" s="304"/>
      <c r="X102" s="304"/>
    </row>
    <row r="103" spans="1:24" s="237" customFormat="1" ht="15" customHeight="1" x14ac:dyDescent="0.15">
      <c r="A103" s="197" t="s">
        <v>86</v>
      </c>
      <c r="B103" s="307">
        <v>6314</v>
      </c>
      <c r="C103" s="308">
        <v>6200</v>
      </c>
      <c r="D103" s="307">
        <v>6222</v>
      </c>
      <c r="E103" s="307">
        <v>626</v>
      </c>
      <c r="F103" s="307">
        <v>253</v>
      </c>
      <c r="G103" s="200">
        <v>0</v>
      </c>
      <c r="H103" s="201">
        <v>23</v>
      </c>
      <c r="I103" s="201">
        <v>17</v>
      </c>
      <c r="J103" s="255">
        <v>0</v>
      </c>
      <c r="K103" s="243">
        <v>0</v>
      </c>
      <c r="L103" s="196">
        <v>0</v>
      </c>
      <c r="M103" s="209">
        <v>-10</v>
      </c>
      <c r="N103" s="304"/>
      <c r="O103" s="304"/>
      <c r="P103" s="304"/>
      <c r="Q103" s="304"/>
      <c r="R103" s="304"/>
      <c r="S103" s="304"/>
      <c r="T103" s="304"/>
      <c r="U103" s="304"/>
      <c r="V103" s="304"/>
      <c r="W103" s="304"/>
      <c r="X103" s="304"/>
    </row>
    <row r="104" spans="1:24" s="237" customFormat="1" ht="15" customHeight="1" thickBot="1" x14ac:dyDescent="0.2">
      <c r="A104" s="318" t="s">
        <v>84</v>
      </c>
      <c r="B104" s="319">
        <v>795</v>
      </c>
      <c r="C104" s="320">
        <v>756</v>
      </c>
      <c r="D104" s="319">
        <v>189</v>
      </c>
      <c r="E104" s="319">
        <v>6</v>
      </c>
      <c r="F104" s="319">
        <v>6</v>
      </c>
      <c r="G104" s="321">
        <v>0</v>
      </c>
      <c r="H104" s="322">
        <v>3</v>
      </c>
      <c r="I104" s="322">
        <v>1</v>
      </c>
      <c r="J104" s="323">
        <v>0</v>
      </c>
      <c r="K104" s="324">
        <v>0</v>
      </c>
      <c r="L104" s="325">
        <v>-13</v>
      </c>
      <c r="M104" s="325">
        <v>-15</v>
      </c>
      <c r="N104" s="304"/>
      <c r="O104" s="304"/>
      <c r="P104" s="304"/>
      <c r="Q104" s="304"/>
      <c r="R104" s="304"/>
      <c r="S104" s="304"/>
      <c r="T104" s="304"/>
      <c r="U104" s="304"/>
      <c r="V104" s="304"/>
      <c r="W104" s="304"/>
      <c r="X104" s="304"/>
    </row>
    <row r="105" spans="1:24" ht="15.75" customHeight="1" x14ac:dyDescent="0.15">
      <c r="N105" s="304"/>
      <c r="O105" s="304"/>
      <c r="P105" s="304"/>
      <c r="Q105" s="304"/>
      <c r="R105" s="304"/>
      <c r="S105" s="304"/>
      <c r="T105" s="304"/>
      <c r="U105" s="304"/>
      <c r="V105" s="304"/>
      <c r="W105" s="304"/>
      <c r="X105" s="304"/>
    </row>
    <row r="106" spans="1:24" ht="13.5" customHeight="1" x14ac:dyDescent="0.15">
      <c r="A106" s="174"/>
      <c r="B106" s="175" t="s">
        <v>371</v>
      </c>
      <c r="C106" s="175"/>
      <c r="D106" s="175"/>
      <c r="E106" s="175"/>
      <c r="F106" s="175"/>
      <c r="G106" s="175"/>
      <c r="H106" s="175" t="s">
        <v>372</v>
      </c>
      <c r="I106" s="175"/>
      <c r="J106" s="175"/>
      <c r="K106" s="175"/>
      <c r="L106" s="175" t="s">
        <v>318</v>
      </c>
      <c r="M106" s="175"/>
      <c r="N106" s="304"/>
      <c r="O106" s="304"/>
      <c r="P106" s="304"/>
      <c r="Q106" s="304"/>
      <c r="R106" s="304"/>
      <c r="S106" s="304"/>
      <c r="T106" s="304"/>
      <c r="U106" s="304"/>
      <c r="V106" s="304"/>
      <c r="W106" s="304"/>
      <c r="X106" s="304"/>
    </row>
    <row r="107" spans="1:24" ht="26" x14ac:dyDescent="0.15">
      <c r="A107" s="174"/>
      <c r="B107" s="180">
        <v>2019</v>
      </c>
      <c r="C107" s="180">
        <v>2020</v>
      </c>
      <c r="D107" s="180">
        <v>2030</v>
      </c>
      <c r="E107" s="180">
        <v>2040</v>
      </c>
      <c r="F107" s="180">
        <v>2050</v>
      </c>
      <c r="G107" s="302"/>
      <c r="H107" s="180">
        <v>2020</v>
      </c>
      <c r="I107" s="180">
        <v>2030</v>
      </c>
      <c r="J107" s="180">
        <v>2050</v>
      </c>
      <c r="K107" s="239"/>
      <c r="L107" s="182" t="s">
        <v>319</v>
      </c>
      <c r="M107" s="182" t="s">
        <v>320</v>
      </c>
      <c r="N107" s="304"/>
      <c r="O107" s="304"/>
      <c r="P107" s="304"/>
      <c r="Q107" s="304"/>
      <c r="R107" s="304"/>
      <c r="S107" s="304"/>
      <c r="T107" s="304"/>
      <c r="U107" s="304"/>
      <c r="V107" s="304"/>
      <c r="W107" s="304"/>
      <c r="X107" s="304"/>
    </row>
    <row r="108" spans="1:24" ht="15" customHeight="1" x14ac:dyDescent="0.15">
      <c r="A108" s="183" t="s">
        <v>373</v>
      </c>
      <c r="B108" s="303">
        <v>7484</v>
      </c>
      <c r="C108" s="303">
        <v>7795</v>
      </c>
      <c r="D108" s="303">
        <v>14933</v>
      </c>
      <c r="E108" s="303">
        <v>26384</v>
      </c>
      <c r="F108" s="303">
        <v>33415</v>
      </c>
      <c r="G108" s="185">
        <v>0</v>
      </c>
      <c r="H108" s="186">
        <v>100</v>
      </c>
      <c r="I108" s="186">
        <v>100</v>
      </c>
      <c r="J108" s="186">
        <v>100</v>
      </c>
      <c r="K108" s="241">
        <v>0</v>
      </c>
      <c r="L108" s="188">
        <v>6.7</v>
      </c>
      <c r="M108" s="188">
        <v>5</v>
      </c>
      <c r="N108" s="304"/>
      <c r="O108" s="304"/>
      <c r="P108" s="304"/>
      <c r="Q108" s="304"/>
      <c r="R108" s="304"/>
      <c r="S108" s="304"/>
      <c r="T108" s="304"/>
      <c r="U108" s="304"/>
      <c r="V108" s="304"/>
      <c r="W108" s="304"/>
      <c r="X108" s="304"/>
    </row>
    <row r="109" spans="1:24" ht="15" customHeight="1" x14ac:dyDescent="0.15">
      <c r="A109" s="190" t="s">
        <v>322</v>
      </c>
      <c r="B109" s="305">
        <v>2707</v>
      </c>
      <c r="C109" s="306">
        <v>2994</v>
      </c>
      <c r="D109" s="305">
        <v>10293</v>
      </c>
      <c r="E109" s="305">
        <v>20732</v>
      </c>
      <c r="F109" s="305">
        <v>26568</v>
      </c>
      <c r="G109" s="193">
        <v>0</v>
      </c>
      <c r="H109" s="194">
        <v>38</v>
      </c>
      <c r="I109" s="194">
        <v>69</v>
      </c>
      <c r="J109" s="194">
        <v>80</v>
      </c>
      <c r="K109" s="243">
        <v>0</v>
      </c>
      <c r="L109" s="209">
        <v>13</v>
      </c>
      <c r="M109" s="196">
        <v>7.5</v>
      </c>
      <c r="N109" s="304"/>
      <c r="O109" s="304"/>
      <c r="P109" s="304"/>
      <c r="Q109" s="304"/>
      <c r="R109" s="304"/>
      <c r="S109" s="304"/>
      <c r="T109" s="304"/>
      <c r="U109" s="304"/>
      <c r="V109" s="304"/>
      <c r="W109" s="304"/>
      <c r="X109" s="304"/>
    </row>
    <row r="110" spans="1:24" s="237" customFormat="1" ht="15" customHeight="1" x14ac:dyDescent="0.15">
      <c r="A110" s="197" t="s">
        <v>96</v>
      </c>
      <c r="B110" s="307">
        <v>603</v>
      </c>
      <c r="C110" s="308">
        <v>737</v>
      </c>
      <c r="D110" s="307">
        <v>4956</v>
      </c>
      <c r="E110" s="307">
        <v>10980</v>
      </c>
      <c r="F110" s="307">
        <v>14458</v>
      </c>
      <c r="G110" s="200">
        <v>0</v>
      </c>
      <c r="H110" s="326">
        <v>9</v>
      </c>
      <c r="I110" s="326">
        <v>33</v>
      </c>
      <c r="J110" s="326">
        <v>43</v>
      </c>
      <c r="K110" s="327">
        <v>0</v>
      </c>
      <c r="L110" s="203">
        <v>21</v>
      </c>
      <c r="M110" s="203">
        <v>10</v>
      </c>
      <c r="N110" s="304"/>
      <c r="O110" s="304"/>
      <c r="P110" s="304"/>
      <c r="Q110" s="304"/>
      <c r="R110" s="304"/>
      <c r="S110" s="304"/>
      <c r="T110" s="304"/>
      <c r="U110" s="304"/>
      <c r="V110" s="304"/>
      <c r="W110" s="304"/>
      <c r="X110" s="304"/>
    </row>
    <row r="111" spans="1:24" s="237" customFormat="1" ht="15" customHeight="1" x14ac:dyDescent="0.15">
      <c r="A111" s="197" t="s">
        <v>95</v>
      </c>
      <c r="B111" s="307">
        <v>623</v>
      </c>
      <c r="C111" s="308">
        <v>737</v>
      </c>
      <c r="D111" s="307">
        <v>3101</v>
      </c>
      <c r="E111" s="307">
        <v>6525</v>
      </c>
      <c r="F111" s="307">
        <v>8265</v>
      </c>
      <c r="G111" s="200">
        <v>0</v>
      </c>
      <c r="H111" s="326">
        <v>9</v>
      </c>
      <c r="I111" s="326">
        <v>21</v>
      </c>
      <c r="J111" s="326">
        <v>25</v>
      </c>
      <c r="K111" s="327">
        <v>0</v>
      </c>
      <c r="L111" s="203">
        <v>15</v>
      </c>
      <c r="M111" s="204">
        <v>8.4</v>
      </c>
      <c r="N111" s="304"/>
      <c r="O111" s="304"/>
      <c r="P111" s="304"/>
      <c r="Q111" s="304"/>
      <c r="R111" s="304"/>
      <c r="S111" s="304"/>
      <c r="T111" s="304"/>
      <c r="U111" s="304"/>
      <c r="V111" s="304"/>
      <c r="W111" s="304"/>
      <c r="X111" s="304"/>
    </row>
    <row r="112" spans="1:24" s="237" customFormat="1" ht="15" customHeight="1" x14ac:dyDescent="0.15">
      <c r="A112" s="197" t="s">
        <v>89</v>
      </c>
      <c r="B112" s="307">
        <v>1306</v>
      </c>
      <c r="C112" s="308">
        <v>1327</v>
      </c>
      <c r="D112" s="307">
        <v>1804</v>
      </c>
      <c r="E112" s="307">
        <v>2282</v>
      </c>
      <c r="F112" s="307">
        <v>2599</v>
      </c>
      <c r="G112" s="200">
        <v>0</v>
      </c>
      <c r="H112" s="326">
        <v>17</v>
      </c>
      <c r="I112" s="326">
        <v>12</v>
      </c>
      <c r="J112" s="326">
        <v>8</v>
      </c>
      <c r="K112" s="327">
        <v>0</v>
      </c>
      <c r="L112" s="204">
        <v>3.1</v>
      </c>
      <c r="M112" s="204">
        <v>2.2999999999999998</v>
      </c>
      <c r="N112" s="304"/>
      <c r="O112" s="304"/>
      <c r="P112" s="304"/>
      <c r="Q112" s="304"/>
      <c r="R112" s="304"/>
      <c r="S112" s="304"/>
      <c r="T112" s="304"/>
      <c r="U112" s="304"/>
      <c r="V112" s="304"/>
      <c r="W112" s="304"/>
      <c r="X112" s="304"/>
    </row>
    <row r="113" spans="1:24" s="237" customFormat="1" ht="15" customHeight="1" x14ac:dyDescent="0.15">
      <c r="A113" s="197" t="s">
        <v>335</v>
      </c>
      <c r="B113" s="307">
        <v>153</v>
      </c>
      <c r="C113" s="308">
        <v>171</v>
      </c>
      <c r="D113" s="307">
        <v>297</v>
      </c>
      <c r="E113" s="307">
        <v>534</v>
      </c>
      <c r="F113" s="307">
        <v>640</v>
      </c>
      <c r="G113" s="200">
        <v>0</v>
      </c>
      <c r="H113" s="326">
        <v>2</v>
      </c>
      <c r="I113" s="326">
        <v>2</v>
      </c>
      <c r="J113" s="326">
        <v>2</v>
      </c>
      <c r="K113" s="327">
        <v>0</v>
      </c>
      <c r="L113" s="204">
        <v>5.7</v>
      </c>
      <c r="M113" s="204">
        <v>4.5</v>
      </c>
      <c r="N113" s="304"/>
      <c r="O113" s="304"/>
      <c r="P113" s="304"/>
      <c r="Q113" s="304"/>
      <c r="R113" s="304"/>
      <c r="S113" s="304"/>
      <c r="T113" s="304"/>
      <c r="U113" s="304"/>
      <c r="V113" s="304"/>
      <c r="W113" s="304"/>
      <c r="X113" s="304"/>
    </row>
    <row r="114" spans="1:24" s="237" customFormat="1" ht="15" customHeight="1" x14ac:dyDescent="0.15">
      <c r="A114" s="309" t="s">
        <v>365</v>
      </c>
      <c r="B114" s="310">
        <v>0</v>
      </c>
      <c r="C114" s="311">
        <v>0</v>
      </c>
      <c r="D114" s="310">
        <v>28</v>
      </c>
      <c r="E114" s="310">
        <v>125</v>
      </c>
      <c r="F114" s="310">
        <v>152</v>
      </c>
      <c r="G114" s="312">
        <v>0</v>
      </c>
      <c r="H114" s="328">
        <v>0</v>
      </c>
      <c r="I114" s="329">
        <v>0</v>
      </c>
      <c r="J114" s="329">
        <v>0</v>
      </c>
      <c r="K114" s="330">
        <v>0</v>
      </c>
      <c r="L114" s="316" t="s">
        <v>345</v>
      </c>
      <c r="M114" s="316" t="s">
        <v>345</v>
      </c>
      <c r="N114" s="304"/>
      <c r="O114" s="304"/>
      <c r="P114" s="304"/>
      <c r="Q114" s="304"/>
      <c r="R114" s="304"/>
      <c r="S114" s="304"/>
      <c r="T114" s="304"/>
      <c r="U114" s="304"/>
      <c r="V114" s="304"/>
      <c r="W114" s="304"/>
      <c r="X114" s="304"/>
    </row>
    <row r="115" spans="1:24" s="237" customFormat="1" ht="15" customHeight="1" x14ac:dyDescent="0.15">
      <c r="A115" s="197" t="s">
        <v>366</v>
      </c>
      <c r="B115" s="307">
        <v>6</v>
      </c>
      <c r="C115" s="308">
        <v>6</v>
      </c>
      <c r="D115" s="307">
        <v>73</v>
      </c>
      <c r="E115" s="307">
        <v>281</v>
      </c>
      <c r="F115" s="307">
        <v>426</v>
      </c>
      <c r="G115" s="200">
        <v>0</v>
      </c>
      <c r="H115" s="331">
        <v>0</v>
      </c>
      <c r="I115" s="331">
        <v>0</v>
      </c>
      <c r="J115" s="331">
        <v>1</v>
      </c>
      <c r="K115" s="327">
        <v>0</v>
      </c>
      <c r="L115" s="203">
        <v>28</v>
      </c>
      <c r="M115" s="203">
        <v>15</v>
      </c>
      <c r="N115" s="304"/>
      <c r="O115" s="304"/>
      <c r="P115" s="304"/>
      <c r="Q115" s="304"/>
      <c r="R115" s="304"/>
      <c r="S115" s="304"/>
      <c r="T115" s="304"/>
      <c r="U115" s="304"/>
      <c r="V115" s="304"/>
      <c r="W115" s="304"/>
      <c r="X115" s="304"/>
    </row>
    <row r="116" spans="1:24" s="237" customFormat="1" ht="15" customHeight="1" x14ac:dyDescent="0.15">
      <c r="A116" s="197" t="s">
        <v>94</v>
      </c>
      <c r="B116" s="307">
        <v>15</v>
      </c>
      <c r="C116" s="308">
        <v>15</v>
      </c>
      <c r="D116" s="307">
        <v>52</v>
      </c>
      <c r="E116" s="307">
        <v>98</v>
      </c>
      <c r="F116" s="307">
        <v>126</v>
      </c>
      <c r="G116" s="200">
        <v>0</v>
      </c>
      <c r="H116" s="331">
        <v>0</v>
      </c>
      <c r="I116" s="331">
        <v>0</v>
      </c>
      <c r="J116" s="331">
        <v>0</v>
      </c>
      <c r="K116" s="327">
        <v>0</v>
      </c>
      <c r="L116" s="203">
        <v>13</v>
      </c>
      <c r="M116" s="204">
        <v>7.4</v>
      </c>
      <c r="N116" s="304"/>
      <c r="O116" s="304"/>
      <c r="P116" s="304"/>
      <c r="Q116" s="304"/>
      <c r="R116" s="304"/>
      <c r="S116" s="304"/>
      <c r="T116" s="304"/>
      <c r="U116" s="304"/>
      <c r="V116" s="304"/>
      <c r="W116" s="304"/>
      <c r="X116" s="304"/>
    </row>
    <row r="117" spans="1:24" s="237" customFormat="1" ht="15" customHeight="1" x14ac:dyDescent="0.15">
      <c r="A117" s="197" t="s">
        <v>367</v>
      </c>
      <c r="B117" s="307">
        <v>1</v>
      </c>
      <c r="C117" s="308">
        <v>1</v>
      </c>
      <c r="D117" s="307">
        <v>11</v>
      </c>
      <c r="E117" s="307">
        <v>32</v>
      </c>
      <c r="F117" s="307">
        <v>55</v>
      </c>
      <c r="G117" s="200">
        <v>0</v>
      </c>
      <c r="H117" s="331">
        <v>0</v>
      </c>
      <c r="I117" s="331">
        <v>0</v>
      </c>
      <c r="J117" s="331">
        <v>0</v>
      </c>
      <c r="K117" s="327">
        <v>0</v>
      </c>
      <c r="L117" s="203">
        <v>35</v>
      </c>
      <c r="M117" s="203">
        <v>16</v>
      </c>
      <c r="N117" s="304"/>
      <c r="O117" s="304"/>
      <c r="P117" s="304"/>
      <c r="Q117" s="304"/>
      <c r="R117" s="304"/>
      <c r="S117" s="304"/>
      <c r="T117" s="304"/>
      <c r="U117" s="304"/>
      <c r="V117" s="304"/>
      <c r="W117" s="304"/>
      <c r="X117" s="304"/>
    </row>
    <row r="118" spans="1:24" ht="15" customHeight="1" x14ac:dyDescent="0.15">
      <c r="A118" s="190" t="s">
        <v>87</v>
      </c>
      <c r="B118" s="305">
        <v>415</v>
      </c>
      <c r="C118" s="306">
        <v>415</v>
      </c>
      <c r="D118" s="305">
        <v>515</v>
      </c>
      <c r="E118" s="305">
        <v>730</v>
      </c>
      <c r="F118" s="305">
        <v>812</v>
      </c>
      <c r="G118" s="193">
        <v>0</v>
      </c>
      <c r="H118" s="194">
        <v>5</v>
      </c>
      <c r="I118" s="194">
        <v>3</v>
      </c>
      <c r="J118" s="194">
        <v>2</v>
      </c>
      <c r="K118" s="243">
        <v>0</v>
      </c>
      <c r="L118" s="196">
        <v>2.2000000000000002</v>
      </c>
      <c r="M118" s="196">
        <v>2.2999999999999998</v>
      </c>
      <c r="N118" s="304"/>
      <c r="O118" s="304"/>
      <c r="P118" s="304"/>
      <c r="Q118" s="304"/>
      <c r="R118" s="304"/>
      <c r="S118" s="304"/>
      <c r="T118" s="304"/>
      <c r="U118" s="304"/>
      <c r="V118" s="304"/>
      <c r="W118" s="304"/>
      <c r="X118" s="304"/>
    </row>
    <row r="119" spans="1:24" ht="15" customHeight="1" x14ac:dyDescent="0.15">
      <c r="A119" s="190" t="s">
        <v>368</v>
      </c>
      <c r="B119" s="305">
        <v>0</v>
      </c>
      <c r="C119" s="306">
        <v>0</v>
      </c>
      <c r="D119" s="305">
        <v>139</v>
      </c>
      <c r="E119" s="305">
        <v>1455</v>
      </c>
      <c r="F119" s="305">
        <v>1867</v>
      </c>
      <c r="G119" s="193">
        <v>0</v>
      </c>
      <c r="H119" s="194">
        <v>0</v>
      </c>
      <c r="I119" s="194">
        <v>1</v>
      </c>
      <c r="J119" s="194">
        <v>6</v>
      </c>
      <c r="K119" s="243">
        <v>0</v>
      </c>
      <c r="L119" s="206" t="s">
        <v>345</v>
      </c>
      <c r="M119" s="206" t="s">
        <v>345</v>
      </c>
      <c r="N119" s="304"/>
      <c r="O119" s="304"/>
      <c r="P119" s="304"/>
      <c r="Q119" s="304"/>
      <c r="R119" s="304"/>
      <c r="S119" s="304"/>
      <c r="T119" s="304"/>
      <c r="U119" s="304"/>
      <c r="V119" s="304"/>
      <c r="W119" s="304"/>
      <c r="X119" s="304"/>
    </row>
    <row r="120" spans="1:24" ht="15" customHeight="1" x14ac:dyDescent="0.15">
      <c r="A120" s="190" t="s">
        <v>369</v>
      </c>
      <c r="B120" s="332">
        <v>0</v>
      </c>
      <c r="C120" s="306">
        <v>1</v>
      </c>
      <c r="D120" s="305">
        <v>81</v>
      </c>
      <c r="E120" s="305">
        <v>312</v>
      </c>
      <c r="F120" s="305">
        <v>394</v>
      </c>
      <c r="G120" s="193">
        <v>0</v>
      </c>
      <c r="H120" s="208">
        <v>0</v>
      </c>
      <c r="I120" s="194">
        <v>1</v>
      </c>
      <c r="J120" s="194">
        <v>1</v>
      </c>
      <c r="K120" s="243">
        <v>0</v>
      </c>
      <c r="L120" s="209">
        <v>66</v>
      </c>
      <c r="M120" s="209">
        <v>25</v>
      </c>
      <c r="N120" s="304"/>
      <c r="O120" s="304"/>
      <c r="P120" s="304"/>
      <c r="Q120" s="304"/>
      <c r="R120" s="304"/>
      <c r="S120" s="304"/>
      <c r="T120" s="304"/>
      <c r="U120" s="304"/>
      <c r="V120" s="304"/>
      <c r="W120" s="304"/>
      <c r="X120" s="304"/>
    </row>
    <row r="121" spans="1:24" s="237" customFormat="1" ht="15" customHeight="1" x14ac:dyDescent="0.15">
      <c r="A121" s="197" t="s">
        <v>333</v>
      </c>
      <c r="B121" s="252">
        <v>0</v>
      </c>
      <c r="C121" s="308">
        <v>1</v>
      </c>
      <c r="D121" s="307">
        <v>53</v>
      </c>
      <c r="E121" s="307">
        <v>182</v>
      </c>
      <c r="F121" s="307">
        <v>222</v>
      </c>
      <c r="G121" s="200">
        <v>0</v>
      </c>
      <c r="H121" s="331">
        <v>0</v>
      </c>
      <c r="I121" s="331">
        <v>0</v>
      </c>
      <c r="J121" s="326">
        <v>1</v>
      </c>
      <c r="K121" s="327">
        <v>0</v>
      </c>
      <c r="L121" s="203">
        <v>59</v>
      </c>
      <c r="M121" s="203">
        <v>22</v>
      </c>
      <c r="N121" s="304"/>
      <c r="O121" s="304"/>
      <c r="P121" s="304"/>
      <c r="Q121" s="304"/>
      <c r="R121" s="304"/>
      <c r="S121" s="304"/>
      <c r="T121" s="304"/>
      <c r="U121" s="304"/>
      <c r="V121" s="304"/>
      <c r="W121" s="304"/>
      <c r="X121" s="304"/>
    </row>
    <row r="122" spans="1:24" s="237" customFormat="1" ht="15" customHeight="1" x14ac:dyDescent="0.15">
      <c r="A122" s="197" t="s">
        <v>330</v>
      </c>
      <c r="B122" s="307">
        <v>0</v>
      </c>
      <c r="C122" s="308">
        <v>0</v>
      </c>
      <c r="D122" s="307">
        <v>28</v>
      </c>
      <c r="E122" s="307">
        <v>130</v>
      </c>
      <c r="F122" s="307">
        <v>171</v>
      </c>
      <c r="G122" s="200">
        <v>0</v>
      </c>
      <c r="H122" s="326">
        <v>0</v>
      </c>
      <c r="I122" s="331">
        <v>0</v>
      </c>
      <c r="J122" s="326">
        <v>1</v>
      </c>
      <c r="K122" s="327">
        <v>0</v>
      </c>
      <c r="L122" s="250" t="s">
        <v>345</v>
      </c>
      <c r="M122" s="250" t="s">
        <v>345</v>
      </c>
      <c r="N122" s="304"/>
      <c r="O122" s="304"/>
      <c r="P122" s="304"/>
      <c r="Q122" s="304"/>
      <c r="R122" s="304"/>
      <c r="S122" s="304"/>
      <c r="T122" s="304"/>
      <c r="U122" s="304"/>
      <c r="V122" s="304"/>
      <c r="W122" s="304"/>
      <c r="X122" s="304"/>
    </row>
    <row r="123" spans="1:24" ht="15" customHeight="1" x14ac:dyDescent="0.15">
      <c r="A123" s="190" t="s">
        <v>370</v>
      </c>
      <c r="B123" s="305">
        <v>4351</v>
      </c>
      <c r="C123" s="333">
        <v>4368</v>
      </c>
      <c r="D123" s="305">
        <v>3320</v>
      </c>
      <c r="E123" s="305">
        <v>1151</v>
      </c>
      <c r="F123" s="305">
        <v>677</v>
      </c>
      <c r="G123" s="193">
        <v>0</v>
      </c>
      <c r="H123" s="194">
        <v>56</v>
      </c>
      <c r="I123" s="194">
        <v>22</v>
      </c>
      <c r="J123" s="194">
        <v>2</v>
      </c>
      <c r="K123" s="243">
        <v>0</v>
      </c>
      <c r="L123" s="196">
        <v>-2.7</v>
      </c>
      <c r="M123" s="196">
        <v>-6</v>
      </c>
      <c r="N123" s="304"/>
      <c r="O123" s="304"/>
      <c r="P123" s="304"/>
      <c r="Q123" s="304"/>
      <c r="R123" s="304"/>
      <c r="S123" s="304"/>
      <c r="T123" s="304"/>
      <c r="U123" s="304"/>
      <c r="V123" s="304"/>
      <c r="W123" s="304"/>
      <c r="X123" s="304"/>
    </row>
    <row r="124" spans="1:24" s="237" customFormat="1" ht="15" customHeight="1" x14ac:dyDescent="0.15">
      <c r="A124" s="197" t="s">
        <v>85</v>
      </c>
      <c r="B124" s="307">
        <v>2124</v>
      </c>
      <c r="C124" s="308">
        <v>2117</v>
      </c>
      <c r="D124" s="307">
        <v>1192</v>
      </c>
      <c r="E124" s="307">
        <v>432</v>
      </c>
      <c r="F124" s="307">
        <v>158</v>
      </c>
      <c r="G124" s="200">
        <v>0</v>
      </c>
      <c r="H124" s="326">
        <v>27</v>
      </c>
      <c r="I124" s="326">
        <v>8</v>
      </c>
      <c r="J124" s="331">
        <v>0</v>
      </c>
      <c r="K124" s="327">
        <v>0</v>
      </c>
      <c r="L124" s="204">
        <v>-5.6</v>
      </c>
      <c r="M124" s="204">
        <v>-8.3000000000000007</v>
      </c>
      <c r="N124" s="304"/>
      <c r="O124" s="304"/>
      <c r="P124" s="304"/>
      <c r="Q124" s="304"/>
      <c r="R124" s="304"/>
      <c r="S124" s="304"/>
      <c r="T124" s="304"/>
      <c r="U124" s="304"/>
      <c r="V124" s="304"/>
      <c r="W124" s="304"/>
      <c r="X124" s="304"/>
    </row>
    <row r="125" spans="1:24" s="237" customFormat="1" ht="15" customHeight="1" x14ac:dyDescent="0.15">
      <c r="A125" s="197" t="s">
        <v>86</v>
      </c>
      <c r="B125" s="307">
        <v>1788</v>
      </c>
      <c r="C125" s="308">
        <v>1829</v>
      </c>
      <c r="D125" s="307">
        <v>1950</v>
      </c>
      <c r="E125" s="307">
        <v>679</v>
      </c>
      <c r="F125" s="307">
        <v>495</v>
      </c>
      <c r="G125" s="200">
        <v>0</v>
      </c>
      <c r="H125" s="326">
        <v>23</v>
      </c>
      <c r="I125" s="326">
        <v>13</v>
      </c>
      <c r="J125" s="326">
        <v>1</v>
      </c>
      <c r="K125" s="327">
        <v>0</v>
      </c>
      <c r="L125" s="204">
        <v>0.6</v>
      </c>
      <c r="M125" s="204">
        <v>-4.3</v>
      </c>
      <c r="N125" s="304"/>
      <c r="O125" s="304"/>
      <c r="P125" s="304"/>
      <c r="Q125" s="304"/>
      <c r="R125" s="304"/>
      <c r="S125" s="304"/>
      <c r="T125" s="304"/>
      <c r="U125" s="304"/>
      <c r="V125" s="304"/>
      <c r="W125" s="304"/>
      <c r="X125" s="304"/>
    </row>
    <row r="126" spans="1:24" s="237" customFormat="1" ht="15" customHeight="1" x14ac:dyDescent="0.15">
      <c r="A126" s="197" t="s">
        <v>84</v>
      </c>
      <c r="B126" s="307">
        <v>440</v>
      </c>
      <c r="C126" s="308">
        <v>422</v>
      </c>
      <c r="D126" s="307">
        <v>178</v>
      </c>
      <c r="E126" s="307">
        <v>39</v>
      </c>
      <c r="F126" s="307">
        <v>25</v>
      </c>
      <c r="G126" s="200">
        <v>0</v>
      </c>
      <c r="H126" s="326">
        <v>5</v>
      </c>
      <c r="I126" s="326">
        <v>1</v>
      </c>
      <c r="J126" s="331">
        <v>0</v>
      </c>
      <c r="K126" s="327">
        <v>0</v>
      </c>
      <c r="L126" s="204">
        <v>-8.3000000000000007</v>
      </c>
      <c r="M126" s="204">
        <v>-9</v>
      </c>
      <c r="N126" s="304"/>
      <c r="O126" s="304"/>
      <c r="P126" s="304"/>
      <c r="Q126" s="304"/>
      <c r="R126" s="304"/>
      <c r="S126" s="304"/>
      <c r="T126" s="304"/>
      <c r="U126" s="304"/>
      <c r="V126" s="304"/>
      <c r="W126" s="304"/>
      <c r="X126" s="304"/>
    </row>
    <row r="127" spans="1:24" ht="15" customHeight="1" thickBot="1" x14ac:dyDescent="0.2">
      <c r="A127" s="334" t="s">
        <v>374</v>
      </c>
      <c r="B127" s="335">
        <v>11</v>
      </c>
      <c r="C127" s="336">
        <v>18</v>
      </c>
      <c r="D127" s="335">
        <v>585</v>
      </c>
      <c r="E127" s="335">
        <v>2005</v>
      </c>
      <c r="F127" s="335">
        <v>3097</v>
      </c>
      <c r="G127" s="337">
        <v>0</v>
      </c>
      <c r="H127" s="338">
        <v>0</v>
      </c>
      <c r="I127" s="339">
        <v>4</v>
      </c>
      <c r="J127" s="339">
        <v>9</v>
      </c>
      <c r="K127" s="340">
        <v>0</v>
      </c>
      <c r="L127" s="341">
        <v>42</v>
      </c>
      <c r="M127" s="341">
        <v>19</v>
      </c>
      <c r="N127" s="304"/>
      <c r="O127" s="304"/>
      <c r="P127" s="304"/>
      <c r="Q127" s="304"/>
      <c r="R127" s="304"/>
      <c r="S127" s="304"/>
      <c r="T127" s="304"/>
      <c r="U127" s="304"/>
      <c r="V127" s="304"/>
      <c r="W127" s="304"/>
      <c r="X127" s="304"/>
    </row>
    <row r="128" spans="1:24" s="165" customFormat="1" ht="42.75" customHeight="1" x14ac:dyDescent="0.15">
      <c r="A128" s="682" t="s">
        <v>375</v>
      </c>
      <c r="B128" s="682"/>
      <c r="C128" s="682"/>
      <c r="D128" s="682"/>
      <c r="E128" s="682"/>
      <c r="F128" s="682"/>
      <c r="G128" s="682"/>
      <c r="H128" s="682"/>
      <c r="I128" s="682"/>
    </row>
    <row r="129" spans="1:17" s="169" customFormat="1" ht="12" customHeight="1" x14ac:dyDescent="0.15">
      <c r="A129" s="166"/>
      <c r="B129" s="166" t="s">
        <v>314</v>
      </c>
      <c r="C129" s="166" t="s">
        <v>314</v>
      </c>
      <c r="D129" s="166" t="s">
        <v>314</v>
      </c>
      <c r="E129" s="166" t="s">
        <v>314</v>
      </c>
      <c r="F129" s="166" t="s">
        <v>314</v>
      </c>
      <c r="G129" s="166"/>
      <c r="H129" s="168">
        <v>10</v>
      </c>
      <c r="I129" s="168">
        <v>30</v>
      </c>
    </row>
    <row r="130" spans="1:17" s="343" customFormat="1" ht="12" customHeight="1" x14ac:dyDescent="0.15">
      <c r="A130" s="170" t="s">
        <v>315</v>
      </c>
      <c r="B130" s="342">
        <v>48</v>
      </c>
      <c r="C130" s="342">
        <v>49</v>
      </c>
      <c r="D130" s="342">
        <v>59</v>
      </c>
      <c r="E130" s="342">
        <v>69</v>
      </c>
      <c r="F130" s="342">
        <v>79</v>
      </c>
      <c r="G130" s="342"/>
    </row>
    <row r="131" spans="1:17" ht="15" customHeight="1" x14ac:dyDescent="0.15">
      <c r="A131" s="174"/>
      <c r="B131" s="683" t="s">
        <v>376</v>
      </c>
      <c r="C131" s="683"/>
      <c r="D131" s="683"/>
      <c r="E131" s="683"/>
      <c r="F131" s="683"/>
      <c r="G131" s="239"/>
      <c r="H131" s="175" t="s">
        <v>318</v>
      </c>
      <c r="I131" s="175"/>
    </row>
    <row r="132" spans="1:17" ht="26" x14ac:dyDescent="0.15">
      <c r="A132" s="174"/>
      <c r="B132" s="344">
        <v>2019</v>
      </c>
      <c r="C132" s="344">
        <v>2020</v>
      </c>
      <c r="D132" s="344">
        <v>2030</v>
      </c>
      <c r="E132" s="344">
        <v>2040</v>
      </c>
      <c r="F132" s="344">
        <v>2050</v>
      </c>
      <c r="G132" s="239"/>
      <c r="H132" s="182" t="s">
        <v>319</v>
      </c>
      <c r="I132" s="182" t="s">
        <v>320</v>
      </c>
    </row>
    <row r="133" spans="1:17" ht="15" customHeight="1" x14ac:dyDescent="0.15">
      <c r="A133" s="183" t="s">
        <v>377</v>
      </c>
      <c r="B133" s="345">
        <v>35926</v>
      </c>
      <c r="C133" s="345">
        <v>33903</v>
      </c>
      <c r="D133" s="345">
        <v>21147</v>
      </c>
      <c r="E133" s="345">
        <v>6316</v>
      </c>
      <c r="F133" s="346">
        <v>0</v>
      </c>
      <c r="G133" s="185"/>
      <c r="H133" s="188">
        <v>-4.5999999999999996</v>
      </c>
      <c r="I133" s="347" t="s">
        <v>345</v>
      </c>
      <c r="J133" s="348"/>
      <c r="K133" s="348"/>
      <c r="L133" s="304"/>
      <c r="M133" s="304"/>
      <c r="N133" s="304"/>
      <c r="O133" s="304"/>
      <c r="P133" s="304"/>
      <c r="Q133" s="304"/>
    </row>
    <row r="134" spans="1:17" ht="15" customHeight="1" x14ac:dyDescent="0.15">
      <c r="A134" s="349" t="s">
        <v>378</v>
      </c>
      <c r="B134" s="350">
        <v>33499</v>
      </c>
      <c r="C134" s="351">
        <v>31582</v>
      </c>
      <c r="D134" s="350">
        <v>19254</v>
      </c>
      <c r="E134" s="350">
        <v>6030</v>
      </c>
      <c r="F134" s="350">
        <v>940</v>
      </c>
      <c r="G134" s="352"/>
      <c r="H134" s="353">
        <v>-4.8</v>
      </c>
      <c r="I134" s="354">
        <v>-11</v>
      </c>
      <c r="J134" s="348"/>
      <c r="K134" s="348"/>
      <c r="L134" s="304"/>
      <c r="M134" s="304"/>
      <c r="N134" s="304"/>
      <c r="O134" s="304"/>
      <c r="P134" s="304"/>
      <c r="Q134" s="304"/>
    </row>
    <row r="135" spans="1:17" ht="15" customHeight="1" x14ac:dyDescent="0.15">
      <c r="A135" s="355" t="s">
        <v>85</v>
      </c>
      <c r="B135" s="356">
        <v>14660</v>
      </c>
      <c r="C135" s="357">
        <v>14110</v>
      </c>
      <c r="D135" s="356">
        <v>5915</v>
      </c>
      <c r="E135" s="356">
        <v>1300</v>
      </c>
      <c r="F135" s="356">
        <v>195</v>
      </c>
      <c r="G135" s="193"/>
      <c r="H135" s="196">
        <v>-8.3000000000000007</v>
      </c>
      <c r="I135" s="209">
        <v>-13</v>
      </c>
      <c r="J135" s="348"/>
      <c r="K135" s="348"/>
      <c r="L135" s="304"/>
      <c r="M135" s="304"/>
      <c r="N135" s="304"/>
      <c r="O135" s="304"/>
      <c r="P135" s="304"/>
      <c r="Q135" s="304"/>
    </row>
    <row r="136" spans="1:17" ht="15" customHeight="1" x14ac:dyDescent="0.15">
      <c r="A136" s="355" t="s">
        <v>84</v>
      </c>
      <c r="B136" s="356">
        <v>11505</v>
      </c>
      <c r="C136" s="357">
        <v>10264</v>
      </c>
      <c r="D136" s="356">
        <v>7427</v>
      </c>
      <c r="E136" s="356">
        <v>3329</v>
      </c>
      <c r="F136" s="356">
        <v>928</v>
      </c>
      <c r="G136" s="193"/>
      <c r="H136" s="196">
        <v>-3.2</v>
      </c>
      <c r="I136" s="196">
        <v>-7.7</v>
      </c>
      <c r="J136" s="348"/>
      <c r="K136" s="348"/>
      <c r="L136" s="304"/>
      <c r="M136" s="304"/>
      <c r="N136" s="304"/>
      <c r="O136" s="304"/>
      <c r="P136" s="304"/>
      <c r="Q136" s="304"/>
    </row>
    <row r="137" spans="1:17" s="219" customFormat="1" ht="15" customHeight="1" x14ac:dyDescent="0.15">
      <c r="A137" s="355" t="s">
        <v>86</v>
      </c>
      <c r="B137" s="356">
        <v>7259</v>
      </c>
      <c r="C137" s="357">
        <v>7138</v>
      </c>
      <c r="D137" s="356">
        <v>5960</v>
      </c>
      <c r="E137" s="356">
        <v>1929</v>
      </c>
      <c r="F137" s="356">
        <v>566</v>
      </c>
      <c r="G137" s="193"/>
      <c r="H137" s="196">
        <v>-1.8</v>
      </c>
      <c r="I137" s="196">
        <v>-8.1</v>
      </c>
      <c r="J137" s="348"/>
      <c r="K137" s="348"/>
      <c r="L137" s="304"/>
      <c r="M137" s="304"/>
      <c r="N137" s="304"/>
      <c r="O137" s="304"/>
      <c r="P137" s="304"/>
      <c r="Q137" s="304"/>
    </row>
    <row r="138" spans="1:17" s="237" customFormat="1" ht="15" customHeight="1" x14ac:dyDescent="0.15">
      <c r="A138" s="358" t="s">
        <v>379</v>
      </c>
      <c r="B138" s="359">
        <v>75</v>
      </c>
      <c r="C138" s="360">
        <v>71</v>
      </c>
      <c r="D138" s="359">
        <v>-48</v>
      </c>
      <c r="E138" s="359">
        <v>-528</v>
      </c>
      <c r="F138" s="359">
        <v>-748</v>
      </c>
      <c r="G138" s="361"/>
      <c r="H138" s="362" t="s">
        <v>345</v>
      </c>
      <c r="I138" s="362" t="s">
        <v>345</v>
      </c>
      <c r="J138" s="348"/>
      <c r="K138" s="348"/>
      <c r="L138" s="304"/>
      <c r="M138" s="304"/>
      <c r="N138" s="304"/>
      <c r="O138" s="304"/>
      <c r="P138" s="304"/>
      <c r="Q138" s="304"/>
    </row>
    <row r="139" spans="1:17" s="219" customFormat="1" ht="15.75" customHeight="1" x14ac:dyDescent="0.15">
      <c r="A139" s="363" t="s">
        <v>380</v>
      </c>
      <c r="B139" s="364">
        <v>1</v>
      </c>
      <c r="C139" s="345">
        <v>1</v>
      </c>
      <c r="D139" s="364">
        <v>214</v>
      </c>
      <c r="E139" s="364">
        <v>914</v>
      </c>
      <c r="F139" s="364">
        <v>1186</v>
      </c>
      <c r="G139" s="365"/>
      <c r="H139" s="366">
        <v>75</v>
      </c>
      <c r="I139" s="366">
        <v>28</v>
      </c>
      <c r="J139" s="348"/>
      <c r="K139" s="348"/>
      <c r="L139" s="304"/>
      <c r="M139" s="304"/>
      <c r="N139" s="304"/>
      <c r="O139" s="304"/>
      <c r="P139" s="304"/>
      <c r="Q139" s="304"/>
    </row>
    <row r="140" spans="1:17" s="237" customFormat="1" ht="15" customHeight="1" x14ac:dyDescent="0.15">
      <c r="A140" s="367" t="s">
        <v>338</v>
      </c>
      <c r="B140" s="368">
        <v>1</v>
      </c>
      <c r="C140" s="357">
        <v>1</v>
      </c>
      <c r="D140" s="368">
        <v>142</v>
      </c>
      <c r="E140" s="368">
        <v>385</v>
      </c>
      <c r="F140" s="368">
        <v>553</v>
      </c>
      <c r="G140" s="369"/>
      <c r="H140" s="370">
        <v>68</v>
      </c>
      <c r="I140" s="370">
        <v>24</v>
      </c>
      <c r="J140" s="348"/>
      <c r="K140" s="348"/>
      <c r="L140" s="304"/>
      <c r="M140" s="304"/>
      <c r="N140" s="304"/>
      <c r="O140" s="304"/>
      <c r="P140" s="304"/>
      <c r="Q140" s="304"/>
    </row>
    <row r="141" spans="1:17" s="237" customFormat="1" ht="15" customHeight="1" x14ac:dyDescent="0.15">
      <c r="A141" s="371" t="s">
        <v>381</v>
      </c>
      <c r="B141" s="372">
        <v>0</v>
      </c>
      <c r="C141" s="373">
        <v>0</v>
      </c>
      <c r="D141" s="372">
        <v>72</v>
      </c>
      <c r="E141" s="372">
        <v>528</v>
      </c>
      <c r="F141" s="372">
        <v>633</v>
      </c>
      <c r="G141" s="374"/>
      <c r="H141" s="375" t="s">
        <v>345</v>
      </c>
      <c r="I141" s="375" t="s">
        <v>345</v>
      </c>
      <c r="J141" s="348"/>
      <c r="K141" s="348"/>
      <c r="L141" s="304"/>
      <c r="M141" s="304"/>
      <c r="N141" s="304"/>
      <c r="O141" s="304"/>
      <c r="P141" s="304"/>
      <c r="Q141" s="304"/>
    </row>
    <row r="142" spans="1:17" ht="2.25" customHeight="1" x14ac:dyDescent="0.15">
      <c r="A142" s="376"/>
      <c r="B142" s="377">
        <v>0</v>
      </c>
      <c r="C142" s="378">
        <v>0</v>
      </c>
      <c r="D142" s="377">
        <v>0</v>
      </c>
      <c r="E142" s="377">
        <v>0</v>
      </c>
      <c r="F142" s="377">
        <v>0</v>
      </c>
      <c r="G142" s="379"/>
      <c r="H142" s="380">
        <v>0</v>
      </c>
      <c r="I142" s="380">
        <v>0</v>
      </c>
      <c r="J142" s="348"/>
      <c r="K142" s="348"/>
      <c r="L142" s="304"/>
      <c r="M142" s="304"/>
      <c r="N142" s="304"/>
      <c r="O142" s="304"/>
      <c r="P142" s="304"/>
      <c r="Q142" s="304"/>
    </row>
    <row r="143" spans="1:17" ht="15" customHeight="1" x14ac:dyDescent="0.15">
      <c r="A143" s="220" t="s">
        <v>334</v>
      </c>
      <c r="B143" s="351">
        <v>13821</v>
      </c>
      <c r="C143" s="351">
        <v>13504</v>
      </c>
      <c r="D143" s="351">
        <v>5817</v>
      </c>
      <c r="E143" s="351">
        <v>-81</v>
      </c>
      <c r="F143" s="351">
        <v>-369</v>
      </c>
      <c r="G143" s="222"/>
      <c r="H143" s="225">
        <v>-8.1</v>
      </c>
      <c r="I143" s="381" t="s">
        <v>345</v>
      </c>
      <c r="J143" s="348"/>
      <c r="K143" s="348"/>
      <c r="L143" s="304"/>
      <c r="M143" s="304"/>
      <c r="N143" s="304"/>
      <c r="O143" s="304"/>
      <c r="P143" s="304"/>
      <c r="Q143" s="304"/>
    </row>
    <row r="144" spans="1:17" ht="15" customHeight="1" x14ac:dyDescent="0.15">
      <c r="A144" s="190" t="s">
        <v>85</v>
      </c>
      <c r="B144" s="356">
        <v>10035</v>
      </c>
      <c r="C144" s="357">
        <v>9786</v>
      </c>
      <c r="D144" s="356">
        <v>2950</v>
      </c>
      <c r="E144" s="356">
        <v>102</v>
      </c>
      <c r="F144" s="356">
        <v>70</v>
      </c>
      <c r="G144" s="193"/>
      <c r="H144" s="209">
        <v>-11</v>
      </c>
      <c r="I144" s="209">
        <v>-15</v>
      </c>
      <c r="J144" s="348"/>
      <c r="K144" s="348"/>
      <c r="L144" s="304"/>
      <c r="M144" s="304"/>
      <c r="N144" s="304"/>
      <c r="O144" s="304"/>
      <c r="P144" s="304"/>
      <c r="Q144" s="304"/>
    </row>
    <row r="145" spans="1:17" ht="15" customHeight="1" x14ac:dyDescent="0.15">
      <c r="A145" s="190" t="s">
        <v>84</v>
      </c>
      <c r="B145" s="356">
        <v>655</v>
      </c>
      <c r="C145" s="357">
        <v>629</v>
      </c>
      <c r="D145" s="356">
        <v>173</v>
      </c>
      <c r="E145" s="356">
        <v>6</v>
      </c>
      <c r="F145" s="356">
        <v>6</v>
      </c>
      <c r="G145" s="193"/>
      <c r="H145" s="209">
        <v>-12</v>
      </c>
      <c r="I145" s="209">
        <v>-14</v>
      </c>
      <c r="J145" s="348"/>
      <c r="K145" s="348"/>
      <c r="L145" s="304"/>
      <c r="M145" s="304"/>
      <c r="N145" s="304"/>
      <c r="O145" s="304"/>
      <c r="P145" s="304"/>
      <c r="Q145" s="304"/>
    </row>
    <row r="146" spans="1:17" ht="15" customHeight="1" x14ac:dyDescent="0.15">
      <c r="A146" s="190" t="s">
        <v>86</v>
      </c>
      <c r="B146" s="356">
        <v>3131</v>
      </c>
      <c r="C146" s="357">
        <v>3089</v>
      </c>
      <c r="D146" s="356">
        <v>2781</v>
      </c>
      <c r="E146" s="356">
        <v>268</v>
      </c>
      <c r="F146" s="356">
        <v>128</v>
      </c>
      <c r="G146" s="193"/>
      <c r="H146" s="196">
        <v>-1</v>
      </c>
      <c r="I146" s="209">
        <v>-10</v>
      </c>
      <c r="J146" s="348"/>
      <c r="K146" s="348"/>
      <c r="L146" s="304"/>
      <c r="M146" s="304"/>
      <c r="N146" s="304"/>
      <c r="O146" s="304"/>
      <c r="P146" s="304"/>
      <c r="Q146" s="304"/>
    </row>
    <row r="147" spans="1:17" ht="15" customHeight="1" x14ac:dyDescent="0.15">
      <c r="A147" s="190" t="s">
        <v>379</v>
      </c>
      <c r="B147" s="356">
        <v>0</v>
      </c>
      <c r="C147" s="357">
        <v>0</v>
      </c>
      <c r="D147" s="356">
        <v>-87</v>
      </c>
      <c r="E147" s="356">
        <v>-457</v>
      </c>
      <c r="F147" s="356">
        <v>-572</v>
      </c>
      <c r="G147" s="193"/>
      <c r="H147" s="206" t="s">
        <v>345</v>
      </c>
      <c r="I147" s="206" t="s">
        <v>345</v>
      </c>
      <c r="J147" s="348"/>
      <c r="K147" s="348"/>
      <c r="L147" s="304"/>
      <c r="M147" s="304"/>
      <c r="N147" s="304"/>
      <c r="O147" s="304"/>
      <c r="P147" s="304"/>
      <c r="Q147" s="304"/>
    </row>
    <row r="148" spans="1:17" ht="15" customHeight="1" x14ac:dyDescent="0.15">
      <c r="A148" s="382" t="s">
        <v>382</v>
      </c>
      <c r="B148" s="383">
        <v>1457</v>
      </c>
      <c r="C148" s="383">
        <v>1472</v>
      </c>
      <c r="D148" s="383">
        <v>679</v>
      </c>
      <c r="E148" s="383">
        <v>-85</v>
      </c>
      <c r="F148" s="383">
        <v>-368</v>
      </c>
      <c r="G148" s="384"/>
      <c r="H148" s="385">
        <v>-7.4</v>
      </c>
      <c r="I148" s="385" t="s">
        <v>345</v>
      </c>
      <c r="J148" s="348"/>
      <c r="K148" s="348"/>
      <c r="L148" s="304"/>
      <c r="M148" s="304"/>
      <c r="N148" s="304"/>
      <c r="O148" s="304"/>
      <c r="P148" s="304"/>
      <c r="Q148" s="304"/>
    </row>
    <row r="149" spans="1:17" ht="15" customHeight="1" x14ac:dyDescent="0.15">
      <c r="A149" s="386" t="s">
        <v>383</v>
      </c>
      <c r="B149" s="345">
        <v>20647</v>
      </c>
      <c r="C149" s="345">
        <v>18928</v>
      </c>
      <c r="D149" s="345">
        <v>14723</v>
      </c>
      <c r="E149" s="345">
        <v>7011</v>
      </c>
      <c r="F149" s="345">
        <v>1370</v>
      </c>
      <c r="G149" s="185"/>
      <c r="H149" s="188">
        <v>-2.5</v>
      </c>
      <c r="I149" s="188">
        <v>-8.4</v>
      </c>
      <c r="J149" s="348"/>
      <c r="K149" s="348"/>
      <c r="L149" s="304"/>
      <c r="M149" s="304"/>
      <c r="N149" s="304"/>
      <c r="O149" s="304"/>
      <c r="P149" s="304"/>
      <c r="Q149" s="304"/>
    </row>
    <row r="150" spans="1:17" ht="15" customHeight="1" x14ac:dyDescent="0.15">
      <c r="A150" s="190" t="s">
        <v>85</v>
      </c>
      <c r="B150" s="356">
        <v>4486</v>
      </c>
      <c r="C150" s="357">
        <v>4171</v>
      </c>
      <c r="D150" s="356">
        <v>2935</v>
      </c>
      <c r="E150" s="356">
        <v>1186</v>
      </c>
      <c r="F150" s="356">
        <v>117</v>
      </c>
      <c r="G150" s="193"/>
      <c r="H150" s="196">
        <v>-3.5</v>
      </c>
      <c r="I150" s="209">
        <v>-11</v>
      </c>
      <c r="J150" s="348"/>
      <c r="K150" s="348"/>
      <c r="L150" s="304"/>
      <c r="M150" s="304"/>
      <c r="N150" s="304"/>
      <c r="O150" s="304"/>
      <c r="P150" s="304"/>
      <c r="Q150" s="304"/>
    </row>
    <row r="151" spans="1:17" ht="15" customHeight="1" x14ac:dyDescent="0.15">
      <c r="A151" s="190" t="s">
        <v>84</v>
      </c>
      <c r="B151" s="356">
        <v>10272</v>
      </c>
      <c r="C151" s="357">
        <v>9077</v>
      </c>
      <c r="D151" s="356">
        <v>6973</v>
      </c>
      <c r="E151" s="356">
        <v>3242</v>
      </c>
      <c r="F151" s="356">
        <v>880</v>
      </c>
      <c r="G151" s="193"/>
      <c r="H151" s="196">
        <v>-2.6</v>
      </c>
      <c r="I151" s="196">
        <v>-7.5</v>
      </c>
      <c r="J151" s="348"/>
      <c r="K151" s="348"/>
      <c r="L151" s="304"/>
      <c r="M151" s="304"/>
      <c r="N151" s="304"/>
      <c r="O151" s="304"/>
      <c r="P151" s="304"/>
      <c r="Q151" s="304"/>
    </row>
    <row r="152" spans="1:17" ht="15" customHeight="1" x14ac:dyDescent="0.15">
      <c r="A152" s="190" t="s">
        <v>86</v>
      </c>
      <c r="B152" s="356">
        <v>3451</v>
      </c>
      <c r="C152" s="357">
        <v>3332</v>
      </c>
      <c r="D152" s="356">
        <v>2668</v>
      </c>
      <c r="E152" s="356">
        <v>1453</v>
      </c>
      <c r="F152" s="356">
        <v>303</v>
      </c>
      <c r="G152" s="193"/>
      <c r="H152" s="196">
        <v>-2.2000000000000002</v>
      </c>
      <c r="I152" s="196">
        <v>-7.7</v>
      </c>
      <c r="J152" s="348"/>
      <c r="K152" s="348"/>
      <c r="L152" s="304"/>
      <c r="M152" s="304"/>
      <c r="N152" s="304"/>
      <c r="O152" s="304"/>
      <c r="P152" s="304"/>
      <c r="Q152" s="304"/>
    </row>
    <row r="153" spans="1:17" ht="12.75" customHeight="1" x14ac:dyDescent="0.15">
      <c r="A153" s="190" t="s">
        <v>379</v>
      </c>
      <c r="B153" s="356">
        <v>75</v>
      </c>
      <c r="C153" s="357">
        <v>71</v>
      </c>
      <c r="D153" s="356">
        <v>40</v>
      </c>
      <c r="E153" s="356">
        <v>-70</v>
      </c>
      <c r="F153" s="356">
        <v>-176</v>
      </c>
      <c r="G153" s="193"/>
      <c r="H153" s="196">
        <v>-5.6</v>
      </c>
      <c r="I153" s="206" t="s">
        <v>345</v>
      </c>
      <c r="J153" s="348"/>
      <c r="K153" s="348"/>
      <c r="L153" s="304"/>
      <c r="M153" s="304"/>
      <c r="N153" s="304"/>
      <c r="O153" s="304"/>
      <c r="P153" s="304"/>
      <c r="Q153" s="304"/>
    </row>
    <row r="154" spans="1:17" ht="15" customHeight="1" x14ac:dyDescent="0.15">
      <c r="A154" s="256" t="s">
        <v>384</v>
      </c>
      <c r="B154" s="387">
        <v>8903</v>
      </c>
      <c r="C154" s="388">
        <v>8478</v>
      </c>
      <c r="D154" s="387">
        <v>6892</v>
      </c>
      <c r="E154" s="387">
        <v>3485</v>
      </c>
      <c r="F154" s="387">
        <v>519</v>
      </c>
      <c r="G154" s="259"/>
      <c r="H154" s="263">
        <v>-2</v>
      </c>
      <c r="I154" s="263">
        <v>-8.9</v>
      </c>
      <c r="J154" s="348"/>
      <c r="K154" s="348"/>
      <c r="L154" s="304"/>
      <c r="M154" s="304"/>
      <c r="N154" s="304"/>
      <c r="O154" s="304"/>
      <c r="P154" s="304"/>
      <c r="Q154" s="304"/>
    </row>
    <row r="155" spans="1:17" s="564" customFormat="1" ht="15" customHeight="1" x14ac:dyDescent="0.15">
      <c r="A155" s="558" t="s">
        <v>6</v>
      </c>
      <c r="B155" s="559">
        <v>2507</v>
      </c>
      <c r="C155" s="559">
        <v>2349</v>
      </c>
      <c r="D155" s="559">
        <v>1779</v>
      </c>
      <c r="E155" s="559">
        <v>859</v>
      </c>
      <c r="F155" s="559">
        <v>220</v>
      </c>
      <c r="G155" s="560"/>
      <c r="H155" s="561">
        <v>-2.7</v>
      </c>
      <c r="I155" s="561">
        <v>-7.6</v>
      </c>
      <c r="J155" s="562"/>
      <c r="K155" s="562"/>
      <c r="L155" s="563"/>
      <c r="M155" s="563"/>
      <c r="N155" s="563"/>
      <c r="O155" s="563"/>
      <c r="P155" s="563"/>
      <c r="Q155" s="563"/>
    </row>
    <row r="156" spans="1:17" ht="15" customHeight="1" x14ac:dyDescent="0.15">
      <c r="A156" s="367" t="s">
        <v>361</v>
      </c>
      <c r="B156" s="368">
        <v>1344</v>
      </c>
      <c r="C156" s="357">
        <v>1296</v>
      </c>
      <c r="D156" s="368">
        <v>1199</v>
      </c>
      <c r="E156" s="368">
        <v>654</v>
      </c>
      <c r="F156" s="368">
        <v>66</v>
      </c>
      <c r="G156" s="369"/>
      <c r="H156" s="389">
        <v>-0.8</v>
      </c>
      <c r="I156" s="389">
        <v>-9.5</v>
      </c>
      <c r="J156" s="348"/>
      <c r="K156" s="348"/>
      <c r="L156" s="304"/>
      <c r="M156" s="304"/>
      <c r="N156" s="304"/>
      <c r="O156" s="304"/>
      <c r="P156" s="304"/>
      <c r="Q156" s="304"/>
    </row>
    <row r="157" spans="1:17" ht="15" customHeight="1" x14ac:dyDescent="0.15">
      <c r="A157" s="367" t="s">
        <v>7</v>
      </c>
      <c r="B157" s="368">
        <v>2461</v>
      </c>
      <c r="C157" s="357">
        <v>2334</v>
      </c>
      <c r="D157" s="368">
        <v>1899</v>
      </c>
      <c r="E157" s="368">
        <v>906</v>
      </c>
      <c r="F157" s="368">
        <v>133</v>
      </c>
      <c r="G157" s="369"/>
      <c r="H157" s="389">
        <v>-2</v>
      </c>
      <c r="I157" s="389">
        <v>-9.1</v>
      </c>
      <c r="J157" s="348"/>
      <c r="K157" s="348"/>
      <c r="L157" s="304"/>
      <c r="M157" s="304"/>
      <c r="N157" s="304"/>
      <c r="O157" s="304"/>
      <c r="P157" s="304"/>
      <c r="Q157" s="304"/>
    </row>
    <row r="158" spans="1:17" ht="15" customHeight="1" x14ac:dyDescent="0.15">
      <c r="A158" s="265" t="s">
        <v>120</v>
      </c>
      <c r="B158" s="390">
        <v>8290</v>
      </c>
      <c r="C158" s="391">
        <v>7153</v>
      </c>
      <c r="D158" s="390">
        <v>5719</v>
      </c>
      <c r="E158" s="390">
        <v>2686</v>
      </c>
      <c r="F158" s="390">
        <v>689</v>
      </c>
      <c r="G158" s="268"/>
      <c r="H158" s="272">
        <v>-2.2000000000000002</v>
      </c>
      <c r="I158" s="272">
        <v>-7.5</v>
      </c>
      <c r="J158" s="348"/>
      <c r="K158" s="348"/>
      <c r="L158" s="304"/>
      <c r="M158" s="304"/>
      <c r="N158" s="304"/>
      <c r="O158" s="304"/>
      <c r="P158" s="304"/>
      <c r="Q158" s="304"/>
    </row>
    <row r="159" spans="1:17" ht="15" customHeight="1" x14ac:dyDescent="0.15">
      <c r="A159" s="367" t="s">
        <v>349</v>
      </c>
      <c r="B159" s="368">
        <v>6116</v>
      </c>
      <c r="C159" s="357">
        <v>5483</v>
      </c>
      <c r="D159" s="368">
        <v>4077</v>
      </c>
      <c r="E159" s="368">
        <v>1793</v>
      </c>
      <c r="F159" s="368">
        <v>340</v>
      </c>
      <c r="G159" s="369"/>
      <c r="H159" s="389">
        <v>-2.9</v>
      </c>
      <c r="I159" s="389">
        <v>-8.9</v>
      </c>
      <c r="J159" s="348"/>
      <c r="K159" s="348"/>
      <c r="L159" s="304"/>
      <c r="M159" s="304"/>
      <c r="N159" s="304"/>
      <c r="O159" s="304"/>
      <c r="P159" s="304"/>
      <c r="Q159" s="304"/>
    </row>
    <row r="160" spans="1:17" ht="15" customHeight="1" x14ac:dyDescent="0.15">
      <c r="A160" s="392" t="s">
        <v>351</v>
      </c>
      <c r="B160" s="393">
        <v>3121</v>
      </c>
      <c r="C160" s="394">
        <v>2747</v>
      </c>
      <c r="D160" s="393">
        <v>1626</v>
      </c>
      <c r="E160" s="393">
        <v>547</v>
      </c>
      <c r="F160" s="393">
        <v>85</v>
      </c>
      <c r="G160" s="200"/>
      <c r="H160" s="204">
        <v>-5.0999999999999996</v>
      </c>
      <c r="I160" s="203">
        <v>-11</v>
      </c>
      <c r="J160" s="348"/>
      <c r="K160" s="348"/>
      <c r="L160" s="304"/>
      <c r="M160" s="304"/>
      <c r="N160" s="304"/>
      <c r="O160" s="304"/>
      <c r="P160" s="304"/>
      <c r="Q160" s="304"/>
    </row>
    <row r="161" spans="1:20" ht="15" customHeight="1" x14ac:dyDescent="0.15">
      <c r="A161" s="392" t="s">
        <v>352</v>
      </c>
      <c r="B161" s="393">
        <v>1835</v>
      </c>
      <c r="C161" s="394">
        <v>1721</v>
      </c>
      <c r="D161" s="393">
        <v>1614</v>
      </c>
      <c r="E161" s="393">
        <v>891</v>
      </c>
      <c r="F161" s="393">
        <v>198</v>
      </c>
      <c r="G161" s="200"/>
      <c r="H161" s="204">
        <v>-0.6</v>
      </c>
      <c r="I161" s="204">
        <v>-6.9</v>
      </c>
      <c r="J161" s="348"/>
      <c r="K161" s="348"/>
      <c r="L161" s="304"/>
      <c r="M161" s="304"/>
      <c r="N161" s="304"/>
      <c r="O161" s="304"/>
      <c r="P161" s="304"/>
      <c r="Q161" s="304"/>
    </row>
    <row r="162" spans="1:20" ht="15" customHeight="1" x14ac:dyDescent="0.15">
      <c r="A162" s="367" t="s">
        <v>354</v>
      </c>
      <c r="B162" s="368">
        <v>1019</v>
      </c>
      <c r="C162" s="357">
        <v>621</v>
      </c>
      <c r="D162" s="368">
        <v>783</v>
      </c>
      <c r="E162" s="368">
        <v>469</v>
      </c>
      <c r="F162" s="368">
        <v>210</v>
      </c>
      <c r="G162" s="369"/>
      <c r="H162" s="389">
        <v>2.4</v>
      </c>
      <c r="I162" s="389">
        <v>-3.5</v>
      </c>
      <c r="J162" s="348"/>
      <c r="K162" s="348"/>
      <c r="L162" s="304"/>
      <c r="M162" s="304"/>
      <c r="N162" s="304"/>
      <c r="O162" s="304"/>
      <c r="P162" s="304"/>
      <c r="Q162" s="304"/>
    </row>
    <row r="163" spans="1:20" ht="15" customHeight="1" x14ac:dyDescent="0.15">
      <c r="A163" s="367" t="s">
        <v>355</v>
      </c>
      <c r="B163" s="368">
        <v>883</v>
      </c>
      <c r="C163" s="357">
        <v>800</v>
      </c>
      <c r="D163" s="368">
        <v>705</v>
      </c>
      <c r="E163" s="368">
        <v>348</v>
      </c>
      <c r="F163" s="368">
        <v>122</v>
      </c>
      <c r="G163" s="369"/>
      <c r="H163" s="389">
        <v>-1.3</v>
      </c>
      <c r="I163" s="389">
        <v>-6.1</v>
      </c>
      <c r="J163" s="348"/>
      <c r="K163" s="348"/>
      <c r="L163" s="304"/>
      <c r="M163" s="304"/>
      <c r="N163" s="304"/>
      <c r="O163" s="304"/>
      <c r="P163" s="304"/>
      <c r="Q163" s="304"/>
    </row>
    <row r="164" spans="1:20" ht="15" customHeight="1" x14ac:dyDescent="0.15">
      <c r="A164" s="265" t="s">
        <v>356</v>
      </c>
      <c r="B164" s="390">
        <v>3007</v>
      </c>
      <c r="C164" s="391">
        <v>2860</v>
      </c>
      <c r="D164" s="390">
        <v>1809</v>
      </c>
      <c r="E164" s="390">
        <v>685</v>
      </c>
      <c r="F164" s="390">
        <v>122</v>
      </c>
      <c r="G164" s="268"/>
      <c r="H164" s="272">
        <v>-4.5</v>
      </c>
      <c r="I164" s="395">
        <v>-10</v>
      </c>
      <c r="J164" s="348"/>
      <c r="K164" s="348"/>
      <c r="L164" s="304"/>
      <c r="M164" s="304"/>
      <c r="N164" s="304"/>
      <c r="O164" s="304"/>
      <c r="P164" s="304"/>
      <c r="Q164" s="304"/>
    </row>
    <row r="165" spans="1:20" ht="15" customHeight="1" x14ac:dyDescent="0.15">
      <c r="A165" s="367" t="s">
        <v>359</v>
      </c>
      <c r="B165" s="368">
        <v>2030</v>
      </c>
      <c r="C165" s="357">
        <v>1968</v>
      </c>
      <c r="D165" s="368">
        <v>1377</v>
      </c>
      <c r="E165" s="368">
        <v>542</v>
      </c>
      <c r="F165" s="368">
        <v>108</v>
      </c>
      <c r="G165" s="369"/>
      <c r="H165" s="389">
        <v>-3.5</v>
      </c>
      <c r="I165" s="389">
        <v>-9.1999999999999993</v>
      </c>
      <c r="J165" s="348"/>
      <c r="K165" s="348"/>
      <c r="L165" s="304"/>
      <c r="M165" s="304"/>
      <c r="N165" s="304"/>
      <c r="O165" s="304"/>
      <c r="P165" s="304"/>
      <c r="Q165" s="304"/>
    </row>
    <row r="166" spans="1:20" ht="15" customHeight="1" x14ac:dyDescent="0.15">
      <c r="A166" s="396" t="s">
        <v>360</v>
      </c>
      <c r="B166" s="368">
        <v>977</v>
      </c>
      <c r="C166" s="357">
        <v>892</v>
      </c>
      <c r="D166" s="368">
        <v>432</v>
      </c>
      <c r="E166" s="368">
        <v>144</v>
      </c>
      <c r="F166" s="368">
        <v>14</v>
      </c>
      <c r="G166" s="369"/>
      <c r="H166" s="389">
        <v>-7</v>
      </c>
      <c r="I166" s="370">
        <v>-13</v>
      </c>
      <c r="J166" s="348"/>
      <c r="K166" s="348"/>
      <c r="L166" s="304"/>
      <c r="M166" s="304"/>
      <c r="N166" s="304"/>
      <c r="O166" s="304"/>
      <c r="P166" s="304"/>
      <c r="Q166" s="304"/>
    </row>
    <row r="167" spans="1:20" ht="2.25" customHeight="1" x14ac:dyDescent="0.15">
      <c r="A167" s="397"/>
      <c r="B167" s="398">
        <v>0</v>
      </c>
      <c r="C167" s="399">
        <v>0</v>
      </c>
      <c r="D167" s="398">
        <v>0</v>
      </c>
      <c r="E167" s="398">
        <v>0</v>
      </c>
      <c r="F167" s="398">
        <v>0</v>
      </c>
      <c r="G167" s="400"/>
      <c r="H167" s="401">
        <v>0</v>
      </c>
      <c r="I167" s="401">
        <v>0</v>
      </c>
      <c r="J167" s="348"/>
      <c r="K167" s="348"/>
      <c r="L167" s="304"/>
      <c r="M167" s="304"/>
      <c r="N167" s="304"/>
      <c r="O167" s="304"/>
      <c r="P167" s="304"/>
      <c r="Q167" s="304"/>
    </row>
    <row r="168" spans="1:20" s="219" customFormat="1" ht="15" customHeight="1" x14ac:dyDescent="0.15">
      <c r="A168" s="402" t="s">
        <v>385</v>
      </c>
      <c r="B168" s="383">
        <v>1</v>
      </c>
      <c r="C168" s="383">
        <v>1</v>
      </c>
      <c r="D168" s="383">
        <v>317</v>
      </c>
      <c r="E168" s="383">
        <v>1457</v>
      </c>
      <c r="F168" s="383">
        <v>1936</v>
      </c>
      <c r="G168" s="384"/>
      <c r="H168" s="403">
        <v>79</v>
      </c>
      <c r="I168" s="403">
        <v>29</v>
      </c>
      <c r="J168" s="348"/>
      <c r="K168" s="348"/>
      <c r="L168" s="304"/>
      <c r="M168" s="304"/>
      <c r="N168" s="304"/>
      <c r="O168" s="304"/>
      <c r="P168" s="304"/>
      <c r="Q168" s="304"/>
    </row>
    <row r="169" spans="1:20" ht="15" customHeight="1" thickBot="1" x14ac:dyDescent="0.2">
      <c r="A169" s="404" t="s">
        <v>386</v>
      </c>
      <c r="B169" s="405">
        <v>40</v>
      </c>
      <c r="C169" s="405">
        <v>40</v>
      </c>
      <c r="D169" s="405">
        <v>1665</v>
      </c>
      <c r="E169" s="405">
        <v>5619</v>
      </c>
      <c r="F169" s="405">
        <v>7602</v>
      </c>
      <c r="G169" s="288"/>
      <c r="H169" s="406">
        <v>45</v>
      </c>
      <c r="I169" s="406">
        <v>19</v>
      </c>
      <c r="J169" s="348"/>
      <c r="K169" s="348"/>
      <c r="L169" s="304"/>
      <c r="M169" s="304"/>
      <c r="N169" s="304"/>
      <c r="O169" s="304"/>
      <c r="P169" s="304"/>
      <c r="Q169" s="304"/>
    </row>
    <row r="170" spans="1:20" ht="22.5" customHeight="1" x14ac:dyDescent="0.15">
      <c r="A170" s="376" t="s">
        <v>387</v>
      </c>
      <c r="B170" s="379"/>
      <c r="C170" s="379"/>
      <c r="D170" s="379"/>
      <c r="E170" s="379"/>
      <c r="F170" s="379"/>
      <c r="G170" s="379"/>
      <c r="H170" s="407"/>
      <c r="I170" s="407"/>
    </row>
    <row r="171" spans="1:20" s="165" customFormat="1" ht="42.75" customHeight="1" x14ac:dyDescent="0.15">
      <c r="A171" s="682" t="s">
        <v>388</v>
      </c>
      <c r="B171" s="682"/>
      <c r="C171" s="682"/>
      <c r="D171" s="682"/>
      <c r="E171" s="682"/>
      <c r="F171" s="682"/>
      <c r="G171" s="682"/>
      <c r="H171" s="682"/>
      <c r="I171" s="682"/>
    </row>
    <row r="172" spans="1:20" s="169" customFormat="1" ht="12" customHeight="1" x14ac:dyDescent="0.15">
      <c r="A172" s="166"/>
      <c r="B172" s="166" t="s">
        <v>314</v>
      </c>
      <c r="C172" s="166" t="s">
        <v>314</v>
      </c>
      <c r="D172" s="166" t="s">
        <v>314</v>
      </c>
      <c r="E172" s="166" t="s">
        <v>314</v>
      </c>
      <c r="F172" s="166" t="s">
        <v>314</v>
      </c>
      <c r="G172" s="166"/>
      <c r="H172" s="168">
        <v>10</v>
      </c>
      <c r="I172" s="168">
        <v>30</v>
      </c>
    </row>
    <row r="173" spans="1:20" s="343" customFormat="1" ht="12" customHeight="1" x14ac:dyDescent="0.15">
      <c r="A173" s="170" t="s">
        <v>315</v>
      </c>
      <c r="B173" s="342">
        <v>48</v>
      </c>
      <c r="C173" s="342">
        <v>49</v>
      </c>
      <c r="D173" s="342">
        <v>59</v>
      </c>
      <c r="E173" s="342">
        <v>69</v>
      </c>
      <c r="F173" s="342">
        <v>79</v>
      </c>
      <c r="G173" s="342"/>
    </row>
    <row r="174" spans="1:20" ht="15" customHeight="1" x14ac:dyDescent="0.15">
      <c r="A174" s="174"/>
      <c r="B174" s="175" t="s">
        <v>389</v>
      </c>
      <c r="C174" s="175"/>
      <c r="D174" s="175"/>
      <c r="E174" s="175"/>
      <c r="F174" s="175"/>
      <c r="G174" s="408"/>
      <c r="H174" s="175" t="s">
        <v>318</v>
      </c>
      <c r="I174" s="175"/>
    </row>
    <row r="175" spans="1:20" ht="26" x14ac:dyDescent="0.15">
      <c r="A175" s="174"/>
      <c r="B175" s="409">
        <v>2019</v>
      </c>
      <c r="C175" s="409">
        <v>2020</v>
      </c>
      <c r="D175" s="409">
        <v>2030</v>
      </c>
      <c r="E175" s="409">
        <v>2040</v>
      </c>
      <c r="F175" s="409">
        <v>2050</v>
      </c>
      <c r="G175" s="410"/>
      <c r="H175" s="182" t="s">
        <v>319</v>
      </c>
      <c r="I175" s="182" t="s">
        <v>320</v>
      </c>
    </row>
    <row r="176" spans="1:20" ht="15" customHeight="1" x14ac:dyDescent="0.15">
      <c r="A176" s="190" t="s">
        <v>390</v>
      </c>
      <c r="B176" s="411">
        <v>7672</v>
      </c>
      <c r="C176" s="412">
        <v>7753</v>
      </c>
      <c r="D176" s="413">
        <v>8505</v>
      </c>
      <c r="E176" s="413">
        <v>9155</v>
      </c>
      <c r="F176" s="413">
        <v>9692</v>
      </c>
      <c r="G176" s="414">
        <v>0</v>
      </c>
      <c r="H176" s="244">
        <v>0.9</v>
      </c>
      <c r="I176" s="196">
        <v>0.7</v>
      </c>
      <c r="M176" s="304"/>
      <c r="N176" s="304"/>
      <c r="O176" s="304"/>
      <c r="P176" s="304"/>
      <c r="Q176" s="304"/>
      <c r="R176" s="304"/>
      <c r="S176" s="304"/>
      <c r="T176" s="304"/>
    </row>
    <row r="177" spans="1:20" ht="15" customHeight="1" x14ac:dyDescent="0.15">
      <c r="A177" s="178" t="s">
        <v>391</v>
      </c>
      <c r="B177" s="413">
        <v>134710</v>
      </c>
      <c r="C177" s="412">
        <v>128276</v>
      </c>
      <c r="D177" s="413">
        <v>184037</v>
      </c>
      <c r="E177" s="413">
        <v>246960</v>
      </c>
      <c r="F177" s="413">
        <v>316411</v>
      </c>
      <c r="G177" s="414">
        <v>0</v>
      </c>
      <c r="H177" s="244">
        <v>3.7</v>
      </c>
      <c r="I177" s="196">
        <v>3.1</v>
      </c>
      <c r="M177" s="304"/>
      <c r="N177" s="304"/>
      <c r="O177" s="304"/>
      <c r="P177" s="304"/>
      <c r="Q177" s="304"/>
      <c r="R177" s="304"/>
      <c r="S177" s="304"/>
      <c r="T177" s="304"/>
    </row>
    <row r="178" spans="1:20" ht="15" customHeight="1" x14ac:dyDescent="0.15">
      <c r="A178" s="415" t="s">
        <v>392</v>
      </c>
      <c r="B178" s="413">
        <v>17558</v>
      </c>
      <c r="C178" s="412">
        <v>16545</v>
      </c>
      <c r="D178" s="413">
        <v>21638</v>
      </c>
      <c r="E178" s="413">
        <v>26975</v>
      </c>
      <c r="F178" s="413">
        <v>32648</v>
      </c>
      <c r="G178" s="414">
        <v>0</v>
      </c>
      <c r="H178" s="244">
        <v>2.7</v>
      </c>
      <c r="I178" s="196">
        <v>2.2999999999999998</v>
      </c>
      <c r="M178" s="304"/>
      <c r="N178" s="304"/>
      <c r="O178" s="304"/>
      <c r="P178" s="304"/>
      <c r="Q178" s="304"/>
      <c r="R178" s="304"/>
      <c r="S178" s="304"/>
      <c r="T178" s="304"/>
    </row>
    <row r="179" spans="1:20" ht="15" customHeight="1" x14ac:dyDescent="0.15">
      <c r="A179" s="415" t="s">
        <v>393</v>
      </c>
      <c r="B179" s="416">
        <v>4.5430000000000001</v>
      </c>
      <c r="C179" s="417">
        <v>4.5780000000000003</v>
      </c>
      <c r="D179" s="416">
        <v>2.9729999999999999</v>
      </c>
      <c r="E179" s="416">
        <v>2.1640000000000001</v>
      </c>
      <c r="F179" s="416">
        <v>1.716</v>
      </c>
      <c r="G179" s="414">
        <v>0</v>
      </c>
      <c r="H179" s="244">
        <v>-4.2</v>
      </c>
      <c r="I179" s="196">
        <v>-3.2</v>
      </c>
      <c r="M179" s="418"/>
      <c r="N179" s="418"/>
      <c r="O179" s="418"/>
      <c r="P179" s="418"/>
      <c r="Q179" s="418"/>
      <c r="R179" s="304"/>
      <c r="S179" s="304"/>
      <c r="T179" s="304"/>
    </row>
    <row r="180" spans="1:20" ht="15" customHeight="1" x14ac:dyDescent="0.15">
      <c r="A180" s="415" t="s">
        <v>394</v>
      </c>
      <c r="B180" s="416">
        <v>3.2309999999999999</v>
      </c>
      <c r="C180" s="419">
        <v>3.2080000000000002</v>
      </c>
      <c r="D180" s="416">
        <v>2.1389999999999998</v>
      </c>
      <c r="E180" s="416">
        <v>1.468</v>
      </c>
      <c r="F180" s="416">
        <v>1.0860000000000001</v>
      </c>
      <c r="G180" s="414">
        <v>0</v>
      </c>
      <c r="H180" s="244">
        <v>-4</v>
      </c>
      <c r="I180" s="196">
        <v>-3.5</v>
      </c>
      <c r="M180" s="418"/>
      <c r="N180" s="418"/>
      <c r="O180" s="418"/>
      <c r="P180" s="418"/>
      <c r="Q180" s="418"/>
      <c r="R180" s="304"/>
      <c r="S180" s="304"/>
      <c r="T180" s="304"/>
    </row>
    <row r="181" spans="1:20" ht="15" customHeight="1" x14ac:dyDescent="0.15">
      <c r="A181" s="415" t="s">
        <v>395</v>
      </c>
      <c r="B181" s="420">
        <v>79.774000000000001</v>
      </c>
      <c r="C181" s="421">
        <v>75.739000000000004</v>
      </c>
      <c r="D181" s="420">
        <v>64.325999999999993</v>
      </c>
      <c r="E181" s="420">
        <v>58.384999999999998</v>
      </c>
      <c r="F181" s="420">
        <v>56.027000000000001</v>
      </c>
      <c r="G181" s="414">
        <v>0</v>
      </c>
      <c r="H181" s="244">
        <v>-1.6</v>
      </c>
      <c r="I181" s="196">
        <v>-1</v>
      </c>
      <c r="M181" s="418"/>
      <c r="N181" s="418"/>
      <c r="O181" s="418"/>
      <c r="P181" s="418"/>
      <c r="Q181" s="418"/>
      <c r="R181" s="304"/>
      <c r="S181" s="304"/>
      <c r="T181" s="304"/>
    </row>
    <row r="182" spans="1:20" ht="31" thickBot="1" x14ac:dyDescent="0.2">
      <c r="A182" s="422" t="s">
        <v>396</v>
      </c>
      <c r="B182" s="423">
        <v>0.46800000000000003</v>
      </c>
      <c r="C182" s="424">
        <v>0.438</v>
      </c>
      <c r="D182" s="423">
        <v>0.13800000000000001</v>
      </c>
      <c r="E182" s="423">
        <v>-1E-3</v>
      </c>
      <c r="F182" s="423">
        <v>-5.0000000000000001E-3</v>
      </c>
      <c r="G182" s="425">
        <v>0</v>
      </c>
      <c r="H182" s="426">
        <v>-11</v>
      </c>
      <c r="I182" s="427" t="s">
        <v>345</v>
      </c>
      <c r="M182" s="418"/>
      <c r="N182" s="418"/>
      <c r="O182" s="418"/>
      <c r="P182" s="418"/>
      <c r="Q182" s="418"/>
      <c r="R182" s="304"/>
      <c r="S182" s="304"/>
      <c r="T182" s="304"/>
    </row>
    <row r="183" spans="1:20" ht="15" customHeight="1" x14ac:dyDescent="0.15">
      <c r="A183"/>
      <c r="B183"/>
      <c r="C183"/>
      <c r="D183"/>
      <c r="E183"/>
      <c r="F183"/>
      <c r="G183"/>
      <c r="H183"/>
      <c r="I183"/>
    </row>
    <row r="184" spans="1:20" ht="15" customHeight="1" x14ac:dyDescent="0.15">
      <c r="A184" s="174"/>
      <c r="B184" s="175" t="s">
        <v>397</v>
      </c>
      <c r="C184" s="175"/>
      <c r="D184" s="175"/>
      <c r="E184" s="175"/>
      <c r="F184" s="175"/>
      <c r="G184" s="408"/>
      <c r="H184" s="175" t="s">
        <v>318</v>
      </c>
      <c r="I184" s="175"/>
    </row>
    <row r="185" spans="1:20" ht="26" x14ac:dyDescent="0.15">
      <c r="A185" s="174"/>
      <c r="B185" s="409">
        <v>2019</v>
      </c>
      <c r="C185" s="409">
        <v>2020</v>
      </c>
      <c r="D185" s="409">
        <v>2030</v>
      </c>
      <c r="E185" s="409">
        <v>2040</v>
      </c>
      <c r="F185" s="409">
        <v>2050</v>
      </c>
      <c r="G185" s="410"/>
      <c r="H185" s="182" t="s">
        <v>319</v>
      </c>
      <c r="I185" s="182" t="s">
        <v>320</v>
      </c>
    </row>
    <row r="186" spans="1:20" ht="15" customHeight="1" x14ac:dyDescent="0.15">
      <c r="A186" s="386" t="s">
        <v>398</v>
      </c>
      <c r="B186" s="428"/>
      <c r="C186" s="428"/>
      <c r="D186" s="428"/>
      <c r="E186" s="428"/>
      <c r="F186" s="428"/>
      <c r="G186" s="429"/>
      <c r="H186" s="430"/>
      <c r="I186" s="430"/>
    </row>
    <row r="187" spans="1:20" ht="15" customHeight="1" x14ac:dyDescent="0.15">
      <c r="A187" s="190" t="s">
        <v>399</v>
      </c>
      <c r="B187" s="431">
        <v>538</v>
      </c>
      <c r="C187" s="432">
        <v>529</v>
      </c>
      <c r="D187" s="413">
        <v>641</v>
      </c>
      <c r="E187" s="413">
        <v>686</v>
      </c>
      <c r="F187" s="413">
        <v>688</v>
      </c>
      <c r="G187" s="243">
        <v>0</v>
      </c>
      <c r="H187" s="244">
        <v>1.9</v>
      </c>
      <c r="I187" s="196">
        <v>0.9</v>
      </c>
      <c r="M187" s="304"/>
      <c r="N187" s="304"/>
      <c r="O187" s="304"/>
      <c r="P187" s="304"/>
      <c r="Q187" s="304"/>
      <c r="R187" s="304"/>
      <c r="S187" s="304"/>
      <c r="T187" s="304"/>
    </row>
    <row r="188" spans="1:20" ht="15" customHeight="1" x14ac:dyDescent="0.15">
      <c r="A188" s="190" t="s">
        <v>400</v>
      </c>
      <c r="B188" s="413">
        <v>1869</v>
      </c>
      <c r="C188" s="432">
        <v>1781</v>
      </c>
      <c r="D188" s="413">
        <v>1937</v>
      </c>
      <c r="E188" s="413">
        <v>1958</v>
      </c>
      <c r="F188" s="413">
        <v>1987</v>
      </c>
      <c r="G188" s="243">
        <v>0</v>
      </c>
      <c r="H188" s="244">
        <v>0.8</v>
      </c>
      <c r="I188" s="196">
        <v>0.4</v>
      </c>
      <c r="M188" s="304"/>
      <c r="N188" s="304"/>
      <c r="O188" s="304"/>
      <c r="P188" s="304"/>
      <c r="Q188" s="304"/>
      <c r="R188" s="304"/>
      <c r="S188" s="304"/>
      <c r="T188" s="304"/>
    </row>
    <row r="189" spans="1:20" ht="15" customHeight="1" x14ac:dyDescent="0.15">
      <c r="A189" s="227" t="s">
        <v>401</v>
      </c>
      <c r="B189" s="433">
        <v>4215</v>
      </c>
      <c r="C189" s="434">
        <v>4054</v>
      </c>
      <c r="D189" s="433">
        <v>4258</v>
      </c>
      <c r="E189" s="433">
        <v>4129</v>
      </c>
      <c r="F189" s="433">
        <v>4032</v>
      </c>
      <c r="G189" s="282">
        <v>0</v>
      </c>
      <c r="H189" s="283">
        <v>0.5</v>
      </c>
      <c r="I189" s="284">
        <v>0</v>
      </c>
      <c r="M189" s="304"/>
      <c r="N189" s="304"/>
      <c r="O189" s="304"/>
      <c r="P189" s="304"/>
      <c r="Q189" s="304"/>
      <c r="R189" s="304"/>
      <c r="S189" s="304"/>
      <c r="T189" s="304"/>
    </row>
    <row r="190" spans="1:20" ht="15" customHeight="1" x14ac:dyDescent="0.15">
      <c r="A190" s="386" t="s">
        <v>120</v>
      </c>
      <c r="B190" s="435"/>
      <c r="C190" s="435"/>
      <c r="D190" s="435"/>
      <c r="E190" s="435"/>
      <c r="F190" s="435"/>
      <c r="G190" s="429"/>
      <c r="H190" s="436"/>
      <c r="I190" s="436"/>
      <c r="M190" s="304"/>
      <c r="N190" s="304"/>
      <c r="O190" s="304"/>
      <c r="P190" s="304"/>
      <c r="Q190" s="304"/>
      <c r="R190" s="304"/>
      <c r="S190" s="304"/>
      <c r="T190" s="304"/>
    </row>
    <row r="191" spans="1:20" ht="15" customHeight="1" x14ac:dyDescent="0.15">
      <c r="A191" s="190" t="s">
        <v>402</v>
      </c>
      <c r="B191" s="413">
        <v>15300</v>
      </c>
      <c r="C191" s="432">
        <v>14261</v>
      </c>
      <c r="D191" s="413">
        <v>15775</v>
      </c>
      <c r="E191" s="413">
        <v>19159</v>
      </c>
      <c r="F191" s="413">
        <v>24517</v>
      </c>
      <c r="G191" s="243">
        <v>0</v>
      </c>
      <c r="H191" s="244">
        <v>1</v>
      </c>
      <c r="I191" s="196">
        <v>1.8</v>
      </c>
      <c r="M191" s="304"/>
      <c r="N191" s="304"/>
      <c r="O191" s="304"/>
      <c r="P191" s="304"/>
      <c r="Q191" s="304"/>
      <c r="R191" s="304"/>
      <c r="S191" s="304"/>
      <c r="T191" s="304"/>
    </row>
    <row r="192" spans="1:20" ht="15" customHeight="1" x14ac:dyDescent="0.15">
      <c r="A192" s="190" t="s">
        <v>403</v>
      </c>
      <c r="B192" s="413">
        <v>26646</v>
      </c>
      <c r="C192" s="432">
        <v>25761</v>
      </c>
      <c r="D192" s="413">
        <v>38072</v>
      </c>
      <c r="E192" s="413">
        <v>49756</v>
      </c>
      <c r="F192" s="413">
        <v>59990</v>
      </c>
      <c r="G192" s="243">
        <v>0</v>
      </c>
      <c r="H192" s="244">
        <v>4</v>
      </c>
      <c r="I192" s="196">
        <v>2.9</v>
      </c>
      <c r="M192" s="304"/>
      <c r="N192" s="304"/>
      <c r="O192" s="304"/>
      <c r="P192" s="304"/>
      <c r="Q192" s="304"/>
      <c r="R192" s="304"/>
      <c r="S192" s="304"/>
      <c r="T192" s="304"/>
    </row>
    <row r="193" spans="1:20" ht="15" customHeight="1" x14ac:dyDescent="0.15">
      <c r="A193" s="190" t="s">
        <v>404</v>
      </c>
      <c r="B193" s="413">
        <v>8160</v>
      </c>
      <c r="C193" s="432">
        <v>2780</v>
      </c>
      <c r="D193" s="413">
        <v>10250</v>
      </c>
      <c r="E193" s="413">
        <v>12060</v>
      </c>
      <c r="F193" s="413">
        <v>15650</v>
      </c>
      <c r="G193" s="243">
        <v>0</v>
      </c>
      <c r="H193" s="245">
        <v>14</v>
      </c>
      <c r="I193" s="196">
        <v>5.9249058923818154</v>
      </c>
      <c r="M193" s="304"/>
      <c r="N193" s="304"/>
      <c r="O193" s="304"/>
      <c r="P193" s="304"/>
      <c r="Q193" s="304"/>
      <c r="R193" s="304"/>
      <c r="S193" s="304"/>
      <c r="T193" s="304"/>
    </row>
    <row r="194" spans="1:20" ht="15" customHeight="1" x14ac:dyDescent="0.15">
      <c r="A194" s="227" t="s">
        <v>405</v>
      </c>
      <c r="B194" s="433">
        <v>107225</v>
      </c>
      <c r="C194" s="434">
        <v>109153</v>
      </c>
      <c r="D194" s="433">
        <v>155621</v>
      </c>
      <c r="E194" s="433">
        <v>209905</v>
      </c>
      <c r="F194" s="433">
        <v>291032</v>
      </c>
      <c r="G194" s="282">
        <v>0</v>
      </c>
      <c r="H194" s="283">
        <v>3.6</v>
      </c>
      <c r="I194" s="284">
        <v>3.3</v>
      </c>
      <c r="M194" s="304"/>
      <c r="N194" s="304"/>
      <c r="O194" s="304"/>
      <c r="P194" s="304"/>
      <c r="Q194" s="304"/>
      <c r="R194" s="304"/>
      <c r="S194" s="304"/>
      <c r="T194" s="304"/>
    </row>
    <row r="195" spans="1:20" ht="15" customHeight="1" x14ac:dyDescent="0.15">
      <c r="A195" s="386" t="s">
        <v>356</v>
      </c>
      <c r="B195" s="435"/>
      <c r="C195" s="435"/>
      <c r="D195" s="435"/>
      <c r="E195" s="435"/>
      <c r="F195" s="435"/>
      <c r="G195" s="429"/>
      <c r="H195" s="436"/>
      <c r="I195" s="436"/>
      <c r="M195" s="304"/>
      <c r="N195" s="304"/>
      <c r="O195" s="304"/>
      <c r="P195" s="304"/>
      <c r="Q195" s="304"/>
      <c r="R195" s="304"/>
      <c r="S195" s="304"/>
      <c r="T195" s="304"/>
    </row>
    <row r="196" spans="1:20" ht="15" customHeight="1" x14ac:dyDescent="0.15">
      <c r="A196" s="190" t="s">
        <v>406</v>
      </c>
      <c r="B196" s="413">
        <v>49670</v>
      </c>
      <c r="C196" s="432">
        <v>49825</v>
      </c>
      <c r="D196" s="413">
        <v>58867</v>
      </c>
      <c r="E196" s="413">
        <v>68576</v>
      </c>
      <c r="F196" s="413">
        <v>78157</v>
      </c>
      <c r="G196" s="243">
        <v>0</v>
      </c>
      <c r="H196" s="244">
        <v>1.7</v>
      </c>
      <c r="I196" s="196">
        <v>1.5</v>
      </c>
      <c r="M196" s="304"/>
      <c r="N196" s="304"/>
      <c r="O196" s="304"/>
      <c r="P196" s="304"/>
      <c r="Q196" s="304"/>
      <c r="R196" s="304"/>
      <c r="S196" s="304"/>
      <c r="T196" s="304"/>
    </row>
    <row r="197" spans="1:20" ht="15" customHeight="1" x14ac:dyDescent="0.15">
      <c r="A197" s="190" t="s">
        <v>407</v>
      </c>
      <c r="B197" s="413">
        <v>190062</v>
      </c>
      <c r="C197" s="432">
        <v>192558</v>
      </c>
      <c r="D197" s="413">
        <v>235745</v>
      </c>
      <c r="E197" s="413">
        <v>290696</v>
      </c>
      <c r="F197" s="413">
        <v>345183</v>
      </c>
      <c r="G197" s="243">
        <v>0</v>
      </c>
      <c r="H197" s="244">
        <v>2</v>
      </c>
      <c r="I197" s="196">
        <v>2</v>
      </c>
      <c r="M197" s="304"/>
      <c r="N197" s="304"/>
      <c r="O197" s="304"/>
      <c r="P197" s="304"/>
      <c r="Q197" s="304"/>
      <c r="R197" s="304"/>
      <c r="S197" s="304"/>
      <c r="T197" s="304"/>
    </row>
    <row r="198" spans="1:20" ht="15" customHeight="1" thickBot="1" x14ac:dyDescent="0.2">
      <c r="A198" s="230" t="s">
        <v>408</v>
      </c>
      <c r="B198" s="437">
        <v>2095</v>
      </c>
      <c r="C198" s="438">
        <v>2116</v>
      </c>
      <c r="D198" s="437">
        <v>2435</v>
      </c>
      <c r="E198" s="437">
        <v>2765</v>
      </c>
      <c r="F198" s="437">
        <v>3051</v>
      </c>
      <c r="G198" s="439">
        <v>0</v>
      </c>
      <c r="H198" s="236">
        <v>1.4</v>
      </c>
      <c r="I198" s="236">
        <v>1.2</v>
      </c>
      <c r="M198" s="304"/>
      <c r="N198" s="304"/>
      <c r="O198" s="304"/>
      <c r="P198" s="304"/>
      <c r="Q198" s="304"/>
      <c r="R198" s="304"/>
      <c r="S198" s="304"/>
      <c r="T198" s="304"/>
    </row>
    <row r="199" spans="1:20" ht="33" customHeight="1" x14ac:dyDescent="0.15">
      <c r="A199" s="681" t="s">
        <v>409</v>
      </c>
      <c r="B199" s="681"/>
      <c r="C199" s="681"/>
      <c r="D199" s="681"/>
      <c r="E199" s="681"/>
      <c r="F199" s="681"/>
      <c r="G199" s="681"/>
      <c r="H199" s="681"/>
      <c r="I199" s="681"/>
    </row>
    <row r="203" spans="1:20" x14ac:dyDescent="0.15">
      <c r="B203" s="178">
        <f>B189/(B187+B188+B189)</f>
        <v>0.6365146481425551</v>
      </c>
      <c r="C203" s="178">
        <f>C189/(C187+C188+C189)</f>
        <v>0.63702074167190448</v>
      </c>
      <c r="D203" s="178">
        <f t="shared" ref="D203:F203" si="0">D189/(D187+D188+D189)</f>
        <v>0.62287887653598595</v>
      </c>
      <c r="E203" s="178">
        <f t="shared" si="0"/>
        <v>0.60962645799498005</v>
      </c>
      <c r="F203" s="178">
        <f t="shared" si="0"/>
        <v>0.60116296406739222</v>
      </c>
    </row>
    <row r="205" spans="1:20" x14ac:dyDescent="0.15">
      <c r="A205" s="453" t="s">
        <v>416</v>
      </c>
      <c r="B205" s="453"/>
      <c r="C205" s="453"/>
      <c r="D205" s="453"/>
      <c r="E205" s="453"/>
      <c r="F205" s="453"/>
      <c r="G205" s="453"/>
      <c r="H205" s="453"/>
      <c r="I205" s="453"/>
      <c r="J205" s="453"/>
    </row>
    <row r="206" spans="1:20" ht="24" x14ac:dyDescent="0.3">
      <c r="A206" s="454" t="s">
        <v>417</v>
      </c>
      <c r="B206" s="455"/>
      <c r="C206" s="22"/>
      <c r="D206" s="10"/>
      <c r="E206" s="22"/>
      <c r="F206" s="22"/>
      <c r="G206" s="22"/>
      <c r="H206" s="22"/>
      <c r="I206" s="453"/>
      <c r="J206" s="453"/>
    </row>
    <row r="207" spans="1:20" ht="15" x14ac:dyDescent="0.2">
      <c r="A207" s="22"/>
      <c r="B207" s="456" t="s">
        <v>418</v>
      </c>
      <c r="C207" s="22"/>
      <c r="D207" s="10"/>
      <c r="E207" s="22"/>
      <c r="F207" s="457" t="s">
        <v>419</v>
      </c>
      <c r="G207" s="22"/>
      <c r="H207" s="22"/>
      <c r="I207" s="453"/>
      <c r="J207" s="453"/>
    </row>
    <row r="208" spans="1:20" ht="15" x14ac:dyDescent="0.2">
      <c r="A208" s="458"/>
      <c r="B208" s="459">
        <v>2020</v>
      </c>
      <c r="C208" s="459">
        <v>2030</v>
      </c>
      <c r="D208" s="459">
        <v>2050</v>
      </c>
      <c r="E208" s="22"/>
      <c r="F208" s="460">
        <v>2020</v>
      </c>
      <c r="G208" s="460">
        <v>2030</v>
      </c>
      <c r="H208" s="460">
        <v>2050</v>
      </c>
      <c r="I208" s="453"/>
      <c r="J208" s="453"/>
    </row>
    <row r="209" spans="1:10" ht="15" x14ac:dyDescent="0.2">
      <c r="A209" s="458" t="s">
        <v>420</v>
      </c>
      <c r="B209" s="459">
        <v>21.8</v>
      </c>
      <c r="C209" s="459">
        <v>3445</v>
      </c>
      <c r="D209" s="459">
        <v>12314</v>
      </c>
      <c r="E209" s="22"/>
      <c r="F209" s="461">
        <v>0.25</v>
      </c>
      <c r="G209" s="461">
        <v>0.57999999999999996</v>
      </c>
      <c r="H209" s="461">
        <v>0.63600000000000001</v>
      </c>
      <c r="I209" s="453"/>
      <c r="J209" s="453"/>
    </row>
    <row r="210" spans="1:10" ht="15" x14ac:dyDescent="0.2">
      <c r="A210" s="458" t="s">
        <v>421</v>
      </c>
      <c r="B210" s="462">
        <v>5050</v>
      </c>
      <c r="C210" s="462">
        <v>7144</v>
      </c>
      <c r="D210" s="462">
        <v>11648</v>
      </c>
      <c r="E210" s="22"/>
      <c r="F210" s="461">
        <v>0.161</v>
      </c>
      <c r="G210" s="461">
        <v>0.20599999999999999</v>
      </c>
      <c r="H210" s="461">
        <v>0.36599999999999999</v>
      </c>
      <c r="I210" s="453"/>
      <c r="J210" s="453"/>
    </row>
    <row r="211" spans="1:10" ht="15" x14ac:dyDescent="0.2">
      <c r="A211" s="458" t="s">
        <v>422</v>
      </c>
      <c r="B211" s="462">
        <v>4283</v>
      </c>
      <c r="C211" s="462">
        <v>5865</v>
      </c>
      <c r="D211" s="462">
        <v>8844</v>
      </c>
      <c r="E211" s="22"/>
      <c r="F211" s="461">
        <v>0.35199999999999998</v>
      </c>
      <c r="G211" s="461">
        <v>0.46800000000000003</v>
      </c>
      <c r="H211" s="461">
        <v>0.69299999999999995</v>
      </c>
      <c r="I211" s="453"/>
      <c r="J211" s="453"/>
    </row>
    <row r="212" spans="1:10" ht="15" x14ac:dyDescent="0.2">
      <c r="A212" s="458" t="s">
        <v>423</v>
      </c>
      <c r="B212" s="462">
        <v>2347</v>
      </c>
      <c r="C212" s="462">
        <v>2177</v>
      </c>
      <c r="D212" s="462">
        <v>2599</v>
      </c>
      <c r="E212" s="22"/>
      <c r="F212" s="461">
        <v>0.14199999999999999</v>
      </c>
      <c r="G212" s="461">
        <v>0.17399999999999999</v>
      </c>
      <c r="H212" s="461">
        <v>0.32200000000000001</v>
      </c>
      <c r="I212" s="453"/>
      <c r="J212" s="453"/>
    </row>
    <row r="213" spans="1:10" ht="15" x14ac:dyDescent="0.2">
      <c r="A213" s="458" t="s">
        <v>153</v>
      </c>
      <c r="B213" s="462">
        <v>512</v>
      </c>
      <c r="C213" s="462">
        <v>749</v>
      </c>
      <c r="D213" s="462">
        <v>1874</v>
      </c>
      <c r="E213" s="22"/>
      <c r="F213" s="461">
        <v>0.16900000000000001</v>
      </c>
      <c r="G213" s="461">
        <v>0.155</v>
      </c>
      <c r="H213" s="461">
        <v>0.48199999999999998</v>
      </c>
      <c r="I213" s="453"/>
      <c r="J213" s="453"/>
    </row>
    <row r="214" spans="1:10" ht="15" x14ac:dyDescent="0.2">
      <c r="A214" s="458" t="s">
        <v>424</v>
      </c>
      <c r="B214" s="462">
        <v>29.5</v>
      </c>
      <c r="C214" s="462">
        <v>821</v>
      </c>
      <c r="D214" s="462">
        <v>4032</v>
      </c>
      <c r="E214" s="22"/>
      <c r="F214" s="461">
        <v>2.16E-3</v>
      </c>
      <c r="G214" s="461">
        <v>8.4000000000000005E-2</v>
      </c>
      <c r="H214" s="461">
        <v>0.77</v>
      </c>
      <c r="I214" s="453"/>
      <c r="J214" s="453"/>
    </row>
    <row r="215" spans="1:10" ht="15" x14ac:dyDescent="0.2">
      <c r="A215" s="458" t="s">
        <v>425</v>
      </c>
      <c r="B215" s="462">
        <v>0.42699999999999999</v>
      </c>
      <c r="C215" s="462">
        <v>295</v>
      </c>
      <c r="D215" s="462">
        <v>2651</v>
      </c>
      <c r="E215" s="22"/>
      <c r="F215" s="461">
        <v>6.0000000000000002E-5</v>
      </c>
      <c r="G215" s="461">
        <v>3.9E-2</v>
      </c>
      <c r="H215" s="461">
        <v>0.44400000000000001</v>
      </c>
      <c r="I215" s="453"/>
      <c r="J215" s="453"/>
    </row>
    <row r="216" spans="1:10" x14ac:dyDescent="0.15">
      <c r="A216" s="453"/>
      <c r="B216" s="453"/>
      <c r="C216" s="453"/>
      <c r="D216" s="453"/>
      <c r="E216" s="453"/>
      <c r="F216" s="453"/>
      <c r="G216" s="453"/>
      <c r="H216" s="453"/>
      <c r="I216" s="453"/>
      <c r="J216" s="453"/>
    </row>
    <row r="220" spans="1:10" x14ac:dyDescent="0.15">
      <c r="B220" s="178">
        <f>(D210+C210)/2</f>
        <v>9396</v>
      </c>
    </row>
  </sheetData>
  <sheetProtection algorithmName="SHA-512" hashValue="qlj/AH2IGsnGKl20NnOSAyfZZvzSTq0iFATNUvGOdV83rkuJwzeXTrLM90+ZHTH2r66EI8OA366Q7dBTU7BlcQ==" saltValue="QIt+T56CMJ5uu7kfA7BqBQ==" spinCount="100000" sheet="1" objects="1" scenarios="1"/>
  <mergeCells count="7">
    <mergeCell ref="A199:I199"/>
    <mergeCell ref="A1:M1"/>
    <mergeCell ref="A41:M41"/>
    <mergeCell ref="A81:M81"/>
    <mergeCell ref="A128:I128"/>
    <mergeCell ref="B131:F131"/>
    <mergeCell ref="A171:I171"/>
  </mergeCells>
  <hyperlinks>
    <hyperlink ref="A43" location="Contents!A1" display="Back to contents page" xr:uid="{00000000-0004-0000-0A00-000000000000}"/>
    <hyperlink ref="A83" location="Contents!A1" display="Back to contents page" xr:uid="{00000000-0004-0000-0A00-000001000000}"/>
    <hyperlink ref="A130" location="Contents!A1" display="Back to contents page" xr:uid="{00000000-0004-0000-0A00-000002000000}"/>
    <hyperlink ref="A173" location="Contents!A1" display="Back to contents page" xr:uid="{00000000-0004-0000-0A00-000003000000}"/>
  </hyperlinks>
  <printOptions horizontalCentered="1" verticalCentered="1"/>
  <pageMargins left="0.19685039370078741" right="0.19685039370078741" top="0.19685039370078741"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5A81C"/>
  </sheetPr>
  <dimension ref="A1:T47"/>
  <sheetViews>
    <sheetView showGridLines="0" showRowColHeaders="0" zoomScaleNormal="100" workbookViewId="0">
      <selection activeCell="S16" sqref="S16"/>
    </sheetView>
  </sheetViews>
  <sheetFormatPr baseColWidth="10" defaultColWidth="11.5" defaultRowHeight="13" x14ac:dyDescent="0.15"/>
  <cols>
    <col min="1" max="1" width="3.5" style="22" customWidth="1"/>
    <col min="2" max="4" width="11.5" style="22" customWidth="1"/>
    <col min="5" max="16384" width="11.5" style="22"/>
  </cols>
  <sheetData>
    <row r="1" spans="2:20" ht="19.5" customHeight="1" x14ac:dyDescent="0.2">
      <c r="H1" s="555"/>
    </row>
    <row r="2" spans="2:20" ht="19.5" customHeight="1" x14ac:dyDescent="0.15">
      <c r="G2" s="583"/>
    </row>
    <row r="3" spans="2:20" ht="33.75" customHeight="1" x14ac:dyDescent="0.15">
      <c r="G3" s="665" t="str">
        <f>+README!D26</f>
        <v xml:space="preserve">SBTi Steel Target Setting Tool </v>
      </c>
      <c r="H3" s="665"/>
      <c r="I3" s="665"/>
      <c r="J3" s="665"/>
      <c r="K3" s="665"/>
      <c r="L3" s="665"/>
      <c r="M3" s="665"/>
      <c r="N3" s="665"/>
      <c r="O3" s="665"/>
      <c r="P3" s="665"/>
      <c r="Q3" s="73"/>
      <c r="R3" s="73"/>
      <c r="S3" s="73"/>
      <c r="T3" s="73"/>
    </row>
    <row r="4" spans="2:20" ht="19.5" customHeight="1" x14ac:dyDescent="0.15"/>
    <row r="5" spans="2:20" ht="19.5" customHeight="1" x14ac:dyDescent="0.15">
      <c r="G5" s="619" t="s">
        <v>218</v>
      </c>
      <c r="H5" s="94"/>
      <c r="I5" s="620">
        <f>+README!M26</f>
        <v>1.1000000000000001</v>
      </c>
    </row>
    <row r="6" spans="2:20" ht="19.5" customHeight="1" x14ac:dyDescent="0.15">
      <c r="G6" s="619" t="s">
        <v>216</v>
      </c>
      <c r="H6" s="71"/>
      <c r="I6" s="72" t="s">
        <v>217</v>
      </c>
    </row>
    <row r="7" spans="2:20" ht="16" x14ac:dyDescent="0.2">
      <c r="B7" s="95"/>
      <c r="C7" s="95"/>
      <c r="D7" s="95"/>
      <c r="E7" s="95"/>
      <c r="F7" s="95"/>
      <c r="G7" s="95"/>
      <c r="H7" s="95"/>
      <c r="I7" s="95"/>
      <c r="J7" s="95"/>
      <c r="K7" s="95"/>
      <c r="L7" s="95"/>
      <c r="M7" s="95"/>
      <c r="N7" s="95"/>
      <c r="O7" s="95"/>
      <c r="P7" s="95"/>
    </row>
    <row r="8" spans="2:20" ht="16" x14ac:dyDescent="0.15">
      <c r="B8" s="96"/>
      <c r="C8" s="96"/>
      <c r="D8" s="96"/>
      <c r="E8" s="96"/>
      <c r="F8" s="96"/>
      <c r="G8" s="96"/>
      <c r="H8" s="96"/>
      <c r="I8" s="96"/>
      <c r="J8" s="96"/>
      <c r="K8" s="96"/>
      <c r="L8" s="96"/>
      <c r="M8" s="96"/>
      <c r="N8" s="96"/>
      <c r="O8" s="96"/>
      <c r="P8" s="96"/>
    </row>
    <row r="9" spans="2:20" ht="25" x14ac:dyDescent="0.15">
      <c r="B9" s="85" t="s">
        <v>228</v>
      </c>
      <c r="C9" s="103"/>
      <c r="D9" s="103"/>
      <c r="E9" s="103"/>
      <c r="F9" s="103"/>
      <c r="G9" s="103"/>
      <c r="H9" s="103"/>
      <c r="I9" s="103"/>
      <c r="J9" s="103"/>
      <c r="K9" s="103"/>
      <c r="L9" s="103"/>
      <c r="M9" s="103"/>
      <c r="N9" s="103"/>
      <c r="O9" s="103"/>
      <c r="P9" s="103"/>
    </row>
    <row r="10" spans="2:20" s="98" customFormat="1" x14ac:dyDescent="0.15">
      <c r="B10" s="97"/>
      <c r="C10" s="97"/>
      <c r="D10" s="97"/>
      <c r="E10" s="97"/>
      <c r="F10" s="97"/>
      <c r="G10" s="97"/>
      <c r="H10" s="97"/>
      <c r="I10" s="97"/>
      <c r="J10" s="97"/>
      <c r="K10" s="97"/>
      <c r="L10" s="97"/>
      <c r="M10" s="97"/>
      <c r="N10" s="97"/>
      <c r="O10" s="97"/>
      <c r="P10" s="97"/>
    </row>
    <row r="11" spans="2:20" ht="25" x14ac:dyDescent="0.15">
      <c r="B11" s="79" t="s">
        <v>679</v>
      </c>
      <c r="C11" s="82"/>
      <c r="D11" s="82"/>
      <c r="E11" s="82"/>
      <c r="F11" s="82"/>
      <c r="G11" s="82"/>
      <c r="H11" s="82"/>
      <c r="I11" s="82"/>
      <c r="J11" s="82"/>
      <c r="K11" s="82"/>
      <c r="L11" s="82"/>
      <c r="M11" s="82"/>
      <c r="N11" s="82"/>
      <c r="O11" s="82"/>
      <c r="P11" s="82"/>
    </row>
    <row r="12" spans="2:20" ht="25" x14ac:dyDescent="0.15">
      <c r="B12" s="79"/>
      <c r="C12" s="82"/>
      <c r="D12" s="82"/>
      <c r="E12" s="82"/>
      <c r="F12" s="82"/>
      <c r="G12" s="82"/>
      <c r="H12" s="82"/>
      <c r="I12" s="82"/>
      <c r="J12" s="82"/>
      <c r="K12" s="82"/>
      <c r="L12" s="82"/>
      <c r="M12" s="82"/>
      <c r="N12" s="82"/>
      <c r="O12" s="82"/>
      <c r="P12" s="82"/>
    </row>
    <row r="13" spans="2:20" s="94" customFormat="1" ht="33.75" customHeight="1" x14ac:dyDescent="0.15">
      <c r="B13" s="673" t="s">
        <v>229</v>
      </c>
      <c r="C13" s="673"/>
      <c r="D13" s="673"/>
      <c r="E13" s="81"/>
      <c r="F13" s="666" t="s">
        <v>667</v>
      </c>
      <c r="G13" s="666"/>
      <c r="H13" s="666"/>
      <c r="I13" s="104"/>
      <c r="J13" s="668" t="s">
        <v>654</v>
      </c>
      <c r="K13" s="668"/>
      <c r="L13" s="668"/>
      <c r="M13" s="104"/>
      <c r="N13" s="670" t="s">
        <v>253</v>
      </c>
      <c r="O13" s="670"/>
      <c r="P13" s="670"/>
    </row>
    <row r="14" spans="2:20" s="94" customFormat="1" ht="33.75" customHeight="1" x14ac:dyDescent="0.15">
      <c r="B14" s="673"/>
      <c r="C14" s="673"/>
      <c r="D14" s="673"/>
      <c r="E14" s="81"/>
      <c r="F14" s="666"/>
      <c r="G14" s="666"/>
      <c r="H14" s="666"/>
      <c r="I14" s="104"/>
      <c r="J14" s="668"/>
      <c r="K14" s="668"/>
      <c r="L14" s="668"/>
      <c r="M14" s="104"/>
      <c r="N14" s="670"/>
      <c r="O14" s="670"/>
      <c r="P14" s="670"/>
    </row>
    <row r="15" spans="2:20" s="94" customFormat="1" ht="33.75" customHeight="1" x14ac:dyDescent="0.15">
      <c r="B15" s="674" t="s">
        <v>235</v>
      </c>
      <c r="C15" s="674"/>
      <c r="D15" s="674"/>
      <c r="E15" s="80"/>
      <c r="F15" s="667" t="s">
        <v>659</v>
      </c>
      <c r="G15" s="667"/>
      <c r="H15" s="667"/>
      <c r="I15" s="105"/>
      <c r="J15" s="669" t="s">
        <v>655</v>
      </c>
      <c r="K15" s="669"/>
      <c r="L15" s="669"/>
      <c r="M15" s="105"/>
      <c r="N15" s="671" t="s">
        <v>264</v>
      </c>
      <c r="O15" s="671"/>
      <c r="P15" s="671"/>
    </row>
    <row r="16" spans="2:20" s="94" customFormat="1" ht="33.75" customHeight="1" x14ac:dyDescent="0.15">
      <c r="B16" s="674"/>
      <c r="C16" s="674"/>
      <c r="D16" s="674"/>
      <c r="E16" s="80"/>
      <c r="F16" s="667"/>
      <c r="G16" s="667"/>
      <c r="H16" s="667"/>
      <c r="I16" s="105"/>
      <c r="J16" s="669"/>
      <c r="K16" s="669"/>
      <c r="L16" s="669"/>
      <c r="M16" s="105"/>
      <c r="N16" s="671"/>
      <c r="O16" s="671"/>
      <c r="P16" s="671"/>
    </row>
    <row r="17" spans="1:17" ht="33.75" customHeight="1" x14ac:dyDescent="0.15">
      <c r="B17" s="674"/>
      <c r="C17" s="674"/>
      <c r="D17" s="674"/>
      <c r="E17" s="60"/>
      <c r="F17" s="667"/>
      <c r="G17" s="667"/>
      <c r="H17" s="667"/>
      <c r="I17" s="106"/>
      <c r="J17" s="669"/>
      <c r="K17" s="669"/>
      <c r="L17" s="669"/>
      <c r="M17" s="106"/>
      <c r="N17" s="672" t="s">
        <v>231</v>
      </c>
      <c r="O17" s="672"/>
      <c r="P17" s="672"/>
      <c r="Q17" s="592"/>
    </row>
    <row r="18" spans="1:17" ht="33.75" customHeight="1" x14ac:dyDescent="0.2">
      <c r="C18" s="60"/>
      <c r="D18" s="60"/>
      <c r="E18" s="60"/>
      <c r="F18" s="60"/>
      <c r="G18" s="60"/>
      <c r="H18" s="60"/>
      <c r="I18" s="60"/>
      <c r="J18" s="60"/>
      <c r="K18" s="60"/>
      <c r="L18" s="107" t="s">
        <v>230</v>
      </c>
      <c r="M18" s="60"/>
      <c r="N18" s="60"/>
      <c r="O18" s="60"/>
      <c r="P18" s="60"/>
    </row>
    <row r="19" spans="1:17" ht="33.75" customHeight="1" x14ac:dyDescent="0.2">
      <c r="B19" s="618" t="s">
        <v>660</v>
      </c>
      <c r="C19" s="60"/>
      <c r="D19" s="60"/>
      <c r="E19" s="60"/>
      <c r="F19" s="60"/>
      <c r="G19" s="60"/>
      <c r="H19" s="60"/>
      <c r="I19" s="60"/>
      <c r="J19" s="60"/>
      <c r="K19" s="60"/>
      <c r="L19" s="107"/>
      <c r="M19" s="60"/>
      <c r="N19" s="60"/>
      <c r="O19" s="60"/>
      <c r="P19" s="60"/>
    </row>
    <row r="20" spans="1:17" ht="33.75" customHeight="1" x14ac:dyDescent="0.15">
      <c r="B20" s="79" t="s">
        <v>680</v>
      </c>
      <c r="C20" s="60"/>
      <c r="D20" s="60"/>
      <c r="E20" s="60"/>
      <c r="F20" s="60"/>
      <c r="G20" s="60"/>
      <c r="H20" s="60"/>
    </row>
    <row r="21" spans="1:17" ht="33.75" customHeight="1" x14ac:dyDescent="0.15">
      <c r="B21" s="84"/>
      <c r="C21" s="88"/>
      <c r="D21" s="88"/>
      <c r="E21" s="88"/>
      <c r="F21" s="88"/>
      <c r="G21" s="88"/>
      <c r="H21" s="88"/>
      <c r="I21" s="108"/>
      <c r="J21" s="108"/>
      <c r="K21" s="108"/>
      <c r="L21" s="108"/>
      <c r="M21" s="108"/>
      <c r="N21" s="108"/>
      <c r="O21" s="108"/>
      <c r="P21" s="108"/>
    </row>
    <row r="22" spans="1:17" ht="33.75" customHeight="1" x14ac:dyDescent="0.15">
      <c r="B22" s="617">
        <v>1</v>
      </c>
      <c r="C22" s="659" t="s">
        <v>682</v>
      </c>
      <c r="D22" s="660"/>
      <c r="E22" s="660"/>
      <c r="F22" s="660"/>
      <c r="G22" s="660"/>
      <c r="H22" s="660"/>
      <c r="I22" s="660"/>
      <c r="J22" s="660"/>
      <c r="K22" s="660"/>
      <c r="L22" s="660"/>
      <c r="M22" s="660"/>
      <c r="N22" s="660"/>
      <c r="O22" s="660"/>
      <c r="P22" s="660"/>
    </row>
    <row r="23" spans="1:17" ht="33.75" customHeight="1" x14ac:dyDescent="0.15">
      <c r="B23" s="617"/>
      <c r="C23" s="675" t="s">
        <v>663</v>
      </c>
      <c r="D23" s="676"/>
      <c r="E23" s="676"/>
      <c r="F23" s="676"/>
      <c r="G23" s="676"/>
      <c r="H23" s="676"/>
      <c r="I23" s="676"/>
      <c r="J23" s="676"/>
      <c r="K23" s="676"/>
      <c r="L23" s="676"/>
      <c r="M23" s="676"/>
      <c r="N23" s="676"/>
      <c r="O23" s="676"/>
      <c r="P23" s="676"/>
    </row>
    <row r="24" spans="1:17" ht="20" customHeight="1" x14ac:dyDescent="0.15">
      <c r="A24" s="661"/>
      <c r="B24" s="680">
        <v>2</v>
      </c>
      <c r="C24" s="663" t="s">
        <v>664</v>
      </c>
      <c r="D24" s="663"/>
      <c r="E24" s="663"/>
      <c r="F24" s="663"/>
      <c r="G24" s="663"/>
      <c r="H24" s="663"/>
      <c r="I24" s="663"/>
      <c r="J24" s="663"/>
      <c r="K24" s="663"/>
      <c r="L24" s="663"/>
      <c r="M24" s="663"/>
      <c r="N24" s="663"/>
      <c r="O24" s="663"/>
      <c r="P24" s="663"/>
    </row>
    <row r="25" spans="1:17" ht="20" customHeight="1" x14ac:dyDescent="0.2">
      <c r="A25" s="662"/>
      <c r="B25" s="680"/>
      <c r="C25" s="663"/>
      <c r="D25" s="663"/>
      <c r="E25" s="663"/>
      <c r="F25" s="663"/>
      <c r="G25" s="663"/>
      <c r="H25" s="663"/>
      <c r="I25" s="663"/>
      <c r="J25" s="663"/>
      <c r="K25" s="663"/>
      <c r="L25" s="663"/>
      <c r="M25" s="663"/>
      <c r="N25" s="663"/>
      <c r="O25" s="663"/>
      <c r="P25" s="663"/>
      <c r="Q25" s="587"/>
    </row>
    <row r="26" spans="1:17" ht="25.25" customHeight="1" x14ac:dyDescent="0.2">
      <c r="A26"/>
      <c r="B26" s="109"/>
      <c r="C26" s="675" t="s">
        <v>665</v>
      </c>
      <c r="D26" s="676"/>
      <c r="E26" s="676"/>
      <c r="F26" s="676"/>
      <c r="G26" s="676"/>
      <c r="H26" s="676"/>
      <c r="I26" s="676"/>
      <c r="J26" s="676"/>
      <c r="K26" s="676"/>
      <c r="L26" s="676"/>
      <c r="M26" s="676"/>
      <c r="N26" s="676"/>
      <c r="O26" s="676"/>
      <c r="P26" s="676"/>
      <c r="Q26" s="587"/>
    </row>
    <row r="27" spans="1:17" ht="60" customHeight="1" x14ac:dyDescent="0.15">
      <c r="A27"/>
      <c r="B27" s="109"/>
      <c r="C27" s="663" t="s">
        <v>666</v>
      </c>
      <c r="D27" s="664"/>
      <c r="E27" s="664"/>
      <c r="F27" s="664"/>
      <c r="G27" s="664"/>
      <c r="H27" s="664"/>
      <c r="I27" s="664"/>
      <c r="J27" s="664"/>
      <c r="K27" s="664"/>
      <c r="L27" s="664"/>
      <c r="M27" s="664"/>
      <c r="N27" s="664"/>
      <c r="O27" s="664"/>
      <c r="P27" s="664"/>
    </row>
    <row r="28" spans="1:17" ht="25.25" customHeight="1" x14ac:dyDescent="0.15">
      <c r="B28" s="109"/>
      <c r="C28" s="663"/>
      <c r="D28" s="664"/>
      <c r="E28" s="664"/>
      <c r="F28" s="664"/>
      <c r="G28" s="664"/>
      <c r="H28" s="664"/>
      <c r="I28" s="664"/>
      <c r="J28" s="664"/>
      <c r="K28" s="664"/>
      <c r="L28" s="664"/>
      <c r="M28" s="664"/>
      <c r="N28" s="664"/>
      <c r="O28" s="664"/>
      <c r="P28" s="664"/>
    </row>
    <row r="29" spans="1:17" ht="33.75" customHeight="1" x14ac:dyDescent="0.2">
      <c r="B29" s="109">
        <v>3</v>
      </c>
      <c r="C29" s="663" t="s">
        <v>656</v>
      </c>
      <c r="D29" s="663"/>
      <c r="E29" s="663"/>
      <c r="F29" s="663"/>
      <c r="G29" s="663"/>
      <c r="H29" s="663"/>
      <c r="I29" s="663"/>
      <c r="J29" s="663"/>
      <c r="K29" s="663"/>
      <c r="L29" s="663"/>
      <c r="M29" s="663"/>
      <c r="N29" s="663"/>
      <c r="O29" s="663"/>
      <c r="P29" s="110"/>
    </row>
    <row r="30" spans="1:17" ht="33.75" customHeight="1" x14ac:dyDescent="0.2">
      <c r="B30" s="109">
        <v>4</v>
      </c>
      <c r="C30" s="663" t="s">
        <v>661</v>
      </c>
      <c r="D30" s="663"/>
      <c r="E30" s="663"/>
      <c r="F30" s="663"/>
      <c r="G30" s="663"/>
      <c r="H30" s="663"/>
      <c r="I30" s="663"/>
      <c r="J30" s="663"/>
      <c r="K30" s="663"/>
      <c r="L30" s="663"/>
      <c r="M30" s="663"/>
      <c r="N30" s="663"/>
      <c r="O30" s="663"/>
      <c r="P30" s="110"/>
    </row>
    <row r="31" spans="1:17" ht="33.75" customHeight="1" x14ac:dyDescent="0.2">
      <c r="B31" s="109">
        <v>5</v>
      </c>
      <c r="C31" s="663" t="s">
        <v>668</v>
      </c>
      <c r="D31" s="663"/>
      <c r="E31" s="663"/>
      <c r="F31" s="663"/>
      <c r="G31" s="663"/>
      <c r="H31" s="663"/>
      <c r="I31" s="663"/>
      <c r="J31" s="663"/>
      <c r="K31" s="663"/>
      <c r="L31" s="663"/>
      <c r="M31" s="663"/>
      <c r="N31" s="663"/>
      <c r="O31" s="663"/>
      <c r="P31" s="110"/>
    </row>
    <row r="32" spans="1:17" ht="33.75" customHeight="1" x14ac:dyDescent="0.2">
      <c r="B32" s="109">
        <v>6</v>
      </c>
      <c r="C32" s="663" t="s">
        <v>684</v>
      </c>
      <c r="D32" s="663"/>
      <c r="E32" s="663"/>
      <c r="F32" s="663"/>
      <c r="G32" s="663"/>
      <c r="H32" s="663"/>
      <c r="I32" s="663"/>
      <c r="J32" s="663"/>
      <c r="K32" s="663"/>
      <c r="L32" s="663"/>
      <c r="M32" s="663"/>
      <c r="N32" s="663"/>
      <c r="O32" s="663"/>
      <c r="P32" s="110"/>
    </row>
    <row r="33" spans="2:16" ht="33.75" customHeight="1" x14ac:dyDescent="0.2">
      <c r="B33" s="109"/>
      <c r="C33" s="678" t="s">
        <v>657</v>
      </c>
      <c r="D33" s="679"/>
      <c r="E33" s="679"/>
      <c r="F33" s="679"/>
      <c r="G33" s="679"/>
      <c r="H33" s="679"/>
      <c r="I33" s="679"/>
      <c r="J33" s="679"/>
      <c r="K33" s="679"/>
      <c r="L33" s="679"/>
      <c r="M33" s="679"/>
      <c r="N33" s="679"/>
      <c r="O33" s="679"/>
      <c r="P33" s="679"/>
    </row>
    <row r="34" spans="2:16" ht="33.75" customHeight="1" x14ac:dyDescent="0.2">
      <c r="B34" s="108"/>
      <c r="C34" s="110" t="s">
        <v>662</v>
      </c>
      <c r="D34" s="110"/>
      <c r="E34" s="110"/>
      <c r="F34" s="110"/>
      <c r="G34" s="110"/>
      <c r="H34" s="110"/>
      <c r="I34" s="110"/>
      <c r="J34" s="92"/>
      <c r="K34" s="92"/>
      <c r="L34" s="92"/>
      <c r="M34" s="92"/>
      <c r="N34" s="92"/>
      <c r="O34" s="92"/>
      <c r="P34" s="92"/>
    </row>
    <row r="35" spans="2:16" ht="33.75" customHeight="1" x14ac:dyDescent="0.15">
      <c r="B35" s="108"/>
      <c r="C35" s="108"/>
      <c r="D35" s="108"/>
      <c r="E35" s="108"/>
      <c r="F35" s="108"/>
      <c r="G35" s="108"/>
      <c r="H35" s="108"/>
      <c r="I35" s="88"/>
      <c r="J35" s="88"/>
      <c r="K35" s="88"/>
      <c r="L35" s="88"/>
      <c r="M35" s="88"/>
      <c r="N35" s="88"/>
      <c r="O35" s="88"/>
      <c r="P35" s="88"/>
    </row>
    <row r="36" spans="2:16" ht="33.75" customHeight="1" x14ac:dyDescent="0.15">
      <c r="C36" s="83"/>
      <c r="D36" s="83"/>
      <c r="E36" s="83"/>
      <c r="F36" s="83"/>
      <c r="G36" s="83"/>
      <c r="H36" s="83"/>
      <c r="I36" s="83"/>
      <c r="J36" s="83"/>
      <c r="K36" s="83"/>
      <c r="L36" s="83"/>
      <c r="M36" s="83"/>
      <c r="N36" s="83"/>
      <c r="O36" s="83"/>
      <c r="P36" s="83"/>
    </row>
    <row r="37" spans="2:16" ht="33.75" customHeight="1" x14ac:dyDescent="0.15">
      <c r="B37" s="79" t="s">
        <v>258</v>
      </c>
      <c r="C37" s="79"/>
      <c r="D37" s="83"/>
      <c r="E37" s="83"/>
      <c r="F37" s="83"/>
      <c r="G37" s="83"/>
      <c r="H37" s="83"/>
      <c r="I37" s="83"/>
      <c r="J37" s="83"/>
      <c r="K37" s="83"/>
      <c r="L37" s="83"/>
      <c r="M37" s="83"/>
      <c r="N37" s="83"/>
      <c r="O37" s="83"/>
      <c r="P37" s="83"/>
    </row>
    <row r="38" spans="2:16" ht="33.75" customHeight="1" thickBot="1" x14ac:dyDescent="0.2">
      <c r="B38" s="677" t="s">
        <v>232</v>
      </c>
      <c r="C38" s="677"/>
      <c r="D38" s="677"/>
      <c r="E38" s="677"/>
      <c r="F38" s="677"/>
      <c r="G38" s="677"/>
      <c r="H38" s="677"/>
      <c r="I38" s="677"/>
      <c r="J38" s="677"/>
      <c r="K38" s="677"/>
      <c r="L38" s="677"/>
      <c r="M38" s="83"/>
      <c r="N38" s="83"/>
      <c r="O38" s="83"/>
      <c r="P38" s="83"/>
    </row>
    <row r="39" spans="2:16" ht="33.75" customHeight="1" thickTop="1" thickBot="1" x14ac:dyDescent="0.2">
      <c r="B39" s="677" t="s">
        <v>234</v>
      </c>
      <c r="C39" s="677"/>
      <c r="D39" s="677"/>
      <c r="E39" s="677"/>
      <c r="F39" s="677"/>
      <c r="G39" s="677"/>
      <c r="H39" s="677"/>
      <c r="I39" s="677"/>
      <c r="J39" s="677"/>
      <c r="K39" s="677"/>
      <c r="L39" s="677"/>
      <c r="M39" s="83"/>
      <c r="N39" s="83"/>
      <c r="O39" s="83"/>
      <c r="P39" s="83"/>
    </row>
    <row r="40" spans="2:16" ht="33.75" customHeight="1" thickTop="1" thickBot="1" x14ac:dyDescent="0.2">
      <c r="B40" s="677" t="s">
        <v>635</v>
      </c>
      <c r="C40" s="677"/>
      <c r="D40" s="677"/>
      <c r="E40" s="677"/>
      <c r="F40" s="677"/>
      <c r="G40" s="677"/>
      <c r="H40" s="677"/>
      <c r="I40" s="677"/>
      <c r="J40" s="677"/>
      <c r="K40" s="677"/>
      <c r="L40" s="677"/>
      <c r="M40" s="83"/>
      <c r="N40" s="83"/>
      <c r="O40" s="83"/>
      <c r="P40" s="83"/>
    </row>
    <row r="41" spans="2:16" ht="33.75" customHeight="1" thickTop="1" thickBot="1" x14ac:dyDescent="0.2">
      <c r="B41" s="677" t="s">
        <v>233</v>
      </c>
      <c r="C41" s="677"/>
      <c r="D41" s="677"/>
      <c r="E41" s="677"/>
      <c r="F41" s="677"/>
      <c r="G41" s="677"/>
      <c r="H41" s="677"/>
      <c r="I41" s="677"/>
      <c r="J41" s="677"/>
      <c r="K41" s="677"/>
      <c r="L41" s="677"/>
      <c r="M41" s="83"/>
      <c r="N41" s="83"/>
      <c r="O41" s="83"/>
      <c r="P41" s="83"/>
    </row>
    <row r="42" spans="2:16" ht="33.75" customHeight="1" thickTop="1" thickBot="1" x14ac:dyDescent="0.2">
      <c r="B42" s="677" t="s">
        <v>636</v>
      </c>
      <c r="C42" s="677"/>
      <c r="D42" s="677"/>
      <c r="E42" s="677"/>
      <c r="F42" s="677"/>
      <c r="G42" s="677"/>
      <c r="H42" s="677"/>
      <c r="I42" s="677"/>
      <c r="J42" s="677"/>
      <c r="K42" s="677"/>
      <c r="L42" s="677"/>
      <c r="M42" s="83"/>
      <c r="N42" s="83"/>
      <c r="O42" s="83"/>
      <c r="P42" s="83"/>
    </row>
    <row r="43" spans="2:16" ht="33.75" customHeight="1" thickTop="1" thickBot="1" x14ac:dyDescent="0.2">
      <c r="B43" s="677" t="s">
        <v>257</v>
      </c>
      <c r="C43" s="677"/>
      <c r="D43" s="677"/>
      <c r="E43" s="677"/>
      <c r="F43" s="677"/>
      <c r="G43" s="677"/>
      <c r="H43" s="677"/>
      <c r="I43" s="677"/>
      <c r="J43" s="677"/>
      <c r="K43" s="677"/>
      <c r="L43" s="677"/>
      <c r="M43" s="83"/>
      <c r="N43" s="83"/>
      <c r="O43" s="83"/>
      <c r="P43" s="83"/>
    </row>
    <row r="44" spans="2:16" ht="33.75" customHeight="1" thickTop="1" thickBot="1" x14ac:dyDescent="0.2">
      <c r="B44" s="677" t="s">
        <v>634</v>
      </c>
      <c r="C44" s="677"/>
      <c r="D44" s="677"/>
      <c r="E44" s="677"/>
      <c r="F44" s="677"/>
      <c r="G44" s="677"/>
      <c r="H44" s="677"/>
      <c r="I44" s="677"/>
      <c r="J44" s="677"/>
      <c r="K44" s="677"/>
      <c r="L44" s="677"/>
      <c r="M44" s="94"/>
      <c r="N44" s="94"/>
      <c r="O44" s="94"/>
      <c r="P44" s="94"/>
    </row>
    <row r="45" spans="2:16" ht="19.5" customHeight="1" thickTop="1" x14ac:dyDescent="0.15">
      <c r="B45" s="94"/>
      <c r="C45" s="94"/>
      <c r="D45" s="94"/>
      <c r="E45" s="94"/>
      <c r="F45" s="94"/>
      <c r="G45" s="94"/>
      <c r="H45" s="94"/>
      <c r="I45" s="94"/>
      <c r="J45" s="94"/>
      <c r="K45" s="94"/>
      <c r="L45" s="94"/>
      <c r="M45" s="94"/>
      <c r="N45" s="94"/>
      <c r="O45" s="94"/>
      <c r="P45" s="94"/>
    </row>
    <row r="46" spans="2:16" ht="19.5" customHeight="1" x14ac:dyDescent="0.15">
      <c r="B46" s="94"/>
      <c r="C46" s="94"/>
      <c r="D46" s="94"/>
      <c r="E46" s="94"/>
      <c r="F46" s="94"/>
      <c r="G46" s="94"/>
      <c r="H46" s="94"/>
      <c r="I46" s="94"/>
      <c r="J46" s="94"/>
      <c r="K46" s="94"/>
      <c r="L46" s="94"/>
      <c r="M46" s="94"/>
      <c r="N46" s="94"/>
      <c r="O46" s="94"/>
      <c r="P46" s="94"/>
    </row>
    <row r="47" spans="2:16" x14ac:dyDescent="0.15">
      <c r="B47" s="94"/>
      <c r="C47" s="94"/>
      <c r="D47" s="94"/>
      <c r="E47" s="94"/>
      <c r="F47" s="94"/>
      <c r="G47" s="94"/>
      <c r="H47" s="94"/>
      <c r="I47" s="94"/>
      <c r="J47" s="94"/>
      <c r="K47" s="94"/>
      <c r="L47" s="94"/>
      <c r="M47" s="94"/>
      <c r="N47" s="94"/>
      <c r="O47" s="94"/>
      <c r="P47" s="94"/>
    </row>
  </sheetData>
  <sheetProtection algorithmName="SHA-512" hashValue="xdeWsF15zr1SMFgknBJx16YJPmRxZWJoC9Q8M5oEcT40s2cmAJQABr2v3+iv2U2oVbZ0r79+vLCQUVl8WWZz0Q==" saltValue="PUJxepGMxIg5WCrfek1jEQ==" spinCount="100000" sheet="1" objects="1" scenarios="1"/>
  <mergeCells count="30">
    <mergeCell ref="C32:O32"/>
    <mergeCell ref="C33:P33"/>
    <mergeCell ref="C31:O31"/>
    <mergeCell ref="C24:P25"/>
    <mergeCell ref="B24:B25"/>
    <mergeCell ref="C29:O29"/>
    <mergeCell ref="C30:O30"/>
    <mergeCell ref="C28:P28"/>
    <mergeCell ref="C26:P26"/>
    <mergeCell ref="B40:L40"/>
    <mergeCell ref="B41:L41"/>
    <mergeCell ref="B44:L44"/>
    <mergeCell ref="B38:L38"/>
    <mergeCell ref="B39:L39"/>
    <mergeCell ref="B43:L43"/>
    <mergeCell ref="B42:L42"/>
    <mergeCell ref="C22:P22"/>
    <mergeCell ref="A24:A25"/>
    <mergeCell ref="C27:P27"/>
    <mergeCell ref="G3:P3"/>
    <mergeCell ref="F13:H14"/>
    <mergeCell ref="F15:H17"/>
    <mergeCell ref="J13:L14"/>
    <mergeCell ref="J15:L17"/>
    <mergeCell ref="N13:P14"/>
    <mergeCell ref="N15:P16"/>
    <mergeCell ref="N17:P17"/>
    <mergeCell ref="B13:D14"/>
    <mergeCell ref="B15:D17"/>
    <mergeCell ref="C23:P23"/>
  </mergeCells>
  <hyperlinks>
    <hyperlink ref="I6" r:id="rId1" xr:uid="{00000000-0004-0000-0100-000000000000}"/>
    <hyperlink ref="N17:P17" location="README!B46" display="Review data references here. " xr:uid="{00000000-0004-0000-0100-000001000000}"/>
    <hyperlink ref="B39:L39" r:id="rId2" display="SBTi step by Step guide " xr:uid="{00000000-0004-0000-0100-000002000000}"/>
    <hyperlink ref="B41:L41" r:id="rId3" display="Target setting methods" xr:uid="{00000000-0004-0000-0100-000004000000}"/>
    <hyperlink ref="B40:L40" r:id="rId4" display="SBTi Criteria and recommendations v5.1" xr:uid="{00000000-0004-0000-0100-000005000000}"/>
    <hyperlink ref="B43:L43" r:id="rId5" display="Foundations of Science-based Target Setting" xr:uid="{00000000-0004-0000-0100-000007000000}"/>
    <hyperlink ref="B38:L38" r:id="rId6" display="Science Based Targets initiative website" xr:uid="{00000000-0004-0000-0100-000008000000}"/>
    <hyperlink ref="B42:L42" r:id="rId7" display="Target Validation Protocol v3.1" xr:uid="{00000000-0004-0000-0100-000009000000}"/>
    <hyperlink ref="B44:L44" r:id="rId8" display="Net-Zero Standard Criteria v1.1" xr:uid="{7CEF9709-78C8-4F8C-A670-CF0F18A7D0EF}"/>
    <hyperlink ref="C26:P26" r:id="rId9" display="Cross-sector near-term tool" xr:uid="{3B218A74-12EC-4534-A3E7-F40BDB1FBF45}"/>
    <hyperlink ref="C33" r:id="rId10" xr:uid="{DD71343C-0609-4A27-B3E8-7390BFD80ACA}"/>
    <hyperlink ref="C33:P33" r:id="rId11" display="Net-zero tool" xr:uid="{644AE78A-3215-4AA6-8889-8AB897B025ED}"/>
    <hyperlink ref="C23:P23" r:id="rId12" display="Steel target-setting guidance" xr:uid="{0BB07CBA-71B6-488C-8957-31645174FEBA}"/>
  </hyperlinks>
  <pageMargins left="0.7" right="0.7" top="0.75" bottom="0.75" header="0.3" footer="0.3"/>
  <pageSetup paperSize="9" orientation="portrait"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00546E"/>
  </sheetPr>
  <dimension ref="B2:BD115"/>
  <sheetViews>
    <sheetView showGridLines="0" zoomScaleNormal="100" workbookViewId="0">
      <selection activeCell="D16" sqref="D16"/>
    </sheetView>
  </sheetViews>
  <sheetFormatPr baseColWidth="10" defaultColWidth="9.1640625" defaultRowHeight="13" x14ac:dyDescent="0.15"/>
  <cols>
    <col min="1" max="1" width="2.5" customWidth="1"/>
    <col min="2" max="2" width="51.6640625" customWidth="1"/>
    <col min="3" max="3" width="3" customWidth="1"/>
    <col min="4" max="4" width="31.5" customWidth="1"/>
    <col min="5" max="5" width="2.83203125" customWidth="1"/>
    <col min="6" max="6" width="31.5" customWidth="1"/>
    <col min="7" max="7" width="5.33203125" customWidth="1"/>
    <col min="8" max="8" width="33.6640625" customWidth="1"/>
    <col min="9" max="9" width="2.83203125" customWidth="1"/>
    <col min="10" max="10" width="17.5" customWidth="1"/>
    <col min="11" max="12" width="14.5" customWidth="1"/>
    <col min="13" max="18" width="11.5" customWidth="1"/>
    <col min="19" max="19" width="16" customWidth="1"/>
    <col min="20" max="34" width="11.5" customWidth="1"/>
  </cols>
  <sheetData>
    <row r="2" spans="2:20" ht="20" customHeight="1" x14ac:dyDescent="0.25">
      <c r="C2" s="111"/>
      <c r="D2" s="583"/>
    </row>
    <row r="3" spans="2:20" ht="30" customHeight="1" x14ac:dyDescent="0.15">
      <c r="D3" s="112" t="str">
        <f>+README!D26</f>
        <v xml:space="preserve">SBTi Steel Target Setting Tool </v>
      </c>
      <c r="E3" s="113"/>
      <c r="F3" s="113"/>
    </row>
    <row r="4" spans="2:20" ht="20" customHeight="1" x14ac:dyDescent="0.15"/>
    <row r="5" spans="2:20" ht="20" customHeight="1" x14ac:dyDescent="0.15">
      <c r="D5" s="114" t="s">
        <v>218</v>
      </c>
      <c r="E5" s="113"/>
      <c r="F5" s="604">
        <f>+README!M26</f>
        <v>1.1000000000000001</v>
      </c>
      <c r="J5" s="593" t="s">
        <v>639</v>
      </c>
    </row>
    <row r="6" spans="2:20" ht="20" customHeight="1" x14ac:dyDescent="0.15">
      <c r="D6" s="114" t="s">
        <v>216</v>
      </c>
      <c r="E6" s="113"/>
      <c r="F6" s="115" t="s">
        <v>217</v>
      </c>
    </row>
    <row r="7" spans="2:20" ht="19.5" customHeight="1" x14ac:dyDescent="0.15"/>
    <row r="8" spans="2:20" ht="12.75" customHeight="1" x14ac:dyDescent="0.2">
      <c r="B8" s="116"/>
      <c r="C8" s="116"/>
      <c r="D8" s="116"/>
      <c r="E8" s="116"/>
      <c r="F8" s="116"/>
      <c r="G8" s="116"/>
      <c r="H8" s="116"/>
      <c r="I8" s="116"/>
      <c r="J8" s="116"/>
      <c r="K8" s="116"/>
      <c r="L8" s="116"/>
      <c r="M8" s="116"/>
      <c r="N8" s="116"/>
      <c r="O8" s="116"/>
      <c r="P8" s="116"/>
      <c r="Q8" s="116"/>
      <c r="R8" s="116"/>
      <c r="S8" s="116"/>
    </row>
    <row r="9" spans="2:20" ht="20" customHeight="1" x14ac:dyDescent="0.2">
      <c r="B9" s="57"/>
    </row>
    <row r="10" spans="2:20" ht="20" customHeight="1" x14ac:dyDescent="0.25">
      <c r="B10" s="57" t="s">
        <v>203</v>
      </c>
      <c r="D10" s="142"/>
    </row>
    <row r="11" spans="2:20" ht="12.75" customHeight="1" x14ac:dyDescent="0.15">
      <c r="D11" s="143"/>
      <c r="K11" s="628" t="s">
        <v>219</v>
      </c>
      <c r="L11" s="629"/>
      <c r="M11" s="629"/>
      <c r="N11" s="629"/>
      <c r="O11" s="629"/>
      <c r="P11" s="629"/>
      <c r="Q11" s="629"/>
      <c r="R11" s="629"/>
      <c r="S11" s="630"/>
    </row>
    <row r="12" spans="2:20" ht="12.75" customHeight="1" thickBot="1" x14ac:dyDescent="0.2">
      <c r="K12" s="631"/>
      <c r="L12" s="632"/>
      <c r="M12" s="632"/>
      <c r="N12" s="632"/>
      <c r="O12" s="632"/>
      <c r="P12" s="632"/>
      <c r="Q12" s="632"/>
      <c r="R12" s="632"/>
      <c r="S12" s="633"/>
      <c r="T12" s="120"/>
    </row>
    <row r="13" spans="2:20" ht="20" customHeight="1" thickTop="1" thickBot="1" x14ac:dyDescent="0.2">
      <c r="B13" s="117" t="s">
        <v>225</v>
      </c>
      <c r="C13" s="3" t="str">
        <f>""</f>
        <v/>
      </c>
      <c r="D13" s="684" t="s">
        <v>238</v>
      </c>
      <c r="E13" s="3"/>
      <c r="F13" s="134"/>
      <c r="J13" s="596"/>
      <c r="K13" s="634" t="s">
        <v>658</v>
      </c>
      <c r="L13" s="632"/>
      <c r="M13" s="632"/>
      <c r="N13" s="632"/>
      <c r="O13" s="632"/>
      <c r="P13" s="632"/>
      <c r="Q13" s="632"/>
      <c r="R13" s="632"/>
      <c r="S13" s="633"/>
      <c r="T13" s="120"/>
    </row>
    <row r="14" spans="2:20" ht="20" customHeight="1" thickTop="1" thickBot="1" x14ac:dyDescent="0.2">
      <c r="B14" s="117" t="s">
        <v>236</v>
      </c>
      <c r="C14" s="3" t="str">
        <f>""</f>
        <v/>
      </c>
      <c r="D14" s="684" t="s">
        <v>261</v>
      </c>
      <c r="E14" s="3" t="str">
        <f>""</f>
        <v/>
      </c>
      <c r="F14" s="118"/>
      <c r="J14" s="596"/>
      <c r="K14" s="635"/>
      <c r="L14" s="632"/>
      <c r="M14" s="632"/>
      <c r="N14" s="632"/>
      <c r="O14" s="632"/>
      <c r="P14" s="632"/>
      <c r="Q14" s="632"/>
      <c r="R14" s="632"/>
      <c r="S14" s="633"/>
      <c r="T14" s="120"/>
    </row>
    <row r="15" spans="2:20" ht="20" customHeight="1" thickTop="1" thickBot="1" x14ac:dyDescent="0.2">
      <c r="B15" s="119" t="s">
        <v>237</v>
      </c>
      <c r="C15" s="3" t="str">
        <f>""</f>
        <v/>
      </c>
      <c r="D15" s="684" t="s">
        <v>606</v>
      </c>
      <c r="E15" s="3" t="str">
        <f>""</f>
        <v/>
      </c>
      <c r="F15" s="118"/>
      <c r="J15" s="596"/>
      <c r="K15" s="635"/>
      <c r="L15" s="632"/>
      <c r="M15" s="632"/>
      <c r="N15" s="632"/>
      <c r="O15" s="632"/>
      <c r="P15" s="632"/>
      <c r="Q15" s="632"/>
      <c r="R15" s="632"/>
      <c r="S15" s="633"/>
      <c r="T15" s="120"/>
    </row>
    <row r="16" spans="2:20" ht="20" customHeight="1" thickTop="1" thickBot="1" x14ac:dyDescent="0.2">
      <c r="B16" s="119" t="s">
        <v>1</v>
      </c>
      <c r="C16" s="3" t="str">
        <f>""</f>
        <v/>
      </c>
      <c r="D16" s="131"/>
      <c r="E16" s="3" t="str">
        <f>""</f>
        <v/>
      </c>
      <c r="F16" s="118" t="s">
        <v>440</v>
      </c>
      <c r="J16" s="596"/>
      <c r="K16" s="635"/>
      <c r="L16" s="632"/>
      <c r="M16" s="632"/>
      <c r="N16" s="632"/>
      <c r="O16" s="632"/>
      <c r="P16" s="632"/>
      <c r="Q16" s="632"/>
      <c r="R16" s="632"/>
      <c r="S16" s="633"/>
    </row>
    <row r="17" spans="2:20" ht="20" customHeight="1" thickTop="1" thickBot="1" x14ac:dyDescent="0.2">
      <c r="B17" s="464" t="s">
        <v>427</v>
      </c>
      <c r="C17" s="3" t="str">
        <f>""</f>
        <v/>
      </c>
      <c r="D17" s="132"/>
      <c r="E17" s="3" t="str">
        <f>""</f>
        <v/>
      </c>
      <c r="F17" s="118" t="s">
        <v>609</v>
      </c>
      <c r="J17" s="596"/>
      <c r="K17" s="636" t="s">
        <v>677</v>
      </c>
      <c r="L17" s="637"/>
      <c r="M17" s="637"/>
      <c r="N17" s="637"/>
      <c r="O17" s="637"/>
      <c r="P17" s="637"/>
      <c r="Q17" s="637"/>
      <c r="R17" s="637"/>
      <c r="S17" s="633"/>
    </row>
    <row r="18" spans="2:20" ht="20" customHeight="1" thickTop="1" thickBot="1" x14ac:dyDescent="0.2">
      <c r="B18" s="464" t="str">
        <f>IF(AND($D$13=Lists!$N$2,$D$15=Lists!$B$4),"Base year | Emissions within the core boundary*","Base year | Scope 1 emissions")</f>
        <v>Base year | Emissions within the core boundary*</v>
      </c>
      <c r="C18" s="3" t="str">
        <f>""</f>
        <v/>
      </c>
      <c r="D18" s="132"/>
      <c r="E18" s="3" t="str">
        <f>""</f>
        <v/>
      </c>
      <c r="F18" s="118" t="str">
        <f>IF(AND($D$15&lt;&gt;0,$D$18&lt;&gt;0,$D$17&lt;&gt;0),"tCO2e  (Emissions intensity: "&amp;ROUND($D$18/$D17,2)&amp;" tCO2e/t)", "")</f>
        <v/>
      </c>
      <c r="H18" s="113" t="s">
        <v>683</v>
      </c>
      <c r="J18" s="596"/>
      <c r="K18" s="638"/>
      <c r="L18" s="637"/>
      <c r="M18" s="637"/>
      <c r="N18" s="637"/>
      <c r="O18" s="637"/>
      <c r="P18" s="637"/>
      <c r="Q18" s="637"/>
      <c r="R18" s="637"/>
      <c r="S18" s="633"/>
    </row>
    <row r="19" spans="2:20" ht="20" customHeight="1" thickTop="1" thickBot="1" x14ac:dyDescent="0.2">
      <c r="B19" s="614"/>
      <c r="C19" s="3" t="str">
        <f>""</f>
        <v/>
      </c>
      <c r="D19" s="613"/>
      <c r="E19" s="3" t="str">
        <f>""</f>
        <v/>
      </c>
      <c r="F19" s="134"/>
      <c r="K19" s="639"/>
      <c r="L19" s="640"/>
      <c r="M19" s="640"/>
      <c r="N19" s="640"/>
      <c r="O19" s="640"/>
      <c r="P19" s="640"/>
      <c r="Q19" s="640"/>
      <c r="R19" s="640"/>
      <c r="S19" s="641"/>
      <c r="T19" s="469"/>
    </row>
    <row r="20" spans="2:20" ht="20" customHeight="1" thickTop="1" thickBot="1" x14ac:dyDescent="0.3">
      <c r="B20" s="119" t="s">
        <v>2</v>
      </c>
      <c r="C20" s="3" t="str">
        <f>""</f>
        <v/>
      </c>
      <c r="D20" s="131"/>
      <c r="E20" s="570"/>
      <c r="F20" s="118" t="str">
        <f>IF($D$16&lt;&gt;0, "Select a target year","")</f>
        <v/>
      </c>
      <c r="H20" s="450"/>
      <c r="J20" s="1"/>
      <c r="K20" s="622" t="s">
        <v>645</v>
      </c>
      <c r="L20" s="623"/>
      <c r="M20" s="623"/>
      <c r="N20" s="623"/>
      <c r="O20" s="623"/>
      <c r="P20" s="623"/>
      <c r="Q20" s="623"/>
      <c r="R20" s="623"/>
      <c r="S20" s="624"/>
      <c r="T20" s="469"/>
    </row>
    <row r="21" spans="2:20" ht="20" customHeight="1" thickTop="1" thickBot="1" x14ac:dyDescent="0.2">
      <c r="B21" s="464" t="s">
        <v>441</v>
      </c>
      <c r="C21" s="3" t="str">
        <f>""</f>
        <v/>
      </c>
      <c r="D21" s="131"/>
      <c r="E21" s="3" t="str">
        <f>""</f>
        <v/>
      </c>
      <c r="F21" s="118" t="s">
        <v>4</v>
      </c>
      <c r="H21" s="465"/>
      <c r="J21" s="1"/>
      <c r="R21" s="120"/>
      <c r="S21" s="120"/>
      <c r="T21" s="120"/>
    </row>
    <row r="22" spans="2:20" ht="20" customHeight="1" thickTop="1" thickBot="1" x14ac:dyDescent="0.2">
      <c r="B22" s="464" t="str">
        <f>IF($D$21=Lists!L2,"No input required","Target year | Activity output")</f>
        <v>Target year | Activity output</v>
      </c>
      <c r="C22" s="3" t="str">
        <f>""</f>
        <v/>
      </c>
      <c r="D22" s="132"/>
      <c r="E22" s="3" t="str">
        <f>""</f>
        <v/>
      </c>
      <c r="F22" s="118" t="s">
        <v>609</v>
      </c>
      <c r="J22" s="126"/>
    </row>
    <row r="23" spans="2:20" ht="20" customHeight="1" thickTop="1" thickBot="1" x14ac:dyDescent="0.2">
      <c r="B23" s="609"/>
      <c r="C23" s="3" t="str">
        <f>""</f>
        <v/>
      </c>
      <c r="D23" s="610"/>
      <c r="E23" s="3" t="str">
        <f>""</f>
        <v/>
      </c>
      <c r="F23" s="118" t="str">
        <f>IF($D$13=Lists!$N$3, "Select most recent year of available emissions &amp; activity data", "")</f>
        <v/>
      </c>
    </row>
    <row r="24" spans="2:20" ht="20" customHeight="1" thickTop="1" thickBot="1" x14ac:dyDescent="0.25">
      <c r="B24" s="119" t="str">
        <f>IF($D$15=Lists!$B$4, "Scrap ratio in base year", "")</f>
        <v>Scrap ratio in base year</v>
      </c>
      <c r="C24" s="3"/>
      <c r="D24" s="578"/>
      <c r="E24" s="3"/>
      <c r="F24" s="134" t="s">
        <v>632</v>
      </c>
      <c r="H24" s="467"/>
      <c r="J24" s="569"/>
      <c r="K24" s="569"/>
      <c r="L24" s="569"/>
      <c r="M24" s="569"/>
      <c r="N24" s="569"/>
      <c r="O24" s="569"/>
      <c r="P24" s="569"/>
      <c r="Q24" s="569"/>
    </row>
    <row r="25" spans="2:20" ht="20" customHeight="1" thickTop="1" thickBot="1" x14ac:dyDescent="0.25">
      <c r="B25" s="119" t="str">
        <f>IF($D$15=Lists!$B$4, "Scrap ratio in target year", "")</f>
        <v>Scrap ratio in target year</v>
      </c>
      <c r="C25" s="3"/>
      <c r="D25" s="578"/>
      <c r="E25" s="3"/>
      <c r="F25" s="134" t="s">
        <v>632</v>
      </c>
      <c r="G25" s="486" t="str">
        <f>IF($D$25&gt;=$D$24,"", "Companies are encouraged not to decrease the scrap ratio in the target year")</f>
        <v/>
      </c>
      <c r="H25" s="467"/>
      <c r="J25" s="569"/>
      <c r="K25" s="569"/>
      <c r="L25" s="569"/>
      <c r="M25" s="569"/>
      <c r="N25" s="569"/>
      <c r="O25" s="569"/>
      <c r="P25" s="569"/>
      <c r="Q25" s="569"/>
    </row>
    <row r="26" spans="2:20" ht="12.75" customHeight="1" thickTop="1" x14ac:dyDescent="0.15">
      <c r="D26" s="121"/>
      <c r="F26" s="7"/>
    </row>
    <row r="27" spans="2:20" ht="12.75" customHeight="1" x14ac:dyDescent="0.2">
      <c r="B27" s="116"/>
      <c r="C27" s="116"/>
      <c r="D27" s="116"/>
      <c r="E27" s="116"/>
      <c r="F27" s="116"/>
      <c r="G27" s="116"/>
      <c r="H27" s="116"/>
      <c r="I27" s="116"/>
      <c r="J27" s="116"/>
      <c r="K27" s="116"/>
      <c r="L27" s="116"/>
      <c r="M27" s="116"/>
      <c r="N27" s="116"/>
      <c r="O27" s="116"/>
      <c r="P27" s="116"/>
      <c r="Q27" s="116"/>
      <c r="R27" s="116"/>
      <c r="S27" s="116"/>
    </row>
    <row r="28" spans="2:20" ht="12.75" customHeight="1" x14ac:dyDescent="0.15">
      <c r="D28" s="121"/>
      <c r="F28" s="7"/>
      <c r="S28" s="445"/>
    </row>
    <row r="29" spans="2:20" ht="20" customHeight="1" x14ac:dyDescent="0.2">
      <c r="B29" s="57" t="s">
        <v>227</v>
      </c>
    </row>
    <row r="30" spans="2:20" ht="20" customHeight="1" x14ac:dyDescent="0.2">
      <c r="B30" s="57"/>
    </row>
    <row r="31" spans="2:20" ht="20" customHeight="1" x14ac:dyDescent="0.2">
      <c r="B31" s="57" t="str">
        <f>CONCATENATE("SDA sectoral data:  ",D15)</f>
        <v>SDA sectoral data:  Iron and steel - core boundary</v>
      </c>
      <c r="D31" s="57"/>
      <c r="F31" s="445"/>
    </row>
    <row r="32" spans="2:20" ht="20" customHeight="1" x14ac:dyDescent="0.15">
      <c r="B32" s="144" t="e">
        <f>CONCATENATE("Sectoral activity growth over target timeframe: ",TEXT(Calculations!D21,"0.00%"))</f>
        <v>#N/A</v>
      </c>
      <c r="F32" s="445"/>
    </row>
    <row r="33" spans="2:6" ht="20" customHeight="1" x14ac:dyDescent="0.15">
      <c r="B33" s="144" t="e">
        <f>CONCATENATE("Global scrap share  over target timeframe: ",TEXT(Calculations!D22,"0.00%"))</f>
        <v>#N/A</v>
      </c>
      <c r="F33" s="445"/>
    </row>
    <row r="34" spans="2:6" ht="20" customHeight="1" x14ac:dyDescent="0.15">
      <c r="B34" s="144"/>
      <c r="F34" s="445"/>
    </row>
    <row r="35" spans="2:6" ht="20" customHeight="1" x14ac:dyDescent="0.15">
      <c r="F35" s="145" t="str">
        <f>CONCATENATE(" Sectoral data (",'Iron &amp; Steelmaker Tool'!D14,")")</f>
        <v xml:space="preserve"> Sectoral data (SBTi 1.5C)</v>
      </c>
    </row>
    <row r="36" spans="2:6" ht="20" customHeight="1" x14ac:dyDescent="0.15"/>
    <row r="37" spans="2:6" ht="20" customHeight="1" x14ac:dyDescent="0.15"/>
    <row r="38" spans="2:6" ht="20" customHeight="1" x14ac:dyDescent="0.15"/>
    <row r="39" spans="2:6" ht="20" customHeight="1" x14ac:dyDescent="0.15"/>
    <row r="40" spans="2:6" ht="20" customHeight="1" x14ac:dyDescent="0.15"/>
    <row r="41" spans="2:6" ht="20" customHeight="1" x14ac:dyDescent="0.15"/>
    <row r="42" spans="2:6" ht="20" customHeight="1" x14ac:dyDescent="0.15"/>
    <row r="43" spans="2:6" ht="20" customHeight="1" x14ac:dyDescent="0.15"/>
    <row r="44" spans="2:6" ht="20" customHeight="1" x14ac:dyDescent="0.15"/>
    <row r="45" spans="2:6" ht="20" customHeight="1" x14ac:dyDescent="0.15"/>
    <row r="46" spans="2:6" ht="20" customHeight="1" x14ac:dyDescent="0.15"/>
    <row r="47" spans="2:6" ht="20" customHeight="1" x14ac:dyDescent="0.15"/>
    <row r="48" spans="2:6" ht="20" customHeight="1" x14ac:dyDescent="0.15"/>
    <row r="49" spans="2:10" ht="20" customHeight="1" x14ac:dyDescent="0.15"/>
    <row r="50" spans="2:10" ht="20" customHeight="1" x14ac:dyDescent="0.15"/>
    <row r="51" spans="2:10" ht="20" customHeight="1" x14ac:dyDescent="0.2">
      <c r="B51" s="57" t="s">
        <v>638</v>
      </c>
    </row>
    <row r="52" spans="2:10" ht="20" customHeight="1" x14ac:dyDescent="0.2">
      <c r="B52" s="616" t="s">
        <v>226</v>
      </c>
    </row>
    <row r="53" spans="2:10" ht="20" customHeight="1" x14ac:dyDescent="0.15">
      <c r="B53" s="1"/>
      <c r="D53" s="122" t="str">
        <f>+CONCATENATE("Base year ","(",D16,")")</f>
        <v>Base year ()</v>
      </c>
      <c r="E53" s="123"/>
      <c r="F53" s="122" t="str">
        <f>+CONCATENATE("Target year ","(",D20,")")</f>
        <v>Target year ()</v>
      </c>
      <c r="G53" s="113"/>
      <c r="H53" s="122" t="s">
        <v>428</v>
      </c>
      <c r="I53" s="113"/>
    </row>
    <row r="54" spans="2:10" ht="20" customHeight="1" thickBot="1" x14ac:dyDescent="0.2">
      <c r="B54" s="577" t="str">
        <f>+Calculations!$B$50</f>
        <v>Company | Emissions within core boundary (tCO2)</v>
      </c>
      <c r="D54" s="148" t="str">
        <f>IF(D18="","",D18)</f>
        <v/>
      </c>
      <c r="E54" s="152"/>
      <c r="F54" s="148" t="str">
        <f>+IF(D17="","",HLOOKUP('Iron &amp; Steelmaker Tool'!D20,Calculations!D1:AN53,ROW(Calculations!A50)))</f>
        <v/>
      </c>
      <c r="G54" s="138"/>
      <c r="H54" s="147" t="str">
        <f>IF(F54&lt;=0,100%,IF(AND(D54="",F54=""),"",IF(F54&gt;D54, "ERROR",1-F54/D54)))</f>
        <v/>
      </c>
      <c r="I54" s="138"/>
      <c r="J54" s="486" t="e">
        <f>IF(HLOOKUP('Iron &amp; Steelmaker Tool'!D20,Calculations!D1:AN53,ROW(Calculations!A50))&gt;D54, "Target year emissions shall not be higher than base year emissions", "")</f>
        <v>#N/A</v>
      </c>
    </row>
    <row r="55" spans="2:10" ht="20" customHeight="1" thickTop="1" x14ac:dyDescent="0.15">
      <c r="B55" s="124"/>
      <c r="D55" s="140"/>
      <c r="E55" s="140"/>
      <c r="F55" s="140"/>
      <c r="G55" s="138"/>
      <c r="H55" s="141"/>
      <c r="I55" s="138"/>
    </row>
    <row r="56" spans="2:10" ht="20" customHeight="1" thickBot="1" x14ac:dyDescent="0.2">
      <c r="B56" s="577" t="str">
        <f>Calculations!$B$49</f>
        <v>Company | Emissions intensity within core boundary (tCO2/t)</v>
      </c>
      <c r="D56" s="151" t="str">
        <f>+IF(D17="","",HLOOKUP('Iron &amp; Steelmaker Tool'!D16,Calculations!D1:AN49,ROW(Calculations!A49)))</f>
        <v/>
      </c>
      <c r="E56" s="139"/>
      <c r="F56" s="151" t="str">
        <f>+IF(D17="","",HLOOKUP('Iron &amp; Steelmaker Tool'!D20,Calculations!D1:AN49,ROW(Calculations!A49)))</f>
        <v/>
      </c>
      <c r="G56" s="138"/>
      <c r="H56" s="147" t="str">
        <f>IF(F56&lt;=0,100%,IF(AND(D56="",F56=""),"",IF(F56&gt;D56, "ERROR",1-F56/D56)))</f>
        <v/>
      </c>
      <c r="I56" s="138"/>
      <c r="J56" s="486" t="e">
        <f>IF(HLOOKUP('Iron &amp; Steelmaker Tool'!D20,Calculations!D1:AN53,ROW(Calculations!A50))&gt;D54, "Target year emissions intensity shall not be higher than base year emissions intensity", "")</f>
        <v>#N/A</v>
      </c>
    </row>
    <row r="57" spans="2:10" ht="20" customHeight="1" thickTop="1" x14ac:dyDescent="0.15">
      <c r="B57" t="str">
        <f>IF(ISTEXT('Iron &amp; Steelmaker Tool'!$D$15)=TRUE,IF('Iron &amp; Steelmaker Tool'!$D$15=Lists!$B$4,"", "Note: Scope 1+2 intensity targets are modeled against a combined sector convergence pathway, therefore these targets will vary slightly from the sum of Scope 1 and Scope 2 intensity targets."))</f>
        <v/>
      </c>
    </row>
    <row r="58" spans="2:10" ht="20" customHeight="1" x14ac:dyDescent="0.15"/>
    <row r="59" spans="2:10" ht="20" customHeight="1" x14ac:dyDescent="0.15"/>
    <row r="60" spans="2:10" ht="20" customHeight="1" x14ac:dyDescent="0.15"/>
    <row r="61" spans="2:10" ht="20" customHeight="1" x14ac:dyDescent="0.15"/>
    <row r="62" spans="2:10" ht="20" customHeight="1" x14ac:dyDescent="0.15"/>
    <row r="63" spans="2:10" ht="20" customHeight="1" x14ac:dyDescent="0.15"/>
    <row r="64" spans="2:10" ht="20" customHeight="1" x14ac:dyDescent="0.15"/>
    <row r="65" ht="20" customHeight="1" x14ac:dyDescent="0.15"/>
    <row r="66" ht="20" customHeight="1" x14ac:dyDescent="0.15"/>
    <row r="67" ht="20" customHeight="1" x14ac:dyDescent="0.15"/>
    <row r="68" ht="20" customHeight="1" x14ac:dyDescent="0.15"/>
    <row r="69" ht="20" customHeight="1" x14ac:dyDescent="0.15"/>
    <row r="70" ht="20" customHeight="1" x14ac:dyDescent="0.15"/>
    <row r="71" ht="20" customHeight="1" x14ac:dyDescent="0.15"/>
    <row r="72" ht="20" customHeight="1" x14ac:dyDescent="0.15"/>
    <row r="73" ht="20" customHeight="1" x14ac:dyDescent="0.15"/>
    <row r="74" ht="20" customHeight="1" x14ac:dyDescent="0.15"/>
    <row r="75" ht="20" customHeight="1" x14ac:dyDescent="0.15"/>
    <row r="76" ht="20" customHeight="1" x14ac:dyDescent="0.15"/>
    <row r="77" ht="20" customHeight="1" x14ac:dyDescent="0.15"/>
    <row r="78" ht="20" customHeight="1" x14ac:dyDescent="0.15"/>
    <row r="79" ht="20" customHeight="1" x14ac:dyDescent="0.15"/>
    <row r="80" ht="20" customHeight="1" x14ac:dyDescent="0.15"/>
    <row r="81" spans="2:56" ht="20" customHeight="1" x14ac:dyDescent="0.15"/>
    <row r="82" spans="2:56" ht="20" customHeight="1" x14ac:dyDescent="0.15"/>
    <row r="83" spans="2:56" ht="20" customHeight="1" x14ac:dyDescent="0.15"/>
    <row r="84" spans="2:56" ht="20" customHeight="1" x14ac:dyDescent="0.15"/>
    <row r="85" spans="2:56" ht="20" customHeight="1" x14ac:dyDescent="0.15"/>
    <row r="86" spans="2:56" ht="20" customHeight="1" x14ac:dyDescent="0.15"/>
    <row r="87" spans="2:56" ht="20" customHeight="1" x14ac:dyDescent="0.15">
      <c r="J87" s="125"/>
    </row>
    <row r="88" spans="2:56" ht="12.75" customHeight="1" x14ac:dyDescent="0.2">
      <c r="B88" s="116"/>
      <c r="C88" s="116"/>
      <c r="D88" s="116"/>
      <c r="E88" s="116"/>
      <c r="F88" s="116"/>
      <c r="G88" s="116"/>
      <c r="H88" s="116"/>
      <c r="I88" s="116"/>
      <c r="J88" s="116"/>
      <c r="K88" s="116"/>
      <c r="L88" s="116"/>
      <c r="M88" s="116"/>
      <c r="N88" s="116"/>
      <c r="O88" s="116"/>
      <c r="P88" s="116"/>
      <c r="Q88" s="116"/>
      <c r="R88" s="116"/>
      <c r="S88" s="116"/>
    </row>
    <row r="89" spans="2:56" x14ac:dyDescent="0.15">
      <c r="D89" s="121"/>
      <c r="F89" s="7"/>
    </row>
    <row r="90" spans="2:56" ht="19.5" customHeight="1" x14ac:dyDescent="0.15"/>
    <row r="91" spans="2:56" ht="19.5" customHeight="1" x14ac:dyDescent="0.2">
      <c r="B91" s="57" t="s">
        <v>651</v>
      </c>
    </row>
    <row r="92" spans="2:56" ht="19.5" customHeight="1" x14ac:dyDescent="0.15"/>
    <row r="93" spans="2:56" ht="19.5" customHeight="1" x14ac:dyDescent="0.15"/>
    <row r="94" spans="2:56" ht="19.5" customHeight="1" x14ac:dyDescent="0.15">
      <c r="J94" s="122">
        <f>'Iron &amp; Steelmaker Tool'!$D$16</f>
        <v>0</v>
      </c>
      <c r="K94" s="122">
        <f>IF(J$94&lt;2035,J$94+1,"")</f>
        <v>1</v>
      </c>
      <c r="L94" s="122">
        <f t="shared" ref="L94:AD94" si="0">IF(K$94&lt;2035,K$94+1,"")</f>
        <v>2</v>
      </c>
      <c r="M94" s="122">
        <f t="shared" si="0"/>
        <v>3</v>
      </c>
      <c r="N94" s="122">
        <f t="shared" si="0"/>
        <v>4</v>
      </c>
      <c r="O94" s="122">
        <f t="shared" si="0"/>
        <v>5</v>
      </c>
      <c r="P94" s="122">
        <f t="shared" si="0"/>
        <v>6</v>
      </c>
      <c r="Q94" s="122">
        <f t="shared" si="0"/>
        <v>7</v>
      </c>
      <c r="R94" s="122">
        <f t="shared" si="0"/>
        <v>8</v>
      </c>
      <c r="S94" s="122">
        <f t="shared" si="0"/>
        <v>9</v>
      </c>
      <c r="T94" s="122">
        <f t="shared" si="0"/>
        <v>10</v>
      </c>
      <c r="U94" s="122">
        <f t="shared" si="0"/>
        <v>11</v>
      </c>
      <c r="V94" s="122">
        <f t="shared" si="0"/>
        <v>12</v>
      </c>
      <c r="W94" s="122">
        <f t="shared" si="0"/>
        <v>13</v>
      </c>
      <c r="X94" s="122">
        <f t="shared" si="0"/>
        <v>14</v>
      </c>
      <c r="Y94" s="122">
        <f t="shared" si="0"/>
        <v>15</v>
      </c>
      <c r="Z94" s="122">
        <f t="shared" si="0"/>
        <v>16</v>
      </c>
      <c r="AA94" s="122">
        <f t="shared" si="0"/>
        <v>17</v>
      </c>
      <c r="AB94" s="122">
        <f t="shared" si="0"/>
        <v>18</v>
      </c>
      <c r="AC94" s="122">
        <f t="shared" si="0"/>
        <v>19</v>
      </c>
      <c r="AD94" s="122">
        <f t="shared" si="0"/>
        <v>20</v>
      </c>
      <c r="BA94" s="123"/>
      <c r="BB94" s="123"/>
      <c r="BC94" s="123"/>
      <c r="BD94" s="123"/>
    </row>
    <row r="95" spans="2:56" ht="19.25" customHeight="1" thickBot="1" x14ac:dyDescent="0.2">
      <c r="D95" s="627" t="s">
        <v>652</v>
      </c>
      <c r="F95" s="626" t="str">
        <f>+$B$54</f>
        <v>Company | Emissions within core boundary (tCO2)</v>
      </c>
      <c r="G95" s="626"/>
      <c r="H95" s="626"/>
      <c r="J95" s="575" t="str">
        <f>IF(AND($D$17&gt;0,$D$18&gt;0,J94&lt;&gt;""),HLOOKUP(J94,Calculations!$B$1:$AX$111,ROW(Calculations!$B$102)),"")</f>
        <v/>
      </c>
      <c r="K95" s="575" t="str">
        <f>IF(AND($D$17&gt;0,$D$18&gt;0,K94&lt;&gt;""),HLOOKUP(K94,Calculations!$B$1:$AX$111,ROW(Calculations!$B$102)),"")</f>
        <v/>
      </c>
      <c r="L95" s="575" t="str">
        <f>IF(AND($D$17&gt;0,$D$18&gt;0,L94&lt;&gt;""),HLOOKUP(L94,Calculations!$B$1:$AX$111,ROW(Calculations!$B$102)),"")</f>
        <v/>
      </c>
      <c r="M95" s="575" t="str">
        <f>IF(AND($D$17&gt;0,$D$18&gt;0,M94&lt;&gt;""),HLOOKUP(M94,Calculations!$B$1:$AX$111,ROW(Calculations!$B$102)),"")</f>
        <v/>
      </c>
      <c r="N95" s="575" t="str">
        <f>IF(AND($D$17&gt;0,$D$18&gt;0,N94&lt;&gt;""),HLOOKUP(N94,Calculations!$B$1:$AX$111,ROW(Calculations!$B$102)),"")</f>
        <v/>
      </c>
      <c r="O95" s="575" t="str">
        <f>IF(AND($D$17&gt;0,$D$18&gt;0,O94&lt;&gt;""),HLOOKUP(O94,Calculations!$B$1:$AX$111,ROW(Calculations!$B$102)),"")</f>
        <v/>
      </c>
      <c r="P95" s="575" t="str">
        <f>IF(AND($D$17&gt;0,$D$18&gt;0,P94&lt;&gt;""),HLOOKUP(P94,Calculations!$B$1:$AX$111,ROW(Calculations!$B$102)),"")</f>
        <v/>
      </c>
      <c r="Q95" s="575" t="str">
        <f>IF(AND($D$17&gt;0,$D$18&gt;0,Q94&lt;&gt;""),HLOOKUP(Q94,Calculations!$B$1:$AX$111,ROW(Calculations!$B$102)),"")</f>
        <v/>
      </c>
      <c r="R95" s="575" t="str">
        <f>IF(AND($D$17&gt;0,$D$18&gt;0,R94&lt;&gt;""),HLOOKUP(R94,Calculations!$B$1:$AX$111,ROW(Calculations!$B$102)),"")</f>
        <v/>
      </c>
      <c r="S95" s="575" t="str">
        <f>IF(AND($D$17&gt;0,$D$18&gt;0,S94&lt;&gt;""),HLOOKUP(S94,Calculations!$B$1:$AX$111,ROW(Calculations!$B$102)),"")</f>
        <v/>
      </c>
      <c r="T95" s="575" t="str">
        <f>IF(AND($D$17&gt;0,$D$18&gt;0,T94&lt;&gt;""),HLOOKUP(T94,Calculations!$B$1:$AX$111,ROW(Calculations!$B$102)),"")</f>
        <v/>
      </c>
      <c r="U95" s="575" t="str">
        <f>IF(AND($D$17&gt;0,$D$18&gt;0,U94&lt;&gt;""),HLOOKUP(U94,Calculations!$B$1:$AX$111,ROW(Calculations!$B$102)),"")</f>
        <v/>
      </c>
      <c r="V95" s="575" t="str">
        <f>IF(AND($D$17&gt;0,$D$18&gt;0,V94&lt;&gt;""),HLOOKUP(V94,Calculations!$B$1:$AX$111,ROW(Calculations!$B$102)),"")</f>
        <v/>
      </c>
      <c r="W95" s="575" t="str">
        <f>IF(AND($D$17&gt;0,$D$18&gt;0,W94&lt;&gt;""),HLOOKUP(W94,Calculations!$B$1:$AX$111,ROW(Calculations!$B$102)),"")</f>
        <v/>
      </c>
      <c r="X95" s="575" t="str">
        <f>IF(AND($D$17&gt;0,$D$18&gt;0,X94&lt;&gt;""),HLOOKUP(X94,Calculations!$B$1:$AX$111,ROW(Calculations!$B$102)),"")</f>
        <v/>
      </c>
      <c r="Y95" s="575" t="str">
        <f>IF(AND($D$17&gt;0,$D$18&gt;0,Y94&lt;&gt;""),HLOOKUP(Y94,Calculations!$B$1:$AX$111,ROW(Calculations!$B$102)),"")</f>
        <v/>
      </c>
      <c r="Z95" s="575" t="str">
        <f>IF(AND($D$17&gt;0,$D$18&gt;0,Z94&lt;&gt;""),HLOOKUP(Z94,Calculations!$B$1:$AX$111,ROW(Calculations!$B$102)),"")</f>
        <v/>
      </c>
      <c r="AA95" s="575" t="str">
        <f>IF(AND($D$17&gt;0,$D$18&gt;0,AA94&lt;&gt;""),HLOOKUP(AA94,Calculations!$B$1:$AX$111,ROW(Calculations!$B$102)),"")</f>
        <v/>
      </c>
      <c r="AB95" s="575" t="str">
        <f>IF(AND($D$17&gt;0,$D$18&gt;0,AB94&lt;&gt;""),HLOOKUP(AB94,Calculations!$B$1:$AX$111,ROW(Calculations!$B$102)),"")</f>
        <v/>
      </c>
      <c r="AC95" s="575" t="str">
        <f>IF(AND($D$17&gt;0,$D$18&gt;0,AC94&lt;&gt;""),HLOOKUP(AC94,Calculations!$B$1:$AX$111,ROW(Calculations!$B$102)),"")</f>
        <v/>
      </c>
      <c r="AD95" s="575" t="str">
        <f>IF(AND($D$17&gt;0,$D$18&gt;0,AD94&lt;&gt;""),HLOOKUP(AD94,Calculations!$B$1:$AX$111,ROW(Calculations!$B$102)),"")</f>
        <v/>
      </c>
      <c r="BA95" s="128"/>
      <c r="BB95" s="128"/>
      <c r="BC95" s="128"/>
      <c r="BD95" s="128"/>
    </row>
    <row r="96" spans="2:56" ht="19.5" hidden="1" customHeight="1" thickTop="1" thickBot="1" x14ac:dyDescent="0.2">
      <c r="D96" s="627"/>
      <c r="F96" s="626"/>
      <c r="G96" s="626"/>
      <c r="H96" s="626"/>
      <c r="J96" s="575" t="str">
        <f>IFERROR(IF(AND($D$13=Lists!$N$2,$D$15&lt;&gt;Lists!$B$2,J94&lt;&gt;""),HLOOKUP(J$94,Calculations!$B$1:$AX$111,ROW(Calculations!#REF!)),""),"")</f>
        <v/>
      </c>
      <c r="K96" s="575" t="str">
        <f>IFERROR(IF(AND($D$13=Lists!$N$2,$D$15&lt;&gt;Lists!$B$2,K94&lt;&gt;""),HLOOKUP(K$94,Calculations!$B$1:$AX$111,ROW(Calculations!#REF!)),""),"")</f>
        <v/>
      </c>
      <c r="L96" s="575" t="str">
        <f>IFERROR(IF(AND($D$13=Lists!$N$2,$D$15&lt;&gt;Lists!$B$2,L94&lt;&gt;""),HLOOKUP(L$94,Calculations!$B$1:$AX$111,ROW(Calculations!#REF!)),""),"")</f>
        <v/>
      </c>
      <c r="M96" s="575" t="str">
        <f>IFERROR(IF(AND($D$13=Lists!$N$2,$D$15&lt;&gt;Lists!$B$2,M94&lt;&gt;""),HLOOKUP(M$94,Calculations!$B$1:$AX$111,ROW(Calculations!#REF!)),""),"")</f>
        <v/>
      </c>
      <c r="N96" s="575" t="str">
        <f>IFERROR(IF(AND($D$13=Lists!$N$2,$D$15&lt;&gt;Lists!$B$2,N94&lt;&gt;""),HLOOKUP(N$94,Calculations!$B$1:$AX$111,ROW(Calculations!#REF!)),""),"")</f>
        <v/>
      </c>
      <c r="O96" s="575" t="str">
        <f>IFERROR(IF(AND($D$13=Lists!$N$2,$D$15&lt;&gt;Lists!$B$2,O94&lt;&gt;""),HLOOKUP(O$94,Calculations!$B$1:$AX$111,ROW(Calculations!#REF!)),""),"")</f>
        <v/>
      </c>
      <c r="P96" s="575" t="str">
        <f>IFERROR(IF(AND($D$13=Lists!$N$2,$D$15&lt;&gt;Lists!$B$2,P94&lt;&gt;""),HLOOKUP(P$94,Calculations!$B$1:$AX$111,ROW(Calculations!#REF!)),""),"")</f>
        <v/>
      </c>
      <c r="Q96" s="575" t="str">
        <f>IFERROR(IF(AND($D$13=Lists!$N$2,$D$15&lt;&gt;Lists!$B$2,Q94&lt;&gt;""),HLOOKUP(Q$94,Calculations!$B$1:$AX$111,ROW(Calculations!#REF!)),""),"")</f>
        <v/>
      </c>
      <c r="R96" s="575" t="str">
        <f>IFERROR(IF(AND($D$13=Lists!$N$2,$D$15&lt;&gt;Lists!$B$2,R94&lt;&gt;""),HLOOKUP(R$94,Calculations!$B$1:$AX$111,ROW(Calculations!#REF!)),""),"")</f>
        <v/>
      </c>
      <c r="S96" s="575" t="str">
        <f>IFERROR(IF(AND($D$13=Lists!$N$2,$D$15&lt;&gt;Lists!$B$2,S94&lt;&gt;""),HLOOKUP(S$94,Calculations!$B$1:$AX$111,ROW(Calculations!#REF!)),""),"")</f>
        <v/>
      </c>
      <c r="T96" s="575" t="str">
        <f>IFERROR(IF(AND($D$13=Lists!$N$2,$D$15&lt;&gt;Lists!$B$2,T94&lt;&gt;""),HLOOKUP(T$94,Calculations!$B$1:$AX$111,ROW(Calculations!#REF!)),""),"")</f>
        <v/>
      </c>
      <c r="U96" s="575" t="str">
        <f>IFERROR(IF(AND($D$13=Lists!$N$2,$D$15&lt;&gt;Lists!$B$2,U94&lt;&gt;""),HLOOKUP(U$94,Calculations!$B$1:$AX$111,ROW(Calculations!#REF!)),""),"")</f>
        <v/>
      </c>
      <c r="V96" s="575" t="str">
        <f>IFERROR(IF(AND($D$13=Lists!$N$2,$D$15&lt;&gt;Lists!$B$2,V94&lt;&gt;""),HLOOKUP(V$94,Calculations!$B$1:$AX$111,ROW(Calculations!#REF!)),""),"")</f>
        <v/>
      </c>
      <c r="W96" s="575" t="str">
        <f>IFERROR(IF(AND($D$13=Lists!$N$2,$D$15&lt;&gt;Lists!$B$2,W94&lt;&gt;""),HLOOKUP(W$94,Calculations!$B$1:$AX$111,ROW(Calculations!#REF!)),""),"")</f>
        <v/>
      </c>
      <c r="X96" s="575" t="str">
        <f>IFERROR(IF(AND($D$13=Lists!$N$2,$D$15&lt;&gt;Lists!$B$2,X94&lt;&gt;""),HLOOKUP(X$94,Calculations!$B$1:$AX$111,ROW(Calculations!#REF!)),""),"")</f>
        <v/>
      </c>
      <c r="Y96" s="575" t="str">
        <f>IFERROR(IF(AND($D$13=Lists!$N$2,$D$15&lt;&gt;Lists!$B$2,Y94&lt;&gt;""),HLOOKUP(Y$94,Calculations!$B$1:$AX$111,ROW(Calculations!#REF!)),""),"")</f>
        <v/>
      </c>
      <c r="Z96" s="575" t="str">
        <f>IFERROR(IF(AND($D$13=Lists!$N$2,$D$15&lt;&gt;Lists!$B$2,Z94&lt;&gt;""),HLOOKUP(Z$94,Calculations!$B$1:$AX$111,ROW(Calculations!#REF!)),""),"")</f>
        <v/>
      </c>
      <c r="AA96" s="575" t="str">
        <f>IFERROR(IF(AND($D$13=Lists!$N$2,$D$15&lt;&gt;Lists!$B$2,AA94&lt;&gt;""),HLOOKUP(AA$94,Calculations!$B$1:$AX$111,ROW(Calculations!#REF!)),""),"")</f>
        <v/>
      </c>
      <c r="AB96" s="575" t="str">
        <f>IFERROR(IF(AND($D$13=Lists!$N$2,$D$15&lt;&gt;Lists!$B$2,AB94&lt;&gt;""),HLOOKUP(AB$94,Calculations!$B$1:$AX$111,ROW(Calculations!#REF!)),""),"")</f>
        <v/>
      </c>
      <c r="AC96" s="575" t="str">
        <f>IFERROR(IF(AND($D$13=Lists!$N$2,$D$15&lt;&gt;Lists!$B$2,AC94&lt;&gt;""),HLOOKUP(AC$94,Calculations!$B$1:$AX$111,ROW(Calculations!#REF!)),""),"")</f>
        <v/>
      </c>
      <c r="AD96" s="575" t="str">
        <f>IFERROR(IF(AND($D$13=Lists!$N$2,$D$15&lt;&gt;Lists!$B$2,AD94&lt;&gt;""),HLOOKUP(AD$94,Calculations!$B$1:$AX$111,ROW(Calculations!#REF!)),""),"")</f>
        <v/>
      </c>
    </row>
    <row r="97" spans="4:56" ht="19.5" hidden="1" customHeight="1" thickTop="1" thickBot="1" x14ac:dyDescent="0.2">
      <c r="D97" s="627"/>
      <c r="F97" s="626"/>
      <c r="G97" s="626"/>
      <c r="H97" s="626"/>
      <c r="J97" s="575" t="str">
        <f>IF(OR(J$95="",J$96=""),"",HLOOKUP(J$94,Calculations!$B$1:$AX$111,ROW(Calculations!#REF!)))</f>
        <v/>
      </c>
      <c r="K97" s="575" t="str">
        <f>IF(OR(K$95="",K$96=""),"",HLOOKUP(K$94,Calculations!$B$1:$AX$111,ROW(Calculations!#REF!)))</f>
        <v/>
      </c>
      <c r="L97" s="575" t="str">
        <f>IF(OR(L$95="",L$96=""),"",HLOOKUP(L$94,Calculations!$B$1:$AX$111,ROW(Calculations!#REF!)))</f>
        <v/>
      </c>
      <c r="M97" s="575" t="str">
        <f>IF(OR(M$95="",M$96=""),"",HLOOKUP(M$94,Calculations!$B$1:$AX$111,ROW(Calculations!#REF!)))</f>
        <v/>
      </c>
      <c r="N97" s="575" t="str">
        <f>IF(OR(N$95="",N$96=""),"",HLOOKUP(N$94,Calculations!$B$1:$AX$111,ROW(Calculations!#REF!)))</f>
        <v/>
      </c>
      <c r="O97" s="575" t="str">
        <f>IF(OR(O$95="",O$96=""),"",HLOOKUP(O$94,Calculations!$B$1:$AX$111,ROW(Calculations!#REF!)))</f>
        <v/>
      </c>
      <c r="P97" s="575" t="str">
        <f>IF(OR(P$95="",P$96=""),"",HLOOKUP(P$94,Calculations!$B$1:$AX$111,ROW(Calculations!#REF!)))</f>
        <v/>
      </c>
      <c r="Q97" s="575" t="str">
        <f>IF(OR(Q$95="",Q$96=""),"",HLOOKUP(Q$94,Calculations!$B$1:$AX$111,ROW(Calculations!#REF!)))</f>
        <v/>
      </c>
      <c r="R97" s="575" t="str">
        <f>IF(OR(R$95="",R$96=""),"",HLOOKUP(R$94,Calculations!$B$1:$AX$111,ROW(Calculations!#REF!)))</f>
        <v/>
      </c>
      <c r="S97" s="575" t="str">
        <f>IF(OR(S$95="",S$96=""),"",HLOOKUP(S$94,Calculations!$B$1:$AX$111,ROW(Calculations!#REF!)))</f>
        <v/>
      </c>
      <c r="T97" s="575" t="str">
        <f>IF(OR(T$95="",T$96=""),"",HLOOKUP(T$94,Calculations!$B$1:$AX$111,ROW(Calculations!#REF!)))</f>
        <v/>
      </c>
      <c r="U97" s="575" t="str">
        <f>IF(OR(U$95="",U$96=""),"",HLOOKUP(U$94,Calculations!$B$1:$AX$111,ROW(Calculations!#REF!)))</f>
        <v/>
      </c>
      <c r="V97" s="575" t="str">
        <f>IF(OR(V$95="",V$96=""),"",HLOOKUP(V$94,Calculations!$B$1:$AX$111,ROW(Calculations!#REF!)))</f>
        <v/>
      </c>
      <c r="W97" s="575" t="str">
        <f>IF(OR(W$95="",W$96=""),"",HLOOKUP(W$94,Calculations!$B$1:$AX$111,ROW(Calculations!#REF!)))</f>
        <v/>
      </c>
      <c r="X97" s="575" t="str">
        <f>IF(OR(X$95="",X$96=""),"",HLOOKUP(X$94,Calculations!$B$1:$AX$111,ROW(Calculations!#REF!)))</f>
        <v/>
      </c>
      <c r="Y97" s="575" t="str">
        <f>IF(OR(Y$95="",Y$96=""),"",HLOOKUP(Y$94,Calculations!$B$1:$AX$111,ROW(Calculations!#REF!)))</f>
        <v/>
      </c>
      <c r="Z97" s="575" t="str">
        <f>IF(OR(Z$95="",Z$96=""),"",HLOOKUP(Z$94,Calculations!$B$1:$AX$111,ROW(Calculations!#REF!)))</f>
        <v/>
      </c>
      <c r="AA97" s="575" t="str">
        <f>IF(OR(AA$95="",AA$96=""),"",HLOOKUP(AA$94,Calculations!$B$1:$AX$111,ROW(Calculations!#REF!)))</f>
        <v/>
      </c>
      <c r="AB97" s="575" t="str">
        <f>IF(OR(AB$95="",AB$96=""),"",HLOOKUP(AB$94,Calculations!$B$1:$AX$111,ROW(Calculations!#REF!)))</f>
        <v/>
      </c>
      <c r="AC97" s="575" t="str">
        <f>IF(OR(AC$95="",AC$96=""),"",HLOOKUP(AC$94,Calculations!$B$1:$AX$111,ROW(Calculations!#REF!)))</f>
        <v/>
      </c>
      <c r="AD97" s="575" t="str">
        <f>IF(OR(AD$95="",AD$96=""),"",HLOOKUP(AD$94,Calculations!$B$1:$AX$111,ROW(Calculations!#REF!)))</f>
        <v/>
      </c>
    </row>
    <row r="98" spans="4:56" ht="19.5" customHeight="1" thickTop="1" x14ac:dyDescent="0.15">
      <c r="D98" s="627"/>
      <c r="F98" s="124"/>
      <c r="G98" s="124"/>
      <c r="H98" s="124"/>
      <c r="I98" s="124"/>
      <c r="J98" s="136"/>
      <c r="K98" s="136"/>
      <c r="L98" s="136"/>
      <c r="M98" s="136"/>
      <c r="N98" s="136"/>
      <c r="O98" s="136"/>
      <c r="P98" s="136"/>
      <c r="Q98" s="136"/>
      <c r="R98" s="136"/>
      <c r="S98" s="136"/>
      <c r="T98" s="136"/>
      <c r="U98" s="136"/>
      <c r="V98" s="136"/>
      <c r="W98" s="136"/>
      <c r="X98" s="136"/>
      <c r="Y98" s="136"/>
      <c r="Z98" s="136"/>
      <c r="AA98" s="136"/>
      <c r="AB98" s="136"/>
      <c r="AC98" s="136"/>
      <c r="AD98" s="136"/>
    </row>
    <row r="99" spans="4:56" ht="19.5" customHeight="1" thickBot="1" x14ac:dyDescent="0.2">
      <c r="D99" s="627"/>
      <c r="F99" s="626" t="str">
        <f>+$B$56</f>
        <v>Company | Emissions intensity within core boundary (tCO2/t)</v>
      </c>
      <c r="G99" s="626">
        <f>+G56</f>
        <v>0</v>
      </c>
      <c r="H99" s="626" t="str">
        <f>+H56</f>
        <v/>
      </c>
      <c r="J99" s="576" t="str">
        <f>IF(AND($D$17&gt;0,$D$18&gt;0,J94&lt;&gt;""),HLOOKUP(J94,Calculations!$B$1:$AX$111,ROW(Calculations!$B$106)),"")</f>
        <v/>
      </c>
      <c r="K99" s="576" t="str">
        <f>IF(AND($D$17&gt;0,$D$18&gt;0,K94&lt;&gt;""),HLOOKUP(K94,Calculations!$B$1:$AX$111,ROW(Calculations!$B$106)),"")</f>
        <v/>
      </c>
      <c r="L99" s="576" t="str">
        <f>IF(AND($D$17&gt;0,$D$18&gt;0,L94&lt;&gt;""),HLOOKUP(L94,Calculations!$B$1:$AX$111,ROW(Calculations!$B$106)),"")</f>
        <v/>
      </c>
      <c r="M99" s="576" t="str">
        <f>IF(AND($D$17&gt;0,$D$18&gt;0,M94&lt;&gt;""),HLOOKUP(M94,Calculations!$B$1:$AX$111,ROW(Calculations!$B$106)),"")</f>
        <v/>
      </c>
      <c r="N99" s="576" t="str">
        <f>IF(AND($D$17&gt;0,$D$18&gt;0,N94&lt;&gt;""),HLOOKUP(N94,Calculations!$B$1:$AX$111,ROW(Calculations!$B$106)),"")</f>
        <v/>
      </c>
      <c r="O99" s="576" t="str">
        <f>IF(AND($D$17&gt;0,$D$18&gt;0,O94&lt;&gt;""),HLOOKUP(O94,Calculations!$B$1:$AX$111,ROW(Calculations!$B$106)),"")</f>
        <v/>
      </c>
      <c r="P99" s="576" t="str">
        <f>IF(AND($D$17&gt;0,$D$18&gt;0,P94&lt;&gt;""),HLOOKUP(P94,Calculations!$B$1:$AX$111,ROW(Calculations!$B$106)),"")</f>
        <v/>
      </c>
      <c r="Q99" s="576" t="str">
        <f>IF(AND($D$17&gt;0,$D$18&gt;0,Q94&lt;&gt;""),HLOOKUP(Q94,Calculations!$B$1:$AX$111,ROW(Calculations!$B$106)),"")</f>
        <v/>
      </c>
      <c r="R99" s="576" t="str">
        <f>IF(AND($D$17&gt;0,$D$18&gt;0,R94&lt;&gt;""),HLOOKUP(R94,Calculations!$B$1:$AX$111,ROW(Calculations!$B$106)),"")</f>
        <v/>
      </c>
      <c r="S99" s="576" t="str">
        <f>IF(AND($D$17&gt;0,$D$18&gt;0,S94&lt;&gt;""),HLOOKUP(S94,Calculations!$B$1:$AX$111,ROW(Calculations!$B$106)),"")</f>
        <v/>
      </c>
      <c r="T99" s="576" t="str">
        <f>IF(AND($D$17&gt;0,$D$18&gt;0,T94&lt;&gt;""),HLOOKUP(T94,Calculations!$B$1:$AX$111,ROW(Calculations!$B$106)),"")</f>
        <v/>
      </c>
      <c r="U99" s="576" t="str">
        <f>IF(AND($D$17&gt;0,$D$18&gt;0,U94&lt;&gt;""),HLOOKUP(U94,Calculations!$B$1:$AX$111,ROW(Calculations!$B$106)),"")</f>
        <v/>
      </c>
      <c r="V99" s="576" t="str">
        <f>IF(AND($D$17&gt;0,$D$18&gt;0,V94&lt;&gt;""),HLOOKUP(V94,Calculations!$B$1:$AX$111,ROW(Calculations!$B$106)),"")</f>
        <v/>
      </c>
      <c r="W99" s="576" t="str">
        <f>IF(AND($D$17&gt;0,$D$18&gt;0,W94&lt;&gt;""),HLOOKUP(W94,Calculations!$B$1:$AX$111,ROW(Calculations!$B$106)),"")</f>
        <v/>
      </c>
      <c r="X99" s="576" t="str">
        <f>IF(AND($D$17&gt;0,$D$18&gt;0,X94&lt;&gt;""),HLOOKUP(X94,Calculations!$B$1:$AX$111,ROW(Calculations!$B$106)),"")</f>
        <v/>
      </c>
      <c r="Y99" s="576" t="str">
        <f>IF(AND($D$17&gt;0,$D$18&gt;0,Y94&lt;&gt;""),HLOOKUP(Y94,Calculations!$B$1:$AX$111,ROW(Calculations!$B$106)),"")</f>
        <v/>
      </c>
      <c r="Z99" s="576" t="str">
        <f>IF(AND($D$17&gt;0,$D$18&gt;0,Z94&lt;&gt;""),HLOOKUP(Z94,Calculations!$B$1:$AX$111,ROW(Calculations!$B$106)),"")</f>
        <v/>
      </c>
      <c r="AA99" s="576" t="str">
        <f>IF(AND($D$17&gt;0,$D$18&gt;0,AA94&lt;&gt;""),HLOOKUP(AA94,Calculations!$B$1:$AX$111,ROW(Calculations!$B$106)),"")</f>
        <v/>
      </c>
      <c r="AB99" s="576" t="str">
        <f>IF(AND($D$17&gt;0,$D$18&gt;0,AB94&lt;&gt;""),HLOOKUP(AB94,Calculations!$B$1:$AX$111,ROW(Calculations!$B$106)),"")</f>
        <v/>
      </c>
      <c r="AC99" s="576" t="str">
        <f>IF(AND($D$17&gt;0,$D$18&gt;0,AC94&lt;&gt;""),HLOOKUP(AC94,Calculations!$B$1:$AX$111,ROW(Calculations!$B$106)),"")</f>
        <v/>
      </c>
      <c r="AD99" s="576" t="str">
        <f>IF(AND($D$17&gt;0,$D$18&gt;0,AD94&lt;&gt;""),HLOOKUP(AD94,Calculations!$B$1:$AX$111,ROW(Calculations!$B$106)),"")</f>
        <v/>
      </c>
    </row>
    <row r="100" spans="4:56" ht="19.5" hidden="1" customHeight="1" thickTop="1" thickBot="1" x14ac:dyDescent="0.2">
      <c r="D100" s="627"/>
      <c r="F100" s="626"/>
      <c r="G100" s="626"/>
      <c r="H100" s="626"/>
      <c r="J100" s="576" t="e">
        <f>IF(AND($D$13=Lists!$N$2,$D$15&lt;&gt;Lists!$B$2,J94&lt;&gt;""),HLOOKUP(J$94,Calculations!$B$1:$AX$111,ROW(Calculations!$B$107)),"")</f>
        <v>#N/A</v>
      </c>
      <c r="K100" s="576" t="e">
        <f>IF(AND($D$13=Lists!$N$2,$D$15&lt;&gt;Lists!$B$2,K94&lt;&gt;""),HLOOKUP(K$94,Calculations!$B$1:$AX$111,ROW(Calculations!$B$107)),"")</f>
        <v>#N/A</v>
      </c>
      <c r="L100" s="576" t="e">
        <f>IF(AND($D$13=Lists!$N$2,$D$15&lt;&gt;Lists!$B$2,L94&lt;&gt;""),HLOOKUP(L$94,Calculations!$B$1:$AX$111,ROW(Calculations!$B$107)),"")</f>
        <v>#N/A</v>
      </c>
      <c r="M100" s="576" t="e">
        <f>IF(AND($D$13=Lists!$N$2,$D$15&lt;&gt;Lists!$B$2,M94&lt;&gt;""),HLOOKUP(M$94,Calculations!$B$1:$AX$111,ROW(Calculations!$B$107)),"")</f>
        <v>#N/A</v>
      </c>
      <c r="N100" s="576" t="e">
        <f>IF(AND($D$13=Lists!$N$2,$D$15&lt;&gt;Lists!$B$2,N94&lt;&gt;""),HLOOKUP(N$94,Calculations!$B$1:$AX$111,ROW(Calculations!$B$107)),"")</f>
        <v>#N/A</v>
      </c>
      <c r="O100" s="576" t="e">
        <f>IF(AND($D$13=Lists!$N$2,$D$15&lt;&gt;Lists!$B$2,O94&lt;&gt;""),HLOOKUP(O$94,Calculations!$B$1:$AX$111,ROW(Calculations!$B$107)),"")</f>
        <v>#N/A</v>
      </c>
      <c r="P100" s="576" t="e">
        <f>IF(AND($D$13=Lists!$N$2,$D$15&lt;&gt;Lists!$B$2,P94&lt;&gt;""),HLOOKUP(P$94,Calculations!$B$1:$AX$111,ROW(Calculations!$B$107)),"")</f>
        <v>#N/A</v>
      </c>
      <c r="Q100" s="576" t="e">
        <f>IF(AND($D$13=Lists!$N$2,$D$15&lt;&gt;Lists!$B$2,Q94&lt;&gt;""),HLOOKUP(Q$94,Calculations!$B$1:$AX$111,ROW(Calculations!$B$107)),"")</f>
        <v>#N/A</v>
      </c>
      <c r="R100" s="576" t="e">
        <f>IF(AND($D$13=Lists!$N$2,$D$15&lt;&gt;Lists!$B$2,R94&lt;&gt;""),HLOOKUP(R$94,Calculations!$B$1:$AX$111,ROW(Calculations!$B$107)),"")</f>
        <v>#N/A</v>
      </c>
      <c r="S100" s="576" t="e">
        <f>IF(AND($D$13=Lists!$N$2,$D$15&lt;&gt;Lists!$B$2,S94&lt;&gt;""),HLOOKUP(S$94,Calculations!$B$1:$AX$111,ROW(Calculations!$B$107)),"")</f>
        <v>#N/A</v>
      </c>
      <c r="T100" s="576" t="e">
        <f>IF(AND($D$13=Lists!$N$2,$D$15&lt;&gt;Lists!$B$2,T94&lt;&gt;""),HLOOKUP(T$94,Calculations!$B$1:$AX$111,ROW(Calculations!$B$107)),"")</f>
        <v>#N/A</v>
      </c>
      <c r="U100" s="576" t="e">
        <f>IF(AND($D$13=Lists!$N$2,$D$15&lt;&gt;Lists!$B$2,U94&lt;&gt;""),HLOOKUP(U$94,Calculations!$B$1:$AX$111,ROW(Calculations!$B$107)),"")</f>
        <v>#N/A</v>
      </c>
      <c r="V100" s="576" t="e">
        <f>IF(AND($D$13=Lists!$N$2,$D$15&lt;&gt;Lists!$B$2,V94&lt;&gt;""),HLOOKUP(V$94,Calculations!$B$1:$AX$111,ROW(Calculations!$B$107)),"")</f>
        <v>#N/A</v>
      </c>
      <c r="W100" s="576" t="e">
        <f>IF(AND($D$13=Lists!$N$2,$D$15&lt;&gt;Lists!$B$2,W94&lt;&gt;""),HLOOKUP(W$94,Calculations!$B$1:$AX$111,ROW(Calculations!$B$107)),"")</f>
        <v>#N/A</v>
      </c>
      <c r="X100" s="576" t="e">
        <f>IF(AND($D$13=Lists!$N$2,$D$15&lt;&gt;Lists!$B$2,X94&lt;&gt;""),HLOOKUP(X$94,Calculations!$B$1:$AX$111,ROW(Calculations!$B$107)),"")</f>
        <v>#N/A</v>
      </c>
      <c r="Y100" s="576" t="e">
        <f>IF(AND($D$13=Lists!$N$2,$D$15&lt;&gt;Lists!$B$2,Y94&lt;&gt;""),HLOOKUP(Y$94,Calculations!$B$1:$AX$111,ROW(Calculations!$B$107)),"")</f>
        <v>#N/A</v>
      </c>
      <c r="Z100" s="576" t="e">
        <f>IF(AND($D$13=Lists!$N$2,$D$15&lt;&gt;Lists!$B$2,Z94&lt;&gt;""),HLOOKUP(Z$94,Calculations!$B$1:$AX$111,ROW(Calculations!$B$107)),"")</f>
        <v>#N/A</v>
      </c>
      <c r="AA100" s="576" t="e">
        <f>IF(AND($D$13=Lists!$N$2,$D$15&lt;&gt;Lists!$B$2,AA94&lt;&gt;""),HLOOKUP(AA$94,Calculations!$B$1:$AX$111,ROW(Calculations!$B$107)),"")</f>
        <v>#N/A</v>
      </c>
      <c r="AB100" s="576" t="e">
        <f>IF(AND($D$13=Lists!$N$2,$D$15&lt;&gt;Lists!$B$2,AB94&lt;&gt;""),HLOOKUP(AB$94,Calculations!$B$1:$AX$111,ROW(Calculations!$B$107)),"")</f>
        <v>#N/A</v>
      </c>
      <c r="AC100" s="576" t="e">
        <f>IF(AND($D$13=Lists!$N$2,$D$15&lt;&gt;Lists!$B$2,AC94&lt;&gt;""),HLOOKUP(AC$94,Calculations!$B$1:$AX$111,ROW(Calculations!$B$107)),"")</f>
        <v>#N/A</v>
      </c>
      <c r="AD100" s="576" t="e">
        <f>IF(AND($D$13=Lists!$N$2,$D$15&lt;&gt;Lists!$B$2,AD94&lt;&gt;""),HLOOKUP(AD$94,Calculations!$B$1:$AX$111,ROW(Calculations!$B$107)),"")</f>
        <v>#N/A</v>
      </c>
    </row>
    <row r="101" spans="4:56" ht="19.5" hidden="1" customHeight="1" thickTop="1" thickBot="1" x14ac:dyDescent="0.2">
      <c r="D101" s="627"/>
      <c r="F101" s="626"/>
      <c r="G101" s="626"/>
      <c r="H101" s="626"/>
      <c r="J101" s="576" t="str">
        <f>IF(OR(J$95="",J$96=""),"",HLOOKUP(J$94,Calculations!$B$1:$AX$54,ROW(Calculations!#REF!)))</f>
        <v/>
      </c>
      <c r="K101" s="576" t="str">
        <f>IF(OR(K$95="",K$96=""),"",HLOOKUP(K$94,Calculations!$B$1:$AX$54,ROW(Calculations!#REF!)))</f>
        <v/>
      </c>
      <c r="L101" s="576" t="str">
        <f>IF(OR(L$95="",L$96=""),"",HLOOKUP(L$94,Calculations!$B$1:$AX$54,ROW(Calculations!#REF!)))</f>
        <v/>
      </c>
      <c r="M101" s="576" t="str">
        <f>IF(OR(M$95="",M$96=""),"",HLOOKUP(M$94,Calculations!$B$1:$AX$54,ROW(Calculations!#REF!)))</f>
        <v/>
      </c>
      <c r="N101" s="576" t="str">
        <f>IF(OR(N$95="",N$96=""),"",HLOOKUP(N$94,Calculations!$B$1:$AX$54,ROW(Calculations!#REF!)))</f>
        <v/>
      </c>
      <c r="O101" s="576" t="str">
        <f>IF(OR(O$95="",O$96=""),"",HLOOKUP(O$94,Calculations!$B$1:$AX$54,ROW(Calculations!#REF!)))</f>
        <v/>
      </c>
      <c r="P101" s="576" t="str">
        <f>IF(OR(P$95="",P$96=""),"",HLOOKUP(P$94,Calculations!$B$1:$AX$54,ROW(Calculations!#REF!)))</f>
        <v/>
      </c>
      <c r="Q101" s="576" t="str">
        <f>IF(OR(Q$95="",Q$96=""),"",HLOOKUP(Q$94,Calculations!$B$1:$AX$54,ROW(Calculations!#REF!)))</f>
        <v/>
      </c>
      <c r="R101" s="576" t="str">
        <f>IF(OR(R$95="",R$96=""),"",HLOOKUP(R$94,Calculations!$B$1:$AX$54,ROW(Calculations!#REF!)))</f>
        <v/>
      </c>
      <c r="S101" s="576" t="str">
        <f>IF(OR(S$95="",S$96=""),"",HLOOKUP(S$94,Calculations!$B$1:$AX$54,ROW(Calculations!#REF!)))</f>
        <v/>
      </c>
      <c r="T101" s="576" t="str">
        <f>IF(OR(T$95="",T$96=""),"",HLOOKUP(T$94,Calculations!$B$1:$AX$54,ROW(Calculations!#REF!)))</f>
        <v/>
      </c>
      <c r="U101" s="576" t="str">
        <f>IF(OR(U$95="",U$96=""),"",HLOOKUP(U$94,Calculations!$B$1:$AX$54,ROW(Calculations!#REF!)))</f>
        <v/>
      </c>
      <c r="V101" s="576" t="str">
        <f>IF(OR(V$95="",V$96=""),"",HLOOKUP(V$94,Calculations!$B$1:$AX$54,ROW(Calculations!#REF!)))</f>
        <v/>
      </c>
      <c r="W101" s="576" t="str">
        <f>IF(OR(W$95="",W$96=""),"",HLOOKUP(W$94,Calculations!$B$1:$AX$54,ROW(Calculations!#REF!)))</f>
        <v/>
      </c>
      <c r="X101" s="576" t="str">
        <f>IF(OR(X$95="",X$96=""),"",HLOOKUP(X$94,Calculations!$B$1:$AX$54,ROW(Calculations!#REF!)))</f>
        <v/>
      </c>
      <c r="Y101" s="576" t="str">
        <f>IF(OR(Y$95="",Y$96=""),"",HLOOKUP(Y$94,Calculations!$B$1:$AX$54,ROW(Calculations!#REF!)))</f>
        <v/>
      </c>
      <c r="Z101" s="576" t="str">
        <f>IF(OR(Z$95="",Z$96=""),"",HLOOKUP(Z$94,Calculations!$B$1:$AX$54,ROW(Calculations!#REF!)))</f>
        <v/>
      </c>
      <c r="AA101" s="576" t="str">
        <f>IF(OR(AA$95="",AA$96=""),"",HLOOKUP(AA$94,Calculations!$B$1:$AX$54,ROW(Calculations!#REF!)))</f>
        <v/>
      </c>
      <c r="AB101" s="576" t="str">
        <f>IF(OR(AB$95="",AB$96=""),"",HLOOKUP(AB$94,Calculations!$B$1:$AX$54,ROW(Calculations!#REF!)))</f>
        <v/>
      </c>
      <c r="AC101" s="576" t="str">
        <f>IF(OR(AC$95="",AC$96=""),"",HLOOKUP(AC$94,Calculations!$B$1:$AX$54,ROW(Calculations!#REF!)))</f>
        <v/>
      </c>
      <c r="AD101" s="576" t="str">
        <f>IF(OR(AD$95="",AD$96=""),"",HLOOKUP(AD$94,Calculations!$B$1:$AX$54,ROW(Calculations!#REF!)))</f>
        <v/>
      </c>
    </row>
    <row r="102" spans="4:56" ht="19.5" customHeight="1" thickTop="1" x14ac:dyDescent="0.15">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row>
    <row r="103" spans="4:56" ht="19.5" hidden="1" customHeight="1" x14ac:dyDescent="0.15">
      <c r="J103" s="130" t="str">
        <f>IF(AND($D$13=Lists!$N$3,$D$18&gt;0,J94&lt;&gt;""),J94,"")</f>
        <v/>
      </c>
      <c r="K103" s="130" t="str">
        <f>IF(AND($D$13=Lists!$N$3,$D$18&gt;0,K94&lt;&gt;""),K94,"")</f>
        <v/>
      </c>
      <c r="L103" s="130" t="str">
        <f>IF(AND($D$13=Lists!$N$3,$D$18&gt;0,L94&lt;&gt;""),L94,"")</f>
        <v/>
      </c>
      <c r="M103" s="130" t="str">
        <f>IF(AND($D$13=Lists!$N$3,$D$18&gt;0,M94&lt;&gt;""),M94,"")</f>
        <v/>
      </c>
      <c r="N103" s="130" t="str">
        <f>IF(AND($D$13=Lists!$N$3,$D$18&gt;0,N94&lt;&gt;""),N94,"")</f>
        <v/>
      </c>
      <c r="O103" s="130" t="str">
        <f>IF(AND($D$13=Lists!$N$3,$D$18&gt;0,O94&lt;&gt;""),O94,"")</f>
        <v/>
      </c>
      <c r="P103" s="130" t="str">
        <f>IF(AND($D$13=Lists!$N$3,$D$18&gt;0,P94&lt;&gt;""),P94,"")</f>
        <v/>
      </c>
      <c r="Q103" s="130" t="str">
        <f>IF(AND($D$13=Lists!$N$3,$D$18&gt;0,Q94&lt;&gt;""),Q94,"")</f>
        <v/>
      </c>
      <c r="R103" s="130" t="str">
        <f>IF(AND($D$13=Lists!$N$3,$D$18&gt;0,R94&lt;&gt;""),R94,"")</f>
        <v/>
      </c>
      <c r="S103" s="130" t="str">
        <f>IF(AND($D$13=Lists!$N$3,$D$18&gt;0,S94&lt;&gt;""),S94,"")</f>
        <v/>
      </c>
      <c r="T103" s="130" t="str">
        <f>IF(AND($D$13=Lists!$N$3,$D$18&gt;0,T94&lt;&gt;""),T94,"")</f>
        <v/>
      </c>
      <c r="U103" s="130" t="str">
        <f>IF(AND($D$13=Lists!$N$3,$D$18&gt;0,U94&lt;&gt;""),U94,"")</f>
        <v/>
      </c>
      <c r="V103" s="130" t="str">
        <f>IF(AND($D$13=Lists!$N$3,$D$18&gt;0,V94&lt;&gt;""),V94,"")</f>
        <v/>
      </c>
      <c r="W103" s="130" t="str">
        <f>IF(AND($D$13=Lists!$N$3,$D$18&gt;0,W94&lt;&gt;""),W94,"")</f>
        <v/>
      </c>
      <c r="X103" s="130" t="str">
        <f>IF(AND($D$13=Lists!$N$3,$D$18&gt;0,X94&lt;&gt;""),X94,"")</f>
        <v/>
      </c>
      <c r="Y103" s="130" t="str">
        <f>IF(AND($D$13=Lists!$N$3,$D$18&gt;0,Y94&lt;&gt;""),Y94,"")</f>
        <v/>
      </c>
      <c r="Z103" s="130" t="str">
        <f>IF(AND($D$13=Lists!$N$3,$D$18&gt;0,Z94&lt;&gt;""),Z94,"")</f>
        <v/>
      </c>
      <c r="AA103" s="130" t="str">
        <f>IF(AND($D$13=Lists!$N$3,$D$18&gt;0,AA94&lt;&gt;""),AA94,"")</f>
        <v/>
      </c>
      <c r="AB103" s="130" t="str">
        <f>IF(AND($D$13=Lists!$N$3,$D$18&gt;0,AB94&lt;&gt;""),AB94,"")</f>
        <v/>
      </c>
      <c r="AC103" s="130" t="str">
        <f>IF(AND($D$13=Lists!$N$3,$D$18&gt;0,AC94&lt;&gt;""),AC94,"")</f>
        <v/>
      </c>
      <c r="AD103" s="130" t="str">
        <f>IF(AND($D$13=Lists!$N$3,$D$18&gt;0,AD94&lt;&gt;""),AD94,"")</f>
        <v/>
      </c>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row>
    <row r="104" spans="4:56" ht="19.5" hidden="1" customHeight="1" thickBot="1" x14ac:dyDescent="0.2">
      <c r="D104" s="625" t="s">
        <v>223</v>
      </c>
      <c r="F104" s="626" t="e">
        <f>+#REF!</f>
        <v>#REF!</v>
      </c>
      <c r="G104" s="626"/>
      <c r="H104" s="626"/>
      <c r="J104" s="575" t="str">
        <f>IFERROR(IF(AND($D$13=Lists!$N$3,$D$18&gt;0,J103&lt;&gt;""),HLOOKUP(J$103,Calculations!$B$1:$AX$111,ROW(Calculations!#REF!)),""),"")</f>
        <v/>
      </c>
      <c r="K104" s="575" t="str">
        <f>IFERROR(IF(AND($D$13=Lists!$N$3,$D$18&gt;0,K103&lt;&gt;""),HLOOKUP(K$103,Calculations!$B$1:$AX$111,ROW(Calculations!#REF!)),""),"")</f>
        <v/>
      </c>
      <c r="L104" s="575" t="str">
        <f>IFERROR(IF(AND($D$13=Lists!$N$3,$D$18&gt;0,L103&lt;&gt;""),HLOOKUP(L$103,Calculations!$B$1:$AX$111,ROW(Calculations!#REF!)),""),"")</f>
        <v/>
      </c>
      <c r="M104" s="575" t="str">
        <f>IFERROR(IF(AND($D$13=Lists!$N$3,$D$18&gt;0,M103&lt;&gt;""),HLOOKUP(M$103,Calculations!$B$1:$AX$111,ROW(Calculations!#REF!)),""),"")</f>
        <v/>
      </c>
      <c r="N104" s="575" t="str">
        <f>IFERROR(IF(AND($D$13=Lists!$N$3,$D$18&gt;0,N103&lt;&gt;""),HLOOKUP(N$103,Calculations!$B$1:$AX$111,ROW(Calculations!#REF!)),""),"")</f>
        <v/>
      </c>
      <c r="O104" s="575" t="str">
        <f>IFERROR(IF(AND($D$13=Lists!$N$3,$D$18&gt;0,O103&lt;&gt;""),HLOOKUP(O$103,Calculations!$B$1:$AX$111,ROW(Calculations!#REF!)),""),"")</f>
        <v/>
      </c>
      <c r="P104" s="575" t="str">
        <f>IFERROR(IF(AND($D$13=Lists!$N$3,$D$18&gt;0,P103&lt;&gt;""),HLOOKUP(P$103,Calculations!$B$1:$AX$111,ROW(Calculations!#REF!)),""),"")</f>
        <v/>
      </c>
      <c r="Q104" s="575" t="str">
        <f>IFERROR(IF(AND($D$13=Lists!$N$3,$D$18&gt;0,Q103&lt;&gt;""),HLOOKUP(Q$103,Calculations!$B$1:$AX$111,ROW(Calculations!#REF!)),""),"")</f>
        <v/>
      </c>
      <c r="R104" s="575" t="str">
        <f>IFERROR(IF(AND($D$13=Lists!$N$3,$D$18&gt;0,R103&lt;&gt;""),HLOOKUP(R$103,Calculations!$B$1:$AX$111,ROW(Calculations!#REF!)),""),"")</f>
        <v/>
      </c>
      <c r="S104" s="575" t="str">
        <f>IFERROR(IF(AND($D$13=Lists!$N$3,$D$18&gt;0,S103&lt;&gt;""),HLOOKUP(S$103,Calculations!$B$1:$AX$111,ROW(Calculations!#REF!)),""),"")</f>
        <v/>
      </c>
      <c r="T104" s="575" t="str">
        <f>IFERROR(IF(AND($D$13=Lists!$N$3,$D$18&gt;0,T103&lt;&gt;""),HLOOKUP(T$103,Calculations!$B$1:$AX$111,ROW(Calculations!#REF!)),""),"")</f>
        <v/>
      </c>
      <c r="U104" s="575" t="str">
        <f>IFERROR(IF(AND($D$13=Lists!$N$3,$D$18&gt;0,U103&lt;&gt;""),HLOOKUP(U$103,Calculations!$B$1:$AX$111,ROW(Calculations!#REF!)),""),"")</f>
        <v/>
      </c>
      <c r="V104" s="575" t="str">
        <f>IFERROR(IF(AND($D$13=Lists!$N$3,$D$18&gt;0,V103&lt;&gt;""),HLOOKUP(V$103,Calculations!$B$1:$AX$111,ROW(Calculations!#REF!)),""),"")</f>
        <v/>
      </c>
      <c r="W104" s="575" t="str">
        <f>IFERROR(IF(AND($D$13=Lists!$N$3,$D$18&gt;0,W103&lt;&gt;""),HLOOKUP(W$103,Calculations!$B$1:$AX$111,ROW(Calculations!#REF!)),""),"")</f>
        <v/>
      </c>
      <c r="X104" s="575" t="str">
        <f>IFERROR(IF(AND($D$13=Lists!$N$3,$D$18&gt;0,X103&lt;&gt;""),HLOOKUP(X$103,Calculations!$B$1:$AX$111,ROW(Calculations!#REF!)),""),"")</f>
        <v/>
      </c>
      <c r="Y104" s="575" t="str">
        <f>IFERROR(IF(AND($D$13=Lists!$N$3,$D$18&gt;0,Y103&lt;&gt;""),HLOOKUP(Y$103,Calculations!$B$1:$AX$111,ROW(Calculations!#REF!)),""),"")</f>
        <v/>
      </c>
      <c r="Z104" s="575" t="str">
        <f>IFERROR(IF(AND($D$13=Lists!$N$3,$D$18&gt;0,Z103&lt;&gt;""),HLOOKUP(Z$103,Calculations!$B$1:$AX$111,ROW(Calculations!#REF!)),""),"")</f>
        <v/>
      </c>
      <c r="AA104" s="575" t="str">
        <f>IFERROR(IF(AND($D$13=Lists!$N$3,$D$18&gt;0,AA103&lt;&gt;""),HLOOKUP(AA$103,Calculations!$B$1:$AX$111,ROW(Calculations!#REF!)),""),"")</f>
        <v/>
      </c>
      <c r="AB104" s="575" t="str">
        <f>IFERROR(IF(AND($D$13=Lists!$N$3,$D$18&gt;0,AB103&lt;&gt;""),HLOOKUP(AB$103,Calculations!$B$1:$AX$111,ROW(Calculations!#REF!)),""),"")</f>
        <v/>
      </c>
      <c r="AC104" s="575" t="str">
        <f>IFERROR(IF(AND($D$13=Lists!$N$3,$D$18&gt;0,AC103&lt;&gt;""),HLOOKUP(AC$103,Calculations!$B$1:$AX$111,ROW(Calculations!#REF!)),""),"")</f>
        <v/>
      </c>
      <c r="AD104" s="575" t="str">
        <f>IFERROR(IF(AND($D$13=Lists!$N$3,$D$18&gt;0,AD103&lt;&gt;""),HLOOKUP(AD$103,Calculations!$B$1:$AX$111,ROW(Calculations!#REF!)),""),"")</f>
        <v/>
      </c>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row>
    <row r="105" spans="4:56" ht="19.5" hidden="1" customHeight="1" thickTop="1" thickBot="1" x14ac:dyDescent="0.2">
      <c r="D105" s="625"/>
      <c r="F105" s="626" t="e">
        <f>+#REF!</f>
        <v>#REF!</v>
      </c>
      <c r="G105" s="626"/>
      <c r="H105" s="626"/>
      <c r="J105" s="575" t="str">
        <f>IFERROR(IF(AND($D$13=Lists!$N$3,$D$18&gt;0,J94&lt;&gt;""),HLOOKUP(J$94,Calculations!$B$1:$AX$111,ROW(Calculations!#REF!)),""),"")</f>
        <v/>
      </c>
      <c r="K105" s="575" t="str">
        <f>IFERROR(IF(AND($D$13=Lists!$N$3,$D$18&gt;0,K94&lt;&gt;""),HLOOKUP(K$94,Calculations!$B$1:$AX$111,ROW(Calculations!#REF!)),""),"")</f>
        <v/>
      </c>
      <c r="L105" s="575" t="str">
        <f>IFERROR(IF(AND($D$13=Lists!$N$3,$D$18&gt;0,L94&lt;&gt;""),HLOOKUP(L$94,Calculations!$B$1:$AX$111,ROW(Calculations!#REF!)),""),"")</f>
        <v/>
      </c>
      <c r="M105" s="575" t="str">
        <f>IFERROR(IF(AND($D$13=Lists!$N$3,$D$18&gt;0,M94&lt;&gt;""),HLOOKUP(M$94,Calculations!$B$1:$AX$111,ROW(Calculations!#REF!)),""),"")</f>
        <v/>
      </c>
      <c r="N105" s="575" t="str">
        <f>IFERROR(IF(AND($D$13=Lists!$N$3,$D$18&gt;0,N94&lt;&gt;""),HLOOKUP(N$94,Calculations!$B$1:$AX$111,ROW(Calculations!#REF!)),""),"")</f>
        <v/>
      </c>
      <c r="O105" s="575" t="str">
        <f>IFERROR(IF(AND($D$13=Lists!$N$3,$D$18&gt;0,O94&lt;&gt;""),HLOOKUP(O$94,Calculations!$B$1:$AX$111,ROW(Calculations!#REF!)),""),"")</f>
        <v/>
      </c>
      <c r="P105" s="575" t="str">
        <f>IFERROR(IF(AND($D$13=Lists!$N$3,$D$18&gt;0,P94&lt;&gt;""),HLOOKUP(P$94,Calculations!$B$1:$AX$111,ROW(Calculations!#REF!)),""),"")</f>
        <v/>
      </c>
      <c r="Q105" s="575" t="str">
        <f>IFERROR(IF(AND($D$13=Lists!$N$3,$D$18&gt;0,Q94&lt;&gt;""),HLOOKUP(Q$94,Calculations!$B$1:$AX$111,ROW(Calculations!#REF!)),""),"")</f>
        <v/>
      </c>
      <c r="R105" s="575" t="str">
        <f>IFERROR(IF(AND($D$13=Lists!$N$3,$D$18&gt;0,R94&lt;&gt;""),HLOOKUP(R$94,Calculations!$B$1:$AX$111,ROW(Calculations!#REF!)),""),"")</f>
        <v/>
      </c>
      <c r="S105" s="575" t="str">
        <f>IFERROR(IF(AND($D$13=Lists!$N$3,$D$18&gt;0,S94&lt;&gt;""),HLOOKUP(S$94,Calculations!$B$1:$AX$111,ROW(Calculations!#REF!)),""),"")</f>
        <v/>
      </c>
      <c r="T105" s="575" t="str">
        <f>IFERROR(IF(AND($D$13=Lists!$N$3,$D$18&gt;0,T94&lt;&gt;""),HLOOKUP(T$94,Calculations!$B$1:$AX$111,ROW(Calculations!#REF!)),""),"")</f>
        <v/>
      </c>
      <c r="U105" s="575" t="str">
        <f>IFERROR(IF(AND($D$13=Lists!$N$3,$D$18&gt;0,U94&lt;&gt;""),HLOOKUP(U$94,Calculations!$B$1:$AX$111,ROW(Calculations!#REF!)),""),"")</f>
        <v/>
      </c>
      <c r="V105" s="575" t="str">
        <f>IFERROR(IF(AND($D$13=Lists!$N$3,$D$18&gt;0,V94&lt;&gt;""),HLOOKUP(V$94,Calculations!$B$1:$AX$111,ROW(Calculations!#REF!)),""),"")</f>
        <v/>
      </c>
      <c r="W105" s="575" t="str">
        <f>IFERROR(IF(AND($D$13=Lists!$N$3,$D$18&gt;0,W94&lt;&gt;""),HLOOKUP(W$94,Calculations!$B$1:$AX$111,ROW(Calculations!#REF!)),""),"")</f>
        <v/>
      </c>
      <c r="X105" s="575" t="str">
        <f>IFERROR(IF(AND($D$13=Lists!$N$3,$D$18&gt;0,X94&lt;&gt;""),HLOOKUP(X$94,Calculations!$B$1:$AX$111,ROW(Calculations!#REF!)),""),"")</f>
        <v/>
      </c>
      <c r="Y105" s="575" t="str">
        <f>IFERROR(IF(AND($D$13=Lists!$N$3,$D$18&gt;0,Y94&lt;&gt;""),HLOOKUP(Y$94,Calculations!$B$1:$AX$111,ROW(Calculations!#REF!)),""),"")</f>
        <v/>
      </c>
      <c r="Z105" s="575" t="str">
        <f>IFERROR(IF(AND($D$13=Lists!$N$3,$D$18&gt;0,Z94&lt;&gt;""),HLOOKUP(Z$94,Calculations!$B$1:$AX$111,ROW(Calculations!#REF!)),""),"")</f>
        <v/>
      </c>
      <c r="AA105" s="575" t="str">
        <f>IFERROR(IF(AND($D$13=Lists!$N$3,$D$18&gt;0,AA94&lt;&gt;""),HLOOKUP(AA$94,Calculations!$B$1:$AX$111,ROW(Calculations!#REF!)),""),"")</f>
        <v/>
      </c>
      <c r="AB105" s="575" t="str">
        <f>IFERROR(IF(AND($D$13=Lists!$N$3,$D$18&gt;0,AB94&lt;&gt;""),HLOOKUP(AB$94,Calculations!$B$1:$AX$111,ROW(Calculations!#REF!)),""),"")</f>
        <v/>
      </c>
      <c r="AC105" s="575" t="str">
        <f>IFERROR(IF(AND($D$13=Lists!$N$3,$D$18&gt;0,AC94&lt;&gt;""),HLOOKUP(AC$94,Calculations!$B$1:$AX$111,ROW(Calculations!#REF!)),""),"")</f>
        <v/>
      </c>
      <c r="AD105" s="575" t="str">
        <f>IFERROR(IF(AND($D$13=Lists!$N$3,$D$18&gt;0,AD94&lt;&gt;""),HLOOKUP(AD$94,Calculations!$B$1:$AX$111,ROW(Calculations!#REF!)),""),"")</f>
        <v/>
      </c>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row>
    <row r="106" spans="4:56" ht="19.5" hidden="1" customHeight="1" thickTop="1" thickBot="1" x14ac:dyDescent="0.2">
      <c r="D106" s="625"/>
      <c r="F106" s="626" t="e">
        <f>+#REF!</f>
        <v>#REF!</v>
      </c>
      <c r="G106" s="626"/>
      <c r="H106" s="626"/>
      <c r="J106" s="575" t="str">
        <f>IFERROR(IF(OR(ISNUMBER(J$104)=TRUE,ISNUMBER(J$105=TRUE)),J$104+J$105,""), "")</f>
        <v/>
      </c>
      <c r="K106" s="575" t="str">
        <f t="shared" ref="K106:AD106" si="1">IFERROR(IF(OR(ISNUMBER(K$104)=TRUE,ISNUMBER(K$105=TRUE)),K$104+K$105,""), "")</f>
        <v/>
      </c>
      <c r="L106" s="575" t="str">
        <f t="shared" si="1"/>
        <v/>
      </c>
      <c r="M106" s="575" t="str">
        <f t="shared" si="1"/>
        <v/>
      </c>
      <c r="N106" s="575" t="str">
        <f t="shared" si="1"/>
        <v/>
      </c>
      <c r="O106" s="575" t="str">
        <f t="shared" si="1"/>
        <v/>
      </c>
      <c r="P106" s="575" t="str">
        <f t="shared" si="1"/>
        <v/>
      </c>
      <c r="Q106" s="575" t="str">
        <f t="shared" si="1"/>
        <v/>
      </c>
      <c r="R106" s="575" t="str">
        <f t="shared" si="1"/>
        <v/>
      </c>
      <c r="S106" s="575" t="str">
        <f t="shared" si="1"/>
        <v/>
      </c>
      <c r="T106" s="575" t="str">
        <f t="shared" si="1"/>
        <v/>
      </c>
      <c r="U106" s="575" t="str">
        <f t="shared" si="1"/>
        <v/>
      </c>
      <c r="V106" s="575" t="str">
        <f t="shared" si="1"/>
        <v/>
      </c>
      <c r="W106" s="575" t="str">
        <f t="shared" si="1"/>
        <v/>
      </c>
      <c r="X106" s="575" t="str">
        <f t="shared" si="1"/>
        <v/>
      </c>
      <c r="Y106" s="575" t="str">
        <f t="shared" si="1"/>
        <v/>
      </c>
      <c r="Z106" s="575" t="str">
        <f t="shared" si="1"/>
        <v/>
      </c>
      <c r="AA106" s="575" t="str">
        <f t="shared" si="1"/>
        <v/>
      </c>
      <c r="AB106" s="575" t="str">
        <f t="shared" si="1"/>
        <v/>
      </c>
      <c r="AC106" s="575" t="str">
        <f t="shared" si="1"/>
        <v/>
      </c>
      <c r="AD106" s="575" t="str">
        <f t="shared" si="1"/>
        <v/>
      </c>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row>
    <row r="107" spans="4:56" ht="19.5" customHeight="1" x14ac:dyDescent="0.15">
      <c r="J107" s="611"/>
      <c r="K107" s="611"/>
      <c r="L107" s="611"/>
      <c r="M107" s="611"/>
      <c r="N107" s="611"/>
      <c r="O107" s="611"/>
      <c r="P107" s="611"/>
      <c r="Q107" s="611"/>
      <c r="R107" s="611"/>
      <c r="S107" s="611"/>
      <c r="T107" s="611"/>
      <c r="U107" s="611"/>
      <c r="V107" s="611"/>
      <c r="W107" s="611"/>
      <c r="X107" s="611"/>
      <c r="Y107" s="611"/>
      <c r="Z107" s="611"/>
      <c r="AA107" s="611"/>
      <c r="AB107" s="611"/>
      <c r="AC107" s="611"/>
      <c r="AD107" s="611"/>
      <c r="AE107" s="129"/>
    </row>
    <row r="108" spans="4:56" ht="19.5" customHeight="1" x14ac:dyDescent="0.15"/>
    <row r="109" spans="4:56" ht="19.5" customHeight="1" x14ac:dyDescent="0.15">
      <c r="J109" s="612"/>
      <c r="K109" s="612"/>
      <c r="L109" s="612"/>
      <c r="M109" s="612"/>
      <c r="N109" s="612"/>
      <c r="O109" s="612"/>
      <c r="P109" s="612"/>
      <c r="Q109" s="612"/>
      <c r="R109" s="612"/>
      <c r="S109" s="612"/>
      <c r="T109" s="612"/>
      <c r="U109" s="612"/>
      <c r="V109" s="612"/>
      <c r="W109" s="612"/>
      <c r="X109" s="612"/>
      <c r="Y109" s="612"/>
      <c r="Z109" s="612"/>
      <c r="AA109" s="612"/>
      <c r="AB109" s="612"/>
      <c r="AC109" s="612"/>
      <c r="AD109" s="612"/>
    </row>
    <row r="110" spans="4:56" ht="19.5" customHeight="1" x14ac:dyDescent="0.15"/>
    <row r="111" spans="4:56" ht="19.5" customHeight="1" x14ac:dyDescent="0.15"/>
    <row r="112" spans="4:56" ht="19.5" customHeight="1" x14ac:dyDescent="0.15"/>
    <row r="113" ht="19.5" customHeight="1" x14ac:dyDescent="0.15"/>
    <row r="114" ht="19.5" customHeight="1" x14ac:dyDescent="0.15"/>
    <row r="115" ht="19.5" customHeight="1" x14ac:dyDescent="0.15"/>
  </sheetData>
  <sheetProtection algorithmName="SHA-512" hashValue="SZREYmEa/yA8x2uoJSk6Wi0k59yEwRzFr/wnOZQo2zked4B+Kj7BLLjRgR+OUk6asypJIgzg1MpvLJiUbyI+RQ==" saltValue="rhg0TvB8yzSw3iGJ25YRDg==" spinCount="100000" sheet="1" selectLockedCells="1"/>
  <mergeCells count="17">
    <mergeCell ref="K11:S11"/>
    <mergeCell ref="K12:S12"/>
    <mergeCell ref="K13:S16"/>
    <mergeCell ref="K17:S18"/>
    <mergeCell ref="K19:S19"/>
    <mergeCell ref="K20:S20"/>
    <mergeCell ref="D104:D106"/>
    <mergeCell ref="F101:H101"/>
    <mergeCell ref="D95:D101"/>
    <mergeCell ref="F104:H104"/>
    <mergeCell ref="F105:H105"/>
    <mergeCell ref="F106:H106"/>
    <mergeCell ref="F95:H95"/>
    <mergeCell ref="F96:H96"/>
    <mergeCell ref="F97:H97"/>
    <mergeCell ref="F99:H99"/>
    <mergeCell ref="F100:H100"/>
  </mergeCells>
  <conditionalFormatting sqref="B54 B56">
    <cfRule type="expression" dxfId="117" priority="66">
      <formula>ISTEXT($D$15)=FALSE</formula>
    </cfRule>
  </conditionalFormatting>
  <conditionalFormatting sqref="D22">
    <cfRule type="expression" dxfId="114" priority="174">
      <formula>$D$21="Fixed market share"</formula>
    </cfRule>
  </conditionalFormatting>
  <conditionalFormatting sqref="D26 D28">
    <cfRule type="cellIs" dxfId="113" priority="89" operator="lessThan">
      <formula>100</formula>
    </cfRule>
    <cfRule type="cellIs" dxfId="112" priority="90" operator="lessThan">
      <formula>10</formula>
    </cfRule>
  </conditionalFormatting>
  <conditionalFormatting sqref="D89">
    <cfRule type="cellIs" dxfId="111" priority="70" operator="lessThan">
      <formula>100</formula>
    </cfRule>
    <cfRule type="cellIs" dxfId="110" priority="71" operator="lessThan">
      <formula>10</formula>
    </cfRule>
  </conditionalFormatting>
  <conditionalFormatting sqref="F104:F106">
    <cfRule type="expression" dxfId="107" priority="186">
      <formula>ISNUMBER($D$18)=FALSE</formula>
    </cfRule>
  </conditionalFormatting>
  <conditionalFormatting sqref="F95:I97">
    <cfRule type="expression" dxfId="106" priority="18">
      <formula>ISTEXT($D$15)=FALSE</formula>
    </cfRule>
  </conditionalFormatting>
  <conditionalFormatting sqref="F99:I101">
    <cfRule type="expression" dxfId="105" priority="16">
      <formula>ISTEXT($D$15)=FALSE</formula>
    </cfRule>
  </conditionalFormatting>
  <conditionalFormatting sqref="J94:AD106 AF102:BA102 AF103:BD106 AE103:AE107">
    <cfRule type="expression" dxfId="103" priority="181">
      <formula>OR($D$16=0,$D$18=0)</formula>
    </cfRule>
  </conditionalFormatting>
  <dataValidations xWindow="505" yWindow="601" count="2">
    <dataValidation type="custom" allowBlank="1" showInputMessage="1" showErrorMessage="1" sqref="D25" xr:uid="{8D7FA75D-C842-4DC4-BC5F-891CDEDE980C}">
      <formula1>AND(D25&gt;=0, D25&lt;=1)</formula1>
    </dataValidation>
    <dataValidation type="custom" allowBlank="1" showInputMessage="1" showErrorMessage="1" error="Scrap ratio must be between 0 and 100%" sqref="D24" xr:uid="{6663E75F-6ED4-4FF9-8F8A-D1F44E0F48F0}">
      <formula1>AND(D24&gt;=0, D24&lt;=1)</formula1>
    </dataValidation>
  </dataValidations>
  <hyperlinks>
    <hyperlink ref="F6" r:id="rId1" xr:uid="{00000000-0004-0000-0300-000000000000}"/>
    <hyperlink ref="B52" location="'Steel Tool'!B91" display="Review all target modelling data" xr:uid="{00000000-0004-0000-0300-000001000000}"/>
  </hyperlinks>
  <pageMargins left="0.7" right="0.7" top="0.75" bottom="0.75" header="0.3" footer="0.3"/>
  <pageSetup paperSize="9" orientation="portrait" horizontalDpi="4294967294" r:id="rId2"/>
  <drawing r:id="rId3"/>
  <extLst>
    <ext xmlns:x14="http://schemas.microsoft.com/office/spreadsheetml/2009/9/main" uri="{78C0D931-6437-407d-A8EE-F0AAD7539E65}">
      <x14:conditionalFormattings>
        <x14:conditionalFormatting xmlns:xm="http://schemas.microsoft.com/office/excel/2006/main">
          <x14:cfRule type="expression" priority="192" id="{0209E2A9-CE60-4C6B-AF95-EE12451387E1}">
            <xm:f>OR($D$13=Lists!$N$3, AND($D$13=Lists!$N$2,OR($D$15=Lists!$B$2, OR($D$15=Lists!$B$3))))</xm:f>
            <x14:dxf>
              <font>
                <color theme="0"/>
              </font>
              <fill>
                <patternFill>
                  <bgColor theme="0"/>
                </patternFill>
              </fill>
            </x14:dxf>
          </x14:cfRule>
          <xm:sqref>B24:B25 D24:D25 F24:F25 F25:G25</xm:sqref>
        </x14:conditionalFormatting>
        <x14:conditionalFormatting xmlns:xm="http://schemas.microsoft.com/office/excel/2006/main">
          <x14:cfRule type="expression" priority="41" id="{18719188-EE13-4498-AFF3-E05A578DBDD9}">
            <xm:f>$D$13=Lists!$N$3</xm:f>
            <x14:dxf>
              <font>
                <color theme="0" tint="-0.24994659260841701"/>
              </font>
              <fill>
                <patternFill>
                  <bgColor theme="0" tint="-0.24994659260841701"/>
                </patternFill>
              </fill>
            </x14:dxf>
          </x14:cfRule>
          <xm:sqref>D14:D15</xm:sqref>
        </x14:conditionalFormatting>
        <x14:conditionalFormatting xmlns:xm="http://schemas.microsoft.com/office/excel/2006/main">
          <x14:cfRule type="expression" priority="36" id="{67256B06-6DED-41AF-9332-44080EB7614C}">
            <xm:f>$D$13=Lists!$N$3</xm:f>
            <x14:dxf>
              <font>
                <color theme="0" tint="-0.24994659260841701"/>
              </font>
              <fill>
                <patternFill>
                  <bgColor theme="0" tint="-0.24994659260841701"/>
                </patternFill>
              </fill>
            </x14:dxf>
          </x14:cfRule>
          <xm:sqref>D17 B21:B22 D21:D22</xm:sqref>
        </x14:conditionalFormatting>
        <x14:conditionalFormatting xmlns:xm="http://schemas.microsoft.com/office/excel/2006/main">
          <x14:cfRule type="expression" priority="49" id="{FD73A512-9EE2-4696-8C6D-1F824B89276B}">
            <xm:f>$D$13=Lists!$N$2</xm:f>
            <x14:dxf>
              <font>
                <color theme="0" tint="-0.24994659260841701"/>
              </font>
              <fill>
                <patternFill>
                  <bgColor theme="0" tint="-0.24994659260841701"/>
                </patternFill>
              </fill>
              <border>
                <left/>
                <right/>
                <top/>
                <bottom/>
                <vertical/>
                <horizontal/>
              </border>
            </x14:dxf>
          </x14:cfRule>
          <xm:sqref>D103:AD106</xm:sqref>
        </x14:conditionalFormatting>
        <x14:conditionalFormatting xmlns:xm="http://schemas.microsoft.com/office/excel/2006/main">
          <x14:cfRule type="expression" priority="39" id="{2F733A28-4438-4D29-A117-05BE65955226}">
            <xm:f>$D$13=Lists!$N$3</xm:f>
            <x14:dxf>
              <font>
                <color theme="0"/>
              </font>
            </x14:dxf>
          </x14:cfRule>
          <xm:sqref>F17 F22</xm:sqref>
        </x14:conditionalFormatting>
        <x14:conditionalFormatting xmlns:xm="http://schemas.microsoft.com/office/excel/2006/main">
          <x14:cfRule type="expression" priority="2" id="{FAE46F72-2A84-4CCC-99E3-E1ED18F34506}">
            <xm:f>$D$13=Lists!$N$3</xm:f>
            <x14:dxf>
              <font>
                <color theme="0" tint="-0.24994659260841701"/>
              </font>
              <fill>
                <patternFill>
                  <bgColor theme="0" tint="-0.24994659260841701"/>
                </patternFill>
              </fill>
              <border>
                <left/>
                <right/>
                <top/>
                <bottom/>
                <vertical/>
                <horizontal/>
              </border>
            </x14:dxf>
          </x14:cfRule>
          <xm:sqref>J29:AD86 B31:I86 D94:AD101</xm:sqref>
        </x14:conditionalFormatting>
        <x14:conditionalFormatting xmlns:xm="http://schemas.microsoft.com/office/excel/2006/main">
          <x14:cfRule type="expression" priority="11" id="{29A46D45-3C71-4DFD-8458-1CB4F9CBE751}">
            <xm:f>$D$15=Lists!$B$4</xm:f>
            <x14:dxf>
              <font>
                <color theme="0" tint="-0.24994659260841701"/>
              </font>
              <fill>
                <patternFill>
                  <bgColor theme="0" tint="-0.24994659260841701"/>
                </patternFill>
              </fill>
              <border>
                <left/>
                <right/>
                <top/>
                <bottom/>
                <vertical/>
                <horizontal/>
              </border>
            </x14:dxf>
          </x14:cfRule>
          <xm:sqref>J100:AD100</xm:sqref>
        </x14:conditionalFormatting>
      </x14:conditionalFormattings>
    </ext>
    <ext xmlns:x14="http://schemas.microsoft.com/office/spreadsheetml/2009/9/main" uri="{CCE6A557-97BC-4b89-ADB6-D9C93CAAB3DF}">
      <x14:dataValidations xmlns:xm="http://schemas.microsoft.com/office/excel/2006/main" xWindow="505" yWindow="601" count="3">
        <x14:dataValidation type="list" allowBlank="1" showInputMessage="1" showErrorMessage="1" prompt="Base and target years: Targets must cover a minimum of 5 years and a maximum of 10 years from the date the target is submitted to the SBTi for an official validation" xr:uid="{00000000-0002-0000-0300-000002000000}">
          <x14:formula1>
            <xm:f>Lists!$K$4:$K$11</xm:f>
          </x14:formula1>
          <xm:sqref>D20</xm:sqref>
        </x14:dataValidation>
        <x14:dataValidation type="list" allowBlank="1" showInputMessage="1" showErrorMessage="1" xr:uid="{00000000-0002-0000-0300-000003000000}">
          <x14:formula1>
            <xm:f>Lists!$L$2:$L$3</xm:f>
          </x14:formula1>
          <xm:sqref>D21</xm:sqref>
        </x14:dataValidation>
        <x14:dataValidation type="list" allowBlank="1" showInputMessage="1" showErrorMessage="1" prompt="Base and target years: Targets must cover a minimum of 5 years and a maximum of 10 years from the date the target is submitted to the SBTi for an official validation" xr:uid="{00000000-0002-0000-0300-000006000000}">
          <x14:formula1>
            <xm:f>Lists!$J$3:$J$14</xm:f>
          </x14:formula1>
          <xm:sqref>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tabColor rgb="FFB42D33"/>
  </sheetPr>
  <dimension ref="B2:X27"/>
  <sheetViews>
    <sheetView showGridLines="0" zoomScaleNormal="100" workbookViewId="0">
      <selection activeCell="D17" sqref="D17"/>
    </sheetView>
  </sheetViews>
  <sheetFormatPr baseColWidth="10" defaultColWidth="10.83203125" defaultRowHeight="13" x14ac:dyDescent="0.15"/>
  <cols>
    <col min="1" max="1" width="2.5" customWidth="1"/>
    <col min="2" max="2" width="49.1640625" customWidth="1"/>
    <col min="3" max="3" width="2.83203125" customWidth="1"/>
    <col min="4" max="4" width="30.5" customWidth="1"/>
    <col min="5" max="5" width="2.83203125" customWidth="1"/>
    <col min="6" max="6" width="30.5" customWidth="1"/>
    <col min="7" max="7" width="2.83203125" customWidth="1"/>
    <col min="8" max="8" width="15" customWidth="1"/>
  </cols>
  <sheetData>
    <row r="2" spans="2:24" ht="20" customHeight="1" x14ac:dyDescent="0.25">
      <c r="C2" s="111"/>
      <c r="D2" s="583"/>
    </row>
    <row r="3" spans="2:24" ht="30" customHeight="1" x14ac:dyDescent="0.15">
      <c r="D3" s="112" t="str">
        <f>+README!D26</f>
        <v xml:space="preserve">SBTi Steel Target Setting Tool </v>
      </c>
      <c r="E3" s="113"/>
      <c r="F3" s="113"/>
    </row>
    <row r="4" spans="2:24" ht="20" customHeight="1" x14ac:dyDescent="0.15"/>
    <row r="5" spans="2:24" ht="20" customHeight="1" x14ac:dyDescent="0.15">
      <c r="D5" s="114" t="s">
        <v>218</v>
      </c>
      <c r="E5" s="113"/>
      <c r="F5" s="604">
        <f>'Iron &amp; Steelmaker Tool'!F5</f>
        <v>1.1000000000000001</v>
      </c>
    </row>
    <row r="6" spans="2:24" ht="20" customHeight="1" x14ac:dyDescent="0.15">
      <c r="D6" s="114" t="s">
        <v>216</v>
      </c>
      <c r="E6" s="113"/>
      <c r="F6" s="115" t="s">
        <v>217</v>
      </c>
      <c r="H6" s="593" t="s">
        <v>639</v>
      </c>
    </row>
    <row r="7" spans="2:24" ht="20" customHeight="1" x14ac:dyDescent="0.15">
      <c r="D7" s="114"/>
      <c r="E7" s="113"/>
      <c r="F7" s="115"/>
    </row>
    <row r="8" spans="2:24" ht="12.75" customHeight="1" x14ac:dyDescent="0.2">
      <c r="B8" s="116"/>
      <c r="C8" s="116"/>
      <c r="D8" s="116"/>
      <c r="E8" s="116"/>
      <c r="F8" s="116"/>
      <c r="G8" s="116"/>
      <c r="H8" s="116"/>
      <c r="I8" s="116"/>
    </row>
    <row r="9" spans="2:24" ht="12.75" customHeight="1" x14ac:dyDescent="0.2">
      <c r="B9" s="133"/>
      <c r="C9" s="133"/>
      <c r="D9" s="133"/>
      <c r="E9" s="133"/>
      <c r="F9" s="133"/>
      <c r="G9" s="133"/>
      <c r="H9" s="133"/>
      <c r="I9" s="133"/>
      <c r="K9" s="133"/>
      <c r="L9" s="133"/>
      <c r="M9" s="133"/>
      <c r="N9" s="133"/>
      <c r="O9" s="133"/>
      <c r="P9" s="133"/>
      <c r="Q9" s="133"/>
      <c r="R9" s="133"/>
      <c r="S9" s="133"/>
      <c r="T9" s="133"/>
      <c r="U9" s="133"/>
      <c r="V9" s="133"/>
      <c r="W9" s="133"/>
      <c r="X9" s="133"/>
    </row>
    <row r="10" spans="2:24" ht="20" customHeight="1" x14ac:dyDescent="0.2">
      <c r="B10" s="57" t="s">
        <v>203</v>
      </c>
    </row>
    <row r="11" spans="2:24" ht="12.75" customHeight="1" thickBot="1" x14ac:dyDescent="0.2"/>
    <row r="12" spans="2:24" ht="19.5" customHeight="1" thickTop="1" thickBot="1" x14ac:dyDescent="0.2">
      <c r="B12" s="117" t="s">
        <v>225</v>
      </c>
      <c r="C12" s="3" t="str">
        <f>""</f>
        <v/>
      </c>
      <c r="D12" s="685" t="s">
        <v>627</v>
      </c>
      <c r="E12" t="str">
        <f>""</f>
        <v/>
      </c>
      <c r="F12" s="118" t="s">
        <v>685</v>
      </c>
    </row>
    <row r="13" spans="2:24" ht="19.5" customHeight="1" thickTop="1" thickBot="1" x14ac:dyDescent="0.2">
      <c r="B13" s="117" t="s">
        <v>1</v>
      </c>
      <c r="C13" s="3" t="str">
        <f>""</f>
        <v/>
      </c>
      <c r="D13" s="131"/>
      <c r="E13" t="str">
        <f>""</f>
        <v/>
      </c>
      <c r="F13" s="118" t="s">
        <v>4</v>
      </c>
    </row>
    <row r="14" spans="2:24" ht="19.5" customHeight="1" thickTop="1" thickBot="1" x14ac:dyDescent="0.2">
      <c r="B14" s="117" t="s">
        <v>2</v>
      </c>
      <c r="C14" s="3" t="str">
        <f>""</f>
        <v/>
      </c>
      <c r="D14" s="131"/>
      <c r="F14" s="118" t="s">
        <v>4</v>
      </c>
      <c r="H14" s="87"/>
    </row>
    <row r="15" spans="2:24" ht="19.5" customHeight="1" thickTop="1" thickBot="1" x14ac:dyDescent="0.2">
      <c r="B15" s="119" t="s">
        <v>3</v>
      </c>
      <c r="C15" s="3" t="str">
        <f>""</f>
        <v/>
      </c>
      <c r="D15" s="132"/>
      <c r="E15" s="3" t="str">
        <f>""</f>
        <v/>
      </c>
      <c r="F15" s="118" t="s">
        <v>631</v>
      </c>
    </row>
    <row r="16" spans="2:24" ht="19.25" customHeight="1" thickTop="1" thickBot="1" x14ac:dyDescent="0.2">
      <c r="B16" s="119" t="str">
        <f>IF(ISTEXT($D$12)=TRUE,"Target year output")</f>
        <v>Target year output</v>
      </c>
      <c r="C16" s="3" t="str">
        <f>""</f>
        <v/>
      </c>
      <c r="D16" s="132"/>
      <c r="E16" s="3" t="str">
        <f>""</f>
        <v/>
      </c>
      <c r="F16" s="118" t="s">
        <v>631</v>
      </c>
      <c r="H16" s="135"/>
    </row>
    <row r="17" spans="2:9" ht="19.5" customHeight="1" thickTop="1" thickBot="1" x14ac:dyDescent="0.2">
      <c r="B17" s="117" t="s">
        <v>649</v>
      </c>
      <c r="C17" s="3" t="str">
        <f>""</f>
        <v/>
      </c>
      <c r="D17" s="566"/>
      <c r="E17" s="3" t="str">
        <f>""</f>
        <v/>
      </c>
      <c r="F17" s="118" t="s">
        <v>669</v>
      </c>
    </row>
    <row r="18" spans="2:9" ht="12.75" customHeight="1" thickTop="1" x14ac:dyDescent="0.15">
      <c r="D18" s="121"/>
      <c r="F18" s="7"/>
    </row>
    <row r="20" spans="2:9" ht="12.75" customHeight="1" x14ac:dyDescent="0.2">
      <c r="B20" s="116"/>
      <c r="C20" s="116"/>
      <c r="D20" s="116"/>
      <c r="E20" s="116"/>
      <c r="F20" s="116"/>
      <c r="G20" s="116"/>
      <c r="H20" s="116"/>
      <c r="I20" s="116"/>
    </row>
    <row r="22" spans="2:9" ht="16" x14ac:dyDescent="0.2">
      <c r="B22" s="57" t="s">
        <v>650</v>
      </c>
    </row>
    <row r="23" spans="2:9" x14ac:dyDescent="0.15">
      <c r="B23" s="126"/>
      <c r="D23" s="127"/>
      <c r="F23" s="127"/>
    </row>
    <row r="24" spans="2:9" ht="14" x14ac:dyDescent="0.15">
      <c r="B24" s="1"/>
      <c r="D24" s="122" t="str">
        <f>+CONCATENATE("Base year ","(",$D$13,")")</f>
        <v>Base year ()</v>
      </c>
      <c r="E24" s="123"/>
      <c r="F24" s="122" t="str">
        <f>+CONCATENATE("Target year ","(",$D$14,")")</f>
        <v>Target year ()</v>
      </c>
      <c r="G24" s="113"/>
      <c r="H24" s="466" t="s">
        <v>428</v>
      </c>
    </row>
    <row r="25" spans="2:9" ht="19.25" customHeight="1" thickBot="1" x14ac:dyDescent="0.2">
      <c r="B25" s="117" t="s">
        <v>442</v>
      </c>
      <c r="C25" s="490"/>
      <c r="D25" s="489" t="str">
        <f>IF(D17="","",D17/D15)</f>
        <v/>
      </c>
      <c r="E25" s="491"/>
      <c r="F25" s="489" t="str">
        <f>IF(D17="","",Calculations!D75)</f>
        <v/>
      </c>
      <c r="G25" s="492"/>
      <c r="H25" s="149" t="str">
        <f>IF(D25="","",(D25-F25)/D25)</f>
        <v/>
      </c>
    </row>
    <row r="26" spans="2:9" ht="14" thickTop="1" x14ac:dyDescent="0.15"/>
    <row r="27" spans="2:9" ht="16" x14ac:dyDescent="0.2">
      <c r="B27" s="116"/>
      <c r="C27" s="116"/>
      <c r="D27" s="116"/>
      <c r="E27" s="116"/>
      <c r="F27" s="116"/>
      <c r="G27" s="116"/>
      <c r="H27" s="116"/>
      <c r="I27" s="116"/>
    </row>
  </sheetData>
  <sheetProtection algorithmName="SHA-512" hashValue="bVG867h9lu+eoVO/p/GavlyG5shHT6cPAUTXQc1ldK2h7FE/FYyEu1+ivhxi2r7BCqU63Zm4lmJaXFBkEmjDVg==" saltValue="q0rRJKI5WW/mPfdV1MX1bQ==" spinCount="100000" sheet="1" selectLockedCells="1"/>
  <conditionalFormatting sqref="D18">
    <cfRule type="cellIs" dxfId="98" priority="31" operator="lessThan">
      <formula>100</formula>
    </cfRule>
    <cfRule type="cellIs" dxfId="97" priority="32" operator="lessThan">
      <formula>10</formula>
    </cfRule>
  </conditionalFormatting>
  <hyperlinks>
    <hyperlink ref="F6" r:id="rId1" xr:uid="{00000000-0004-0000-0400-000000000000}"/>
  </hyperlinks>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2" id="{95923C63-C72B-4C67-A2BD-2DDA57AA5B8C}">
            <xm:f>OR($D$12=Lists!$N$3,$D$12=Lists!$N$4, $D$12=Lists!$N$5, $D$12=Lists!$N$7)</xm:f>
            <x14:dxf>
              <font>
                <color theme="0" tint="-0.24994659260841701"/>
              </font>
              <fill>
                <patternFill patternType="solid">
                  <bgColor theme="0" tint="-0.24994659260841701"/>
                </patternFill>
              </fill>
            </x14:dxf>
          </x14:cfRule>
          <xm:sqref>B24:H25</xm:sqref>
        </x14:conditionalFormatting>
        <x14:conditionalFormatting xmlns:xm="http://schemas.microsoft.com/office/excel/2006/main">
          <x14:cfRule type="expression" priority="100" id="{5AA1E55B-0284-4871-8DDB-EA1755D9CC35}">
            <xm:f>$D$12=Lists!$N$3</xm:f>
            <x14:dxf>
              <font>
                <color theme="0" tint="-0.24994659260841701"/>
              </font>
              <fill>
                <patternFill>
                  <bgColor theme="0" tint="-0.24994659260841701"/>
                </patternFill>
              </fill>
            </x14:dxf>
          </x14:cfRule>
          <xm:sqref>D15:D16</xm:sqref>
        </x14:conditionalFormatting>
        <x14:conditionalFormatting xmlns:xm="http://schemas.microsoft.com/office/excel/2006/main">
          <x14:cfRule type="expression" priority="4" id="{32DB12E2-7D6A-4C93-883D-3131D44B1C10}">
            <xm:f>$D$12=Lists!$N$4</xm:f>
            <x14:dxf>
              <font>
                <color theme="0" tint="-0.24994659260841701"/>
              </font>
              <fill>
                <patternFill>
                  <bgColor theme="0" tint="-0.24994659260841701"/>
                </patternFill>
              </fill>
            </x14:dxf>
          </x14:cfRule>
          <xm:sqref>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prompt="Base and target years: Targets must cover a minimum of 5 years and a maximum of 10 years from the date the target is submitted to the SBTi for an official validation" xr:uid="{00000000-0002-0000-0400-000001000000}">
          <x14:formula1>
            <xm:f>Lists!$K$4:$K$11</xm:f>
          </x14:formula1>
          <xm:sqref>D14</xm:sqref>
        </x14:dataValidation>
        <x14:dataValidation type="list" allowBlank="1" showInputMessage="1" showErrorMessage="1" prompt="Base and target years: Targets must cover a minimum of 5 years and a maximum of 10 years from the date the target is submitted to the SBTi for an official validation" xr:uid="{00000000-0002-0000-0400-000002000000}">
          <x14:formula1>
            <xm:f>Lists!$J$3:$J$14</xm:f>
          </x14:formula1>
          <xm:sqref>D13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37653-1F37-4732-95A4-30FD4FA37F86}">
  <sheetPr codeName="Sheet10"/>
  <dimension ref="C2"/>
  <sheetViews>
    <sheetView showGridLines="0" showRowColHeaders="0" workbookViewId="0">
      <selection activeCell="AB39" sqref="AB39"/>
    </sheetView>
  </sheetViews>
  <sheetFormatPr baseColWidth="10" defaultColWidth="8.83203125" defaultRowHeight="13" x14ac:dyDescent="0.15"/>
  <cols>
    <col min="1" max="16384" width="8.83203125" style="108"/>
  </cols>
  <sheetData>
    <row r="2" spans="3:3" ht="23" x14ac:dyDescent="0.25">
      <c r="C2" s="606" t="s">
        <v>681</v>
      </c>
    </row>
  </sheetData>
  <sheetProtection algorithmName="SHA-512" hashValue="TOABfgy1SAXcYPkWUr9JkJqstiRCu8Hpba+vDIFoXRNVxOXE8yb8Ild6n+LwhSWI7MaKylwwdZ8Z0KMayOLNYw==" saltValue="qzeCxKtI9ndv6GemyC/4Ew=="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65D6-9FA2-481A-82DC-2A98D05F7923}">
  <sheetPr codeName="Sheet2"/>
  <dimension ref="C2"/>
  <sheetViews>
    <sheetView showGridLines="0" showRowColHeaders="0" workbookViewId="0">
      <selection activeCell="AC39" sqref="AC39"/>
    </sheetView>
  </sheetViews>
  <sheetFormatPr baseColWidth="10" defaultColWidth="8.83203125" defaultRowHeight="13" x14ac:dyDescent="0.15"/>
  <cols>
    <col min="1" max="16384" width="8.83203125" style="108"/>
  </cols>
  <sheetData>
    <row r="2" spans="3:3" ht="23" x14ac:dyDescent="0.25">
      <c r="C2" s="606" t="s">
        <v>686</v>
      </c>
    </row>
  </sheetData>
  <sheetProtection algorithmName="SHA-512" hashValue="Q1DhjGapwAFe3jHR5DycMWdo0OL2nmjie8Vfnp9BCmS/eD966KVQzkRwr9CGuKY3bDZM7Dfby3INbHTvL2DA4w==" saltValue="cG9YGrEIfxpXP6/sYncBE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tabColor theme="0" tint="-0.499984740745262"/>
  </sheetPr>
  <dimension ref="A1:CQ261"/>
  <sheetViews>
    <sheetView topLeftCell="A12" workbookViewId="0">
      <selection activeCell="I45" sqref="I45"/>
    </sheetView>
  </sheetViews>
  <sheetFormatPr baseColWidth="10" defaultColWidth="11.5" defaultRowHeight="13" x14ac:dyDescent="0.15"/>
  <cols>
    <col min="1" max="1" width="21.5" style="476" customWidth="1"/>
    <col min="2" max="2" width="14.5" style="476" bestFit="1" customWidth="1"/>
    <col min="3" max="4" width="13.5" style="476" customWidth="1"/>
    <col min="5" max="5" width="18.83203125" style="476" customWidth="1"/>
    <col min="6" max="6" width="11.5" style="476"/>
    <col min="7" max="7" width="46" style="3" customWidth="1"/>
    <col min="8" max="8" width="34.1640625" style="157" customWidth="1"/>
    <col min="9" max="55" width="19.5" style="3" customWidth="1"/>
    <col min="56" max="16384" width="11.5" style="3"/>
  </cols>
  <sheetData>
    <row r="1" spans="1:95" s="153" customFormat="1" ht="36" customHeight="1" x14ac:dyDescent="0.15">
      <c r="A1" s="463" t="s">
        <v>46</v>
      </c>
      <c r="B1" s="463" t="s">
        <v>13</v>
      </c>
      <c r="C1" s="463" t="s">
        <v>20</v>
      </c>
      <c r="D1" s="463" t="s">
        <v>14</v>
      </c>
      <c r="E1" s="463" t="s">
        <v>16</v>
      </c>
      <c r="F1" s="463" t="s">
        <v>15</v>
      </c>
      <c r="G1" s="153" t="s">
        <v>35</v>
      </c>
      <c r="H1" s="156" t="s">
        <v>21</v>
      </c>
      <c r="I1" s="153" t="s">
        <v>266</v>
      </c>
      <c r="J1" s="153" t="s">
        <v>267</v>
      </c>
      <c r="K1" s="153" t="s">
        <v>268</v>
      </c>
      <c r="L1" s="153" t="s">
        <v>269</v>
      </c>
      <c r="M1" s="153" t="s">
        <v>270</v>
      </c>
      <c r="N1" s="153" t="s">
        <v>271</v>
      </c>
      <c r="O1" s="153" t="s">
        <v>272</v>
      </c>
      <c r="P1" s="153" t="s">
        <v>273</v>
      </c>
      <c r="Q1" s="153" t="s">
        <v>274</v>
      </c>
      <c r="R1" s="153" t="s">
        <v>275</v>
      </c>
      <c r="S1" s="153" t="s">
        <v>276</v>
      </c>
      <c r="T1" s="153" t="s">
        <v>277</v>
      </c>
      <c r="U1" s="153" t="s">
        <v>278</v>
      </c>
      <c r="V1" s="153" t="s">
        <v>279</v>
      </c>
      <c r="W1" s="153" t="s">
        <v>280</v>
      </c>
      <c r="X1" s="153" t="s">
        <v>281</v>
      </c>
      <c r="Y1" s="153" t="s">
        <v>282</v>
      </c>
      <c r="Z1" s="153" t="s">
        <v>283</v>
      </c>
      <c r="AA1" s="153" t="s">
        <v>284</v>
      </c>
      <c r="AB1" s="153" t="s">
        <v>285</v>
      </c>
      <c r="AC1" s="153" t="s">
        <v>286</v>
      </c>
      <c r="AD1" s="153" t="s">
        <v>287</v>
      </c>
      <c r="AE1" s="153" t="s">
        <v>288</v>
      </c>
      <c r="AF1" s="153" t="s">
        <v>289</v>
      </c>
      <c r="AG1" s="153" t="s">
        <v>290</v>
      </c>
      <c r="AH1" s="153" t="s">
        <v>291</v>
      </c>
      <c r="AI1" s="153" t="s">
        <v>292</v>
      </c>
      <c r="AJ1" s="153" t="s">
        <v>293</v>
      </c>
      <c r="AK1" s="153" t="s">
        <v>294</v>
      </c>
      <c r="AL1" s="153" t="s">
        <v>295</v>
      </c>
      <c r="AM1" s="153" t="s">
        <v>296</v>
      </c>
      <c r="AN1" s="153" t="s">
        <v>297</v>
      </c>
      <c r="AO1" s="153" t="s">
        <v>298</v>
      </c>
      <c r="AP1" s="153" t="s">
        <v>299</v>
      </c>
      <c r="AQ1" s="153" t="s">
        <v>300</v>
      </c>
      <c r="AR1" s="153" t="s">
        <v>301</v>
      </c>
      <c r="AS1" s="153" t="s">
        <v>302</v>
      </c>
      <c r="AT1" s="153" t="s">
        <v>303</v>
      </c>
      <c r="AU1" s="153" t="s">
        <v>304</v>
      </c>
      <c r="AV1" s="153" t="s">
        <v>305</v>
      </c>
      <c r="AW1" s="153" t="s">
        <v>306</v>
      </c>
      <c r="AX1" s="153" t="s">
        <v>307</v>
      </c>
      <c r="AY1" s="153" t="s">
        <v>308</v>
      </c>
      <c r="AZ1" s="153" t="s">
        <v>309</v>
      </c>
      <c r="BA1" s="153" t="s">
        <v>310</v>
      </c>
      <c r="BB1" s="153" t="s">
        <v>311</v>
      </c>
      <c r="BC1" s="153" t="s">
        <v>312</v>
      </c>
      <c r="BD1" s="153">
        <v>2061</v>
      </c>
      <c r="BE1" s="153">
        <v>2062</v>
      </c>
      <c r="BF1" s="153">
        <v>2063</v>
      </c>
      <c r="BG1" s="153">
        <v>2064</v>
      </c>
      <c r="BH1" s="153">
        <v>2065</v>
      </c>
      <c r="BI1" s="153">
        <v>2066</v>
      </c>
      <c r="BJ1" s="153">
        <v>2067</v>
      </c>
      <c r="BK1" s="153">
        <v>2068</v>
      </c>
      <c r="BL1" s="153">
        <v>2069</v>
      </c>
      <c r="BM1" s="153">
        <v>2070</v>
      </c>
      <c r="BN1" s="153">
        <v>2071</v>
      </c>
      <c r="BO1" s="153">
        <v>2072</v>
      </c>
      <c r="BP1" s="153">
        <v>2073</v>
      </c>
      <c r="BQ1" s="153">
        <v>2074</v>
      </c>
      <c r="BR1" s="153">
        <v>2075</v>
      </c>
      <c r="BS1" s="153">
        <v>2076</v>
      </c>
      <c r="BT1" s="153">
        <v>2077</v>
      </c>
      <c r="BU1" s="153">
        <v>2078</v>
      </c>
      <c r="BV1" s="153">
        <v>2079</v>
      </c>
      <c r="BW1" s="153">
        <v>2080</v>
      </c>
      <c r="BX1" s="153">
        <v>2081</v>
      </c>
      <c r="BY1" s="153">
        <v>2082</v>
      </c>
      <c r="BZ1" s="153">
        <v>2083</v>
      </c>
      <c r="CA1" s="153">
        <v>2084</v>
      </c>
      <c r="CB1" s="153">
        <v>2085</v>
      </c>
      <c r="CC1" s="153">
        <v>2086</v>
      </c>
      <c r="CD1" s="153">
        <v>2087</v>
      </c>
      <c r="CE1" s="153">
        <v>2088</v>
      </c>
      <c r="CF1" s="153">
        <v>2089</v>
      </c>
      <c r="CG1" s="153">
        <v>2090</v>
      </c>
      <c r="CH1" s="153">
        <v>2091</v>
      </c>
      <c r="CI1" s="153">
        <v>2092</v>
      </c>
      <c r="CJ1" s="153">
        <v>2093</v>
      </c>
      <c r="CK1" s="153">
        <v>2094</v>
      </c>
      <c r="CL1" s="153">
        <v>2095</v>
      </c>
      <c r="CM1" s="153">
        <v>2096</v>
      </c>
      <c r="CN1" s="153">
        <v>2097</v>
      </c>
      <c r="CO1" s="153">
        <v>2098</v>
      </c>
      <c r="CP1" s="153">
        <v>2099</v>
      </c>
      <c r="CQ1" s="153">
        <v>2100</v>
      </c>
    </row>
    <row r="2" spans="1:95" ht="18.75" customHeight="1" x14ac:dyDescent="0.15">
      <c r="A2" s="476" t="str">
        <f>+DataArrange!A50</f>
        <v>SE</v>
      </c>
      <c r="B2" s="476" t="str">
        <f>+DataArrange!B50</f>
        <v>ETP B2DS</v>
      </c>
      <c r="C2" s="476" t="str">
        <f>+DataArrange!C50</f>
        <v>WORLD</v>
      </c>
      <c r="D2" s="476" t="str">
        <f>+DataArrange!D50</f>
        <v>World</v>
      </c>
      <c r="E2" s="476" t="str">
        <f>+DataArrange!E50</f>
        <v>Emissions</v>
      </c>
      <c r="F2" s="476" t="str">
        <f>+DataArrange!F50</f>
        <v>MtCO2</v>
      </c>
      <c r="G2" s="470" t="str">
        <f>+DataArrange!G50</f>
        <v>Direct CO2 emissions (MtCO2) [Model input]</v>
      </c>
      <c r="H2" s="157" t="str">
        <f>+DataArrange!H50</f>
        <v>Primary energy demand and industry</v>
      </c>
      <c r="I2" s="68">
        <f>+DataArrange!J50</f>
        <v>34253.904473515526</v>
      </c>
      <c r="J2" s="68">
        <f>+DataArrange!K50</f>
        <v>33608.678545070041</v>
      </c>
      <c r="K2" s="68">
        <f>+DataArrange!L50</f>
        <v>32963.452616624563</v>
      </c>
      <c r="L2" s="68">
        <f>+DataArrange!M50</f>
        <v>32318.226688179082</v>
      </c>
      <c r="M2" s="68">
        <f>+DataArrange!N50</f>
        <v>31673.000759733601</v>
      </c>
      <c r="N2" s="68">
        <f>+DataArrange!O50</f>
        <v>31027.774831288116</v>
      </c>
      <c r="O2" s="68">
        <f>+DataArrange!P50</f>
        <v>30382.548902842638</v>
      </c>
      <c r="P2" s="68">
        <f>+DataArrange!Q50</f>
        <v>29737.322974397153</v>
      </c>
      <c r="Q2" s="68">
        <f>+DataArrange!R50</f>
        <v>29092.097045951672</v>
      </c>
      <c r="R2" s="68">
        <f>+DataArrange!S50</f>
        <v>28446.871117506191</v>
      </c>
      <c r="S2" s="68">
        <f>+DataArrange!T50</f>
        <v>27801.64518906071</v>
      </c>
      <c r="T2" s="68">
        <f>+DataArrange!U50</f>
        <v>27156.419260615228</v>
      </c>
      <c r="U2" s="68">
        <f>+DataArrange!V50</f>
        <v>26138.734027377806</v>
      </c>
      <c r="V2" s="68">
        <f>+DataArrange!W50</f>
        <v>25121.048794140388</v>
      </c>
      <c r="W2" s="68">
        <f>+DataArrange!X50</f>
        <v>24103.363560902966</v>
      </c>
      <c r="X2" s="68">
        <f>+DataArrange!Y50</f>
        <v>23085.678327665548</v>
      </c>
      <c r="Y2" s="68">
        <f>+DataArrange!Z50</f>
        <v>22067.993094428126</v>
      </c>
      <c r="Z2" s="68">
        <f>+DataArrange!AA50</f>
        <v>21070.565197903044</v>
      </c>
      <c r="AA2" s="68">
        <f>+DataArrange!AB50</f>
        <v>20073.137301377963</v>
      </c>
      <c r="AB2" s="68">
        <f>+DataArrange!AC50</f>
        <v>19075.709404852882</v>
      </c>
      <c r="AC2" s="68">
        <f>+DataArrange!AD50</f>
        <v>18078.281508327796</v>
      </c>
      <c r="AD2" s="68">
        <f>+DataArrange!AE50</f>
        <v>17080.853611802715</v>
      </c>
      <c r="AE2" s="68">
        <f>+DataArrange!AF50</f>
        <v>16118.33370941369</v>
      </c>
      <c r="AF2" s="68">
        <f>+DataArrange!AG50</f>
        <v>15155.813807024664</v>
      </c>
      <c r="AG2" s="68">
        <f>+DataArrange!AH50</f>
        <v>14193.293904635641</v>
      </c>
      <c r="AH2" s="68">
        <f>+DataArrange!AI50</f>
        <v>13230.774002246615</v>
      </c>
      <c r="AI2" s="68">
        <f>+DataArrange!AJ50</f>
        <v>12268.25409985759</v>
      </c>
      <c r="AJ2" s="68">
        <f>+DataArrange!AK50</f>
        <v>11422.637197780421</v>
      </c>
      <c r="AK2" s="68">
        <f>+DataArrange!AL50</f>
        <v>10577.020295703252</v>
      </c>
      <c r="AL2" s="68">
        <f>+DataArrange!AM50</f>
        <v>9731.4033936260821</v>
      </c>
      <c r="AM2" s="68">
        <f>+DataArrange!AN50</f>
        <v>8885.7864915489135</v>
      </c>
      <c r="AN2" s="68">
        <f>+DataArrange!AO50</f>
        <v>8040.169589471745</v>
      </c>
      <c r="AO2" s="68">
        <f>+DataArrange!AP50</f>
        <v>7377.4060350251566</v>
      </c>
      <c r="AP2" s="68">
        <f>+DataArrange!AQ50</f>
        <v>6714.6424805785682</v>
      </c>
      <c r="AQ2" s="68">
        <f>+DataArrange!AR50</f>
        <v>6051.8789261319798</v>
      </c>
      <c r="AR2" s="68">
        <f>+DataArrange!AS50</f>
        <v>5389.1153716853914</v>
      </c>
      <c r="AS2" s="68">
        <f>+DataArrange!AT50</f>
        <v>4726.3518172388031</v>
      </c>
      <c r="AT2" s="68">
        <f>+DataArrange!AU50</f>
        <v>4139.7992052560685</v>
      </c>
      <c r="AU2" s="68">
        <f>+DataArrange!AV50</f>
        <v>3553.246593273333</v>
      </c>
      <c r="AV2" s="68">
        <f>+DataArrange!AW50</f>
        <v>2966.6939812905985</v>
      </c>
      <c r="AW2" s="68">
        <f>+DataArrange!AX50</f>
        <v>2380.1413693078634</v>
      </c>
      <c r="AX2" s="68">
        <f>+DataArrange!AY50</f>
        <v>1793.5887573251284</v>
      </c>
      <c r="AY2" s="68">
        <f>+DataArrange!AZ50</f>
        <v>1427.5530319554659</v>
      </c>
      <c r="AZ2" s="68">
        <f>+DataArrange!BA50</f>
        <v>1061.5173065858037</v>
      </c>
      <c r="BA2" s="68">
        <f>+DataArrange!BB50</f>
        <v>695.48158121614142</v>
      </c>
      <c r="BB2" s="68">
        <f>+DataArrange!BC50</f>
        <v>329.44585584647893</v>
      </c>
      <c r="BC2" s="68">
        <f>+DataArrange!BD50</f>
        <v>-36.589869523183552</v>
      </c>
      <c r="BD2" s="68"/>
      <c r="BE2" s="68"/>
      <c r="BF2" s="68"/>
      <c r="BG2" s="68"/>
      <c r="BH2" s="68"/>
      <c r="BI2" s="68"/>
      <c r="BJ2" s="68"/>
      <c r="BK2" s="68"/>
      <c r="BL2" s="68"/>
      <c r="BM2" s="68"/>
      <c r="BN2" s="68"/>
      <c r="BO2" s="68"/>
      <c r="BP2" s="68"/>
      <c r="BQ2" s="68"/>
    </row>
    <row r="3" spans="1:95" ht="18.75" customHeight="1" x14ac:dyDescent="0.15">
      <c r="A3" s="476" t="str">
        <f>+DataArrange!A51</f>
        <v>SE</v>
      </c>
      <c r="B3" s="476" t="str">
        <f>+DataArrange!B51</f>
        <v>ETP B2DS</v>
      </c>
      <c r="C3" s="476" t="str">
        <f>+DataArrange!C51</f>
        <v>WORLD</v>
      </c>
      <c r="D3" s="476" t="str">
        <f>+DataArrange!D51</f>
        <v>World</v>
      </c>
      <c r="E3" s="476" t="str">
        <f>+DataArrange!E51</f>
        <v>Emissions</v>
      </c>
      <c r="F3" s="476" t="str">
        <f>+DataArrange!F51</f>
        <v>MtCO2</v>
      </c>
      <c r="G3" s="470" t="str">
        <f>+DataArrange!G51</f>
        <v>Sub-sector CO2 emissions (MtCO2) Expanded list [Methods model input; Estimated]</v>
      </c>
      <c r="H3" s="157" t="str">
        <f>+DataArrange!H51</f>
        <v>Iron and steel</v>
      </c>
      <c r="I3" s="68">
        <f>+DataArrange!J51</f>
        <v>2338.4101620461929</v>
      </c>
      <c r="J3" s="68">
        <f>+DataArrange!K51</f>
        <v>2260.9591339869899</v>
      </c>
      <c r="K3" s="68">
        <f>+DataArrange!L51</f>
        <v>2183.5081059277863</v>
      </c>
      <c r="L3" s="68">
        <f>+DataArrange!M51</f>
        <v>2106.0570778685833</v>
      </c>
      <c r="M3" s="68">
        <f>+DataArrange!N51</f>
        <v>2028.6060498093798</v>
      </c>
      <c r="N3" s="68">
        <f>+DataArrange!O51</f>
        <v>1951.1550217501765</v>
      </c>
      <c r="O3" s="68">
        <f>+DataArrange!P51</f>
        <v>1873.7039936909732</v>
      </c>
      <c r="P3" s="68">
        <f>+DataArrange!Q51</f>
        <v>1796.2529656317702</v>
      </c>
      <c r="Q3" s="68">
        <f>+DataArrange!R51</f>
        <v>1718.8019375725667</v>
      </c>
      <c r="R3" s="68">
        <f>+DataArrange!S51</f>
        <v>1641.3509095133636</v>
      </c>
      <c r="S3" s="68">
        <f>+DataArrange!T51</f>
        <v>1563.8998814541601</v>
      </c>
      <c r="T3" s="68">
        <f>+DataArrange!U51</f>
        <v>1486.448853394957</v>
      </c>
      <c r="U3" s="68">
        <f>+DataArrange!V51</f>
        <v>1421.6008836916469</v>
      </c>
      <c r="V3" s="68">
        <f>+DataArrange!W51</f>
        <v>1356.7529139883368</v>
      </c>
      <c r="W3" s="68">
        <f>+DataArrange!X51</f>
        <v>1291.9049442850269</v>
      </c>
      <c r="X3" s="68">
        <f>+DataArrange!Y51</f>
        <v>1227.0569745817168</v>
      </c>
      <c r="Y3" s="68">
        <f>+DataArrange!Z51</f>
        <v>1162.2090048784066</v>
      </c>
      <c r="Z3" s="68">
        <f>+DataArrange!AA51</f>
        <v>1109.2452528783072</v>
      </c>
      <c r="AA3" s="68">
        <f>+DataArrange!AB51</f>
        <v>1056.2815008782079</v>
      </c>
      <c r="AB3" s="68">
        <f>+DataArrange!AC51</f>
        <v>1003.3177488781084</v>
      </c>
      <c r="AC3" s="68">
        <f>+DataArrange!AD51</f>
        <v>950.35399687800907</v>
      </c>
      <c r="AD3" s="68">
        <f>+DataArrange!AE51</f>
        <v>897.39024487790971</v>
      </c>
      <c r="AE3" s="68">
        <f>+DataArrange!AF51</f>
        <v>873.54658220491535</v>
      </c>
      <c r="AF3" s="68">
        <f>+DataArrange!AG51</f>
        <v>849.70291953192088</v>
      </c>
      <c r="AG3" s="68">
        <f>+DataArrange!AH51</f>
        <v>825.85925685892653</v>
      </c>
      <c r="AH3" s="68">
        <f>+DataArrange!AI51</f>
        <v>802.01559418593206</v>
      </c>
      <c r="AI3" s="68">
        <f>+DataArrange!AJ51</f>
        <v>778.1719315129377</v>
      </c>
      <c r="AJ3" s="68">
        <f>+DataArrange!AK51</f>
        <v>751.94756566882381</v>
      </c>
      <c r="AK3" s="68">
        <f>+DataArrange!AL51</f>
        <v>725.72319982470992</v>
      </c>
      <c r="AL3" s="68">
        <f>+DataArrange!AM51</f>
        <v>699.49883398059592</v>
      </c>
      <c r="AM3" s="68">
        <f>+DataArrange!AN51</f>
        <v>673.27446813648203</v>
      </c>
      <c r="AN3" s="68">
        <f>+DataArrange!AO51</f>
        <v>647.05010229236814</v>
      </c>
      <c r="AO3" s="68">
        <f>+DataArrange!AP51</f>
        <v>615.16200529191997</v>
      </c>
      <c r="AP3" s="68">
        <f>+DataArrange!AQ51</f>
        <v>583.27390829147168</v>
      </c>
      <c r="AQ3" s="68">
        <f>+DataArrange!AR51</f>
        <v>551.38581129102351</v>
      </c>
      <c r="AR3" s="68">
        <f>+DataArrange!AS51</f>
        <v>519.49771429057535</v>
      </c>
      <c r="AS3" s="68">
        <f>+DataArrange!AT51</f>
        <v>487.60961729012712</v>
      </c>
      <c r="AT3" s="68">
        <f>+DataArrange!AU51</f>
        <v>465.65219188481353</v>
      </c>
      <c r="AU3" s="68">
        <f>+DataArrange!AV51</f>
        <v>443.6947664795</v>
      </c>
      <c r="AV3" s="68">
        <f>+DataArrange!AW51</f>
        <v>421.73734107418642</v>
      </c>
      <c r="AW3" s="68">
        <f>+DataArrange!AX51</f>
        <v>399.77991566887283</v>
      </c>
      <c r="AX3" s="68">
        <f>+DataArrange!AY51</f>
        <v>377.8224902635593</v>
      </c>
      <c r="AY3" s="68">
        <f>+DataArrange!AZ51</f>
        <v>343.84321660009789</v>
      </c>
      <c r="AZ3" s="68">
        <f>+DataArrange!BA51</f>
        <v>309.86394293663648</v>
      </c>
      <c r="BA3" s="68">
        <f>+DataArrange!BB51</f>
        <v>275.88466927317512</v>
      </c>
      <c r="BB3" s="68">
        <f>+DataArrange!BC51</f>
        <v>241.90539560971371</v>
      </c>
      <c r="BC3" s="68">
        <f>+DataArrange!BD51</f>
        <v>207.92612194625229</v>
      </c>
      <c r="BD3" s="68"/>
      <c r="BE3" s="68"/>
      <c r="BF3" s="68"/>
      <c r="BG3" s="68"/>
      <c r="BH3" s="68"/>
      <c r="BI3" s="68"/>
      <c r="BJ3" s="68"/>
      <c r="BK3" s="68"/>
      <c r="BL3" s="68"/>
      <c r="BM3" s="68"/>
      <c r="BN3" s="68"/>
      <c r="BO3" s="68"/>
      <c r="BP3" s="68"/>
      <c r="BQ3" s="68"/>
    </row>
    <row r="4" spans="1:95" ht="18.75" customHeight="1" x14ac:dyDescent="0.15">
      <c r="A4" s="476" t="str">
        <f>+DataArrange!A52</f>
        <v>SE</v>
      </c>
      <c r="B4" s="476" t="str">
        <f>+DataArrange!B52</f>
        <v>ETP B2DS</v>
      </c>
      <c r="C4" s="476" t="str">
        <f>+DataArrange!C52</f>
        <v>WORLD</v>
      </c>
      <c r="D4" s="476" t="str">
        <f>+DataArrange!D52</f>
        <v>World</v>
      </c>
      <c r="E4" s="476" t="str">
        <f>+DataArrange!E52</f>
        <v>Emissions</v>
      </c>
      <c r="F4" s="476" t="str">
        <f>+DataArrange!F52</f>
        <v>MtCO2</v>
      </c>
      <c r="G4" s="470" t="str">
        <f>+DataArrange!G52</f>
        <v>Sub-sector CO2 emissions (MtCO2) Expanded list [Methods model input; Estimated]</v>
      </c>
      <c r="H4" s="157" t="str">
        <f>+DataArrange!H52</f>
        <v>Cement</v>
      </c>
      <c r="I4" s="68">
        <f>+DataArrange!J52</f>
        <v>2230.1009269397146</v>
      </c>
      <c r="J4" s="68">
        <f>+DataArrange!K52</f>
        <v>2220.6132080923426</v>
      </c>
      <c r="K4" s="68">
        <f>+DataArrange!L52</f>
        <v>2211.1254892449701</v>
      </c>
      <c r="L4" s="68">
        <f>+DataArrange!M52</f>
        <v>2201.6377703975982</v>
      </c>
      <c r="M4" s="68">
        <f>+DataArrange!N52</f>
        <v>2192.1500515502262</v>
      </c>
      <c r="N4" s="68">
        <f>+DataArrange!O52</f>
        <v>2182.6623327028542</v>
      </c>
      <c r="O4" s="68">
        <f>+DataArrange!P52</f>
        <v>2173.1746138554818</v>
      </c>
      <c r="P4" s="68">
        <f>+DataArrange!Q52</f>
        <v>2163.6868950081098</v>
      </c>
      <c r="Q4" s="68">
        <f>+DataArrange!R52</f>
        <v>2154.1991761607378</v>
      </c>
      <c r="R4" s="68">
        <f>+DataArrange!S52</f>
        <v>2144.7114573133658</v>
      </c>
      <c r="S4" s="68">
        <f>+DataArrange!T52</f>
        <v>2135.2237384659934</v>
      </c>
      <c r="T4" s="68">
        <f>+DataArrange!U52</f>
        <v>2125.7360196186214</v>
      </c>
      <c r="U4" s="68">
        <f>+DataArrange!V52</f>
        <v>2075.8851893534538</v>
      </c>
      <c r="V4" s="68">
        <f>+DataArrange!W52</f>
        <v>2026.0343590882858</v>
      </c>
      <c r="W4" s="68">
        <f>+DataArrange!X52</f>
        <v>1976.1835288231182</v>
      </c>
      <c r="X4" s="68">
        <f>+DataArrange!Y52</f>
        <v>1926.3326985579504</v>
      </c>
      <c r="Y4" s="68">
        <f>+DataArrange!Z52</f>
        <v>1876.4818682927826</v>
      </c>
      <c r="Z4" s="68">
        <f>+DataArrange!AA52</f>
        <v>1824.4157360666811</v>
      </c>
      <c r="AA4" s="68">
        <f>+DataArrange!AB52</f>
        <v>1772.3496038405799</v>
      </c>
      <c r="AB4" s="68">
        <f>+DataArrange!AC52</f>
        <v>1720.2834716144785</v>
      </c>
      <c r="AC4" s="68">
        <f>+DataArrange!AD52</f>
        <v>1668.2173393883772</v>
      </c>
      <c r="AD4" s="68">
        <f>+DataArrange!AE52</f>
        <v>1616.1512071622758</v>
      </c>
      <c r="AE4" s="68">
        <f>+DataArrange!AF52</f>
        <v>1561.5240993648815</v>
      </c>
      <c r="AF4" s="68">
        <f>+DataArrange!AG52</f>
        <v>1506.8969915674872</v>
      </c>
      <c r="AG4" s="68">
        <f>+DataArrange!AH52</f>
        <v>1452.2698837700932</v>
      </c>
      <c r="AH4" s="68">
        <f>+DataArrange!AI52</f>
        <v>1397.6427759726989</v>
      </c>
      <c r="AI4" s="68">
        <f>+DataArrange!AJ52</f>
        <v>1343.0156681753047</v>
      </c>
      <c r="AJ4" s="68">
        <f>+DataArrange!AK52</f>
        <v>1316.0531177178821</v>
      </c>
      <c r="AK4" s="68">
        <f>+DataArrange!AL52</f>
        <v>1289.0905672604595</v>
      </c>
      <c r="AL4" s="68">
        <f>+DataArrange!AM52</f>
        <v>1262.1280168030369</v>
      </c>
      <c r="AM4" s="68">
        <f>+DataArrange!AN52</f>
        <v>1235.1654663456143</v>
      </c>
      <c r="AN4" s="68">
        <f>+DataArrange!AO52</f>
        <v>1208.2029158881917</v>
      </c>
      <c r="AO4" s="68">
        <f>+DataArrange!AP52</f>
        <v>1139.6569172807356</v>
      </c>
      <c r="AP4" s="68">
        <f>+DataArrange!AQ52</f>
        <v>1071.1109186732795</v>
      </c>
      <c r="AQ4" s="68">
        <f>+DataArrange!AR52</f>
        <v>1002.5649200658232</v>
      </c>
      <c r="AR4" s="68">
        <f>+DataArrange!AS52</f>
        <v>934.01892145836712</v>
      </c>
      <c r="AS4" s="68">
        <f>+DataArrange!AT52</f>
        <v>865.472922850911</v>
      </c>
      <c r="AT4" s="68">
        <f>+DataArrange!AU52</f>
        <v>838.12862834463408</v>
      </c>
      <c r="AU4" s="68">
        <f>+DataArrange!AV52</f>
        <v>810.78433383835727</v>
      </c>
      <c r="AV4" s="68">
        <f>+DataArrange!AW52</f>
        <v>783.44003933208035</v>
      </c>
      <c r="AW4" s="68">
        <f>+DataArrange!AX52</f>
        <v>756.09574482580354</v>
      </c>
      <c r="AX4" s="68">
        <f>+DataArrange!AY52</f>
        <v>728.75145031952661</v>
      </c>
      <c r="AY4" s="68">
        <f>+DataArrange!AZ52</f>
        <v>680.06026256718258</v>
      </c>
      <c r="AZ4" s="68">
        <f>+DataArrange!BA52</f>
        <v>631.36907481483865</v>
      </c>
      <c r="BA4" s="68">
        <f>+DataArrange!BB52</f>
        <v>582.67788706249462</v>
      </c>
      <c r="BB4" s="68">
        <f>+DataArrange!BC52</f>
        <v>533.9866993101507</v>
      </c>
      <c r="BC4" s="68">
        <f>+DataArrange!BD52</f>
        <v>485.29551155780666</v>
      </c>
      <c r="BD4" s="68"/>
      <c r="BE4" s="68"/>
      <c r="BF4" s="68"/>
      <c r="BG4" s="68"/>
      <c r="BH4" s="68"/>
      <c r="BI4" s="68"/>
      <c r="BJ4" s="68"/>
      <c r="BK4" s="68"/>
      <c r="BL4" s="68"/>
      <c r="BM4" s="68"/>
      <c r="BN4" s="68"/>
      <c r="BO4" s="68"/>
      <c r="BP4" s="68"/>
      <c r="BQ4" s="68"/>
    </row>
    <row r="5" spans="1:95" ht="18.75" customHeight="1" x14ac:dyDescent="0.15">
      <c r="A5" s="476" t="str">
        <f>+DataArrange!A53</f>
        <v>SE</v>
      </c>
      <c r="B5" s="476" t="str">
        <f>+DataArrange!B53</f>
        <v>ETP B2DS</v>
      </c>
      <c r="C5" s="476" t="str">
        <f>+DataArrange!C53</f>
        <v>WORLD</v>
      </c>
      <c r="D5" s="476" t="str">
        <f>+DataArrange!D53</f>
        <v>World</v>
      </c>
      <c r="E5" s="476" t="str">
        <f>+DataArrange!E53</f>
        <v>Emissions</v>
      </c>
      <c r="F5" s="476" t="str">
        <f>+DataArrange!F53</f>
        <v>MtCO2</v>
      </c>
      <c r="G5" s="470" t="str">
        <f>+DataArrange!G53</f>
        <v>Sub-sector CO2 emissions (MtCO2) Expanded list [Methods model input; Estimated]</v>
      </c>
      <c r="H5" s="157" t="str">
        <f>+DataArrange!H53</f>
        <v>Aluminium</v>
      </c>
      <c r="I5" s="68">
        <f>+DataArrange!J53</f>
        <v>260.65242521456832</v>
      </c>
      <c r="J5" s="68">
        <f>+DataArrange!K53</f>
        <v>263.73960724579376</v>
      </c>
      <c r="K5" s="68">
        <f>+DataArrange!L53</f>
        <v>266.8267892770192</v>
      </c>
      <c r="L5" s="68">
        <f>+DataArrange!M53</f>
        <v>269.91397130824458</v>
      </c>
      <c r="M5" s="68">
        <f>+DataArrange!N53</f>
        <v>273.00115333947002</v>
      </c>
      <c r="N5" s="68">
        <f>+DataArrange!O53</f>
        <v>276.08833537069546</v>
      </c>
      <c r="O5" s="68">
        <f>+DataArrange!P53</f>
        <v>279.1755174019209</v>
      </c>
      <c r="P5" s="68">
        <f>+DataArrange!Q53</f>
        <v>282.26269943314634</v>
      </c>
      <c r="Q5" s="68">
        <f>+DataArrange!R53</f>
        <v>285.34988146437178</v>
      </c>
      <c r="R5" s="68">
        <f>+DataArrange!S53</f>
        <v>288.43706349559716</v>
      </c>
      <c r="S5" s="68">
        <f>+DataArrange!T53</f>
        <v>291.5242455268226</v>
      </c>
      <c r="T5" s="68">
        <f>+DataArrange!U53</f>
        <v>294.61142755804804</v>
      </c>
      <c r="U5" s="68">
        <f>+DataArrange!V53</f>
        <v>292.34388464172901</v>
      </c>
      <c r="V5" s="68">
        <f>+DataArrange!W53</f>
        <v>290.07634172540992</v>
      </c>
      <c r="W5" s="68">
        <f>+DataArrange!X53</f>
        <v>287.80879880909089</v>
      </c>
      <c r="X5" s="68">
        <f>+DataArrange!Y53</f>
        <v>285.5412558927718</v>
      </c>
      <c r="Y5" s="68">
        <f>+DataArrange!Z53</f>
        <v>283.27371297645277</v>
      </c>
      <c r="Z5" s="68">
        <f>+DataArrange!AA53</f>
        <v>280.00388895977392</v>
      </c>
      <c r="AA5" s="68">
        <f>+DataArrange!AB53</f>
        <v>276.73406494309501</v>
      </c>
      <c r="AB5" s="68">
        <f>+DataArrange!AC53</f>
        <v>273.46424092641615</v>
      </c>
      <c r="AC5" s="68">
        <f>+DataArrange!AD53</f>
        <v>270.19441690973724</v>
      </c>
      <c r="AD5" s="68">
        <f>+DataArrange!AE53</f>
        <v>266.92459289305839</v>
      </c>
      <c r="AE5" s="68">
        <f>+DataArrange!AF53</f>
        <v>260.77064880327123</v>
      </c>
      <c r="AF5" s="68">
        <f>+DataArrange!AG53</f>
        <v>254.61670471348413</v>
      </c>
      <c r="AG5" s="68">
        <f>+DataArrange!AH53</f>
        <v>248.46276062369697</v>
      </c>
      <c r="AH5" s="68">
        <f>+DataArrange!AI53</f>
        <v>242.30881653390983</v>
      </c>
      <c r="AI5" s="68">
        <f>+DataArrange!AJ53</f>
        <v>236.1548724441227</v>
      </c>
      <c r="AJ5" s="68">
        <f>+DataArrange!AK53</f>
        <v>229.900699765719</v>
      </c>
      <c r="AK5" s="68">
        <f>+DataArrange!AL53</f>
        <v>223.64652708731529</v>
      </c>
      <c r="AL5" s="68">
        <f>+DataArrange!AM53</f>
        <v>217.39235440891161</v>
      </c>
      <c r="AM5" s="68">
        <f>+DataArrange!AN53</f>
        <v>211.13818173050791</v>
      </c>
      <c r="AN5" s="68">
        <f>+DataArrange!AO53</f>
        <v>204.8840090521042</v>
      </c>
      <c r="AO5" s="68">
        <f>+DataArrange!AP53</f>
        <v>198.09947267058183</v>
      </c>
      <c r="AP5" s="68">
        <f>+DataArrange!AQ53</f>
        <v>191.31493628905946</v>
      </c>
      <c r="AQ5" s="68">
        <f>+DataArrange!AR53</f>
        <v>184.53039990753706</v>
      </c>
      <c r="AR5" s="68">
        <f>+DataArrange!AS53</f>
        <v>177.74586352601469</v>
      </c>
      <c r="AS5" s="68">
        <f>+DataArrange!AT53</f>
        <v>170.96132714449232</v>
      </c>
      <c r="AT5" s="68">
        <f>+DataArrange!AU53</f>
        <v>164.50172314536118</v>
      </c>
      <c r="AU5" s="68">
        <f>+DataArrange!AV53</f>
        <v>158.04211914623005</v>
      </c>
      <c r="AV5" s="68">
        <f>+DataArrange!AW53</f>
        <v>151.58251514709895</v>
      </c>
      <c r="AW5" s="68">
        <f>+DataArrange!AX53</f>
        <v>145.12291114796781</v>
      </c>
      <c r="AX5" s="68">
        <f>+DataArrange!AY53</f>
        <v>138.66330714883668</v>
      </c>
      <c r="AY5" s="68">
        <f>+DataArrange!AZ53</f>
        <v>136.0162768838297</v>
      </c>
      <c r="AZ5" s="68">
        <f>+DataArrange!BA53</f>
        <v>133.3692466188227</v>
      </c>
      <c r="BA5" s="68">
        <f>+DataArrange!BB53</f>
        <v>130.72221635381572</v>
      </c>
      <c r="BB5" s="68">
        <f>+DataArrange!BC53</f>
        <v>128.07518608880872</v>
      </c>
      <c r="BC5" s="68">
        <f>+DataArrange!BD53</f>
        <v>125.42815582380175</v>
      </c>
      <c r="BD5" s="68"/>
      <c r="BE5" s="68"/>
      <c r="BF5" s="68"/>
      <c r="BG5" s="68"/>
      <c r="BH5" s="68"/>
      <c r="BI5" s="68"/>
      <c r="BJ5" s="68"/>
      <c r="BK5" s="68"/>
      <c r="BL5" s="68"/>
      <c r="BM5" s="68"/>
      <c r="BN5" s="68"/>
      <c r="BO5" s="68"/>
      <c r="BP5" s="68"/>
      <c r="BQ5" s="68"/>
    </row>
    <row r="6" spans="1:95" ht="18.75" customHeight="1" x14ac:dyDescent="0.15">
      <c r="A6" s="476" t="str">
        <f>+DataArrange!A54</f>
        <v>SE</v>
      </c>
      <c r="B6" s="476" t="str">
        <f>+DataArrange!B54</f>
        <v>ETP B2DS</v>
      </c>
      <c r="C6" s="476" t="str">
        <f>+DataArrange!C54</f>
        <v>WORLD</v>
      </c>
      <c r="D6" s="476" t="str">
        <f>+DataArrange!D54</f>
        <v>World</v>
      </c>
      <c r="E6" s="476" t="str">
        <f>+DataArrange!E54</f>
        <v>Emissions</v>
      </c>
      <c r="F6" s="476" t="str">
        <f>+DataArrange!F54</f>
        <v>MtCO2</v>
      </c>
      <c r="G6" s="470" t="str">
        <f>+DataArrange!G54</f>
        <v>Sub-sector CO2 emissions (MtCO2) Expanded list [Methods model input; Estimated]</v>
      </c>
      <c r="H6" s="157" t="str">
        <f>+DataArrange!H54</f>
        <v>Pulp and paper</v>
      </c>
      <c r="I6" s="68">
        <f>+DataArrange!J54</f>
        <v>194.41575097860326</v>
      </c>
      <c r="J6" s="68">
        <f>+DataArrange!K54</f>
        <v>188.85072717685813</v>
      </c>
      <c r="K6" s="68">
        <f>+DataArrange!L54</f>
        <v>183.285703375113</v>
      </c>
      <c r="L6" s="68">
        <f>+DataArrange!M54</f>
        <v>177.72067957336787</v>
      </c>
      <c r="M6" s="68">
        <f>+DataArrange!N54</f>
        <v>172.15565577162275</v>
      </c>
      <c r="N6" s="68">
        <f>+DataArrange!O54</f>
        <v>166.59063196987762</v>
      </c>
      <c r="O6" s="68">
        <f>+DataArrange!P54</f>
        <v>161.02560816813252</v>
      </c>
      <c r="P6" s="68">
        <f>+DataArrange!Q54</f>
        <v>155.46058436638739</v>
      </c>
      <c r="Q6" s="68">
        <f>+DataArrange!R54</f>
        <v>149.89556056464227</v>
      </c>
      <c r="R6" s="68">
        <f>+DataArrange!S54</f>
        <v>144.33053676289714</v>
      </c>
      <c r="S6" s="68">
        <f>+DataArrange!T54</f>
        <v>138.76551296115201</v>
      </c>
      <c r="T6" s="68">
        <f>+DataArrange!U54</f>
        <v>133.20048915940689</v>
      </c>
      <c r="U6" s="68">
        <f>+DataArrange!V54</f>
        <v>131.09018064701942</v>
      </c>
      <c r="V6" s="68">
        <f>+DataArrange!W54</f>
        <v>128.97987213463196</v>
      </c>
      <c r="W6" s="68">
        <f>+DataArrange!X54</f>
        <v>126.86956362224448</v>
      </c>
      <c r="X6" s="68">
        <f>+DataArrange!Y54</f>
        <v>124.75925510985701</v>
      </c>
      <c r="Y6" s="68">
        <f>+DataArrange!Z54</f>
        <v>122.64894659746955</v>
      </c>
      <c r="Z6" s="68">
        <f>+DataArrange!AA54</f>
        <v>117.81778717154522</v>
      </c>
      <c r="AA6" s="68">
        <f>+DataArrange!AB54</f>
        <v>112.98662774562088</v>
      </c>
      <c r="AB6" s="68">
        <f>+DataArrange!AC54</f>
        <v>108.15546831969655</v>
      </c>
      <c r="AC6" s="68">
        <f>+DataArrange!AD54</f>
        <v>103.32430889377221</v>
      </c>
      <c r="AD6" s="68">
        <f>+DataArrange!AE54</f>
        <v>98.493149467847886</v>
      </c>
      <c r="AE6" s="68">
        <f>+DataArrange!AF54</f>
        <v>92.77768311558421</v>
      </c>
      <c r="AF6" s="68">
        <f>+DataArrange!AG54</f>
        <v>87.062216763320535</v>
      </c>
      <c r="AG6" s="68">
        <f>+DataArrange!AH54</f>
        <v>81.34675041105686</v>
      </c>
      <c r="AH6" s="68">
        <f>+DataArrange!AI54</f>
        <v>75.63128405879317</v>
      </c>
      <c r="AI6" s="68">
        <f>+DataArrange!AJ54</f>
        <v>69.915817706529495</v>
      </c>
      <c r="AJ6" s="68">
        <f>+DataArrange!AK54</f>
        <v>61.8793528921057</v>
      </c>
      <c r="AK6" s="68">
        <f>+DataArrange!AL54</f>
        <v>53.842888077681899</v>
      </c>
      <c r="AL6" s="68">
        <f>+DataArrange!AM54</f>
        <v>45.806423263258097</v>
      </c>
      <c r="AM6" s="68">
        <f>+DataArrange!AN54</f>
        <v>37.769958448834302</v>
      </c>
      <c r="AN6" s="68">
        <f>+DataArrange!AO54</f>
        <v>29.733493634410511</v>
      </c>
      <c r="AO6" s="68">
        <f>+DataArrange!AP54</f>
        <v>29.502946505755055</v>
      </c>
      <c r="AP6" s="68">
        <f>+DataArrange!AQ54</f>
        <v>29.272399377099603</v>
      </c>
      <c r="AQ6" s="68">
        <f>+DataArrange!AR54</f>
        <v>29.041852248444147</v>
      </c>
      <c r="AR6" s="68">
        <f>+DataArrange!AS54</f>
        <v>28.811305119788695</v>
      </c>
      <c r="AS6" s="68">
        <f>+DataArrange!AT54</f>
        <v>28.58075799113324</v>
      </c>
      <c r="AT6" s="68">
        <f>+DataArrange!AU54</f>
        <v>28.301337078374857</v>
      </c>
      <c r="AU6" s="68">
        <f>+DataArrange!AV54</f>
        <v>28.021916165616474</v>
      </c>
      <c r="AV6" s="68">
        <f>+DataArrange!AW54</f>
        <v>27.742495252858092</v>
      </c>
      <c r="AW6" s="68">
        <f>+DataArrange!AX54</f>
        <v>27.463074340099709</v>
      </c>
      <c r="AX6" s="68">
        <f>+DataArrange!AY54</f>
        <v>27.183653427341326</v>
      </c>
      <c r="AY6" s="68">
        <f>+DataArrange!AZ54</f>
        <v>26.295685969294027</v>
      </c>
      <c r="AZ6" s="68">
        <f>+DataArrange!BA54</f>
        <v>25.407718511246731</v>
      </c>
      <c r="BA6" s="68">
        <f>+DataArrange!BB54</f>
        <v>24.519751053199432</v>
      </c>
      <c r="BB6" s="68">
        <f>+DataArrange!BC54</f>
        <v>23.631783595152136</v>
      </c>
      <c r="BC6" s="68">
        <f>+DataArrange!BD54</f>
        <v>22.743816137104837</v>
      </c>
      <c r="BD6" s="68"/>
      <c r="BE6" s="68"/>
      <c r="BF6" s="68"/>
      <c r="BG6" s="68"/>
      <c r="BH6" s="68"/>
      <c r="BI6" s="68"/>
      <c r="BJ6" s="68"/>
      <c r="BK6" s="68"/>
      <c r="BL6" s="68"/>
      <c r="BM6" s="68"/>
      <c r="BN6" s="68"/>
      <c r="BO6" s="68"/>
      <c r="BP6" s="68"/>
      <c r="BQ6" s="68"/>
    </row>
    <row r="7" spans="1:95" ht="18.75" customHeight="1" x14ac:dyDescent="0.15">
      <c r="A7" s="476" t="str">
        <f>+DataArrange!A55</f>
        <v>SE</v>
      </c>
      <c r="B7" s="476" t="str">
        <f>+DataArrange!B55</f>
        <v>ETP B2DS</v>
      </c>
      <c r="C7" s="476" t="str">
        <f>+DataArrange!C55</f>
        <v>WORLD</v>
      </c>
      <c r="D7" s="476" t="str">
        <f>+DataArrange!D55</f>
        <v>World</v>
      </c>
      <c r="E7" s="476" t="str">
        <f>+DataArrange!E55</f>
        <v>Emissions</v>
      </c>
      <c r="F7" s="476" t="str">
        <f>+DataArrange!F55</f>
        <v>MtCO2</v>
      </c>
      <c r="G7" s="470" t="str">
        <f>+DataArrange!G55</f>
        <v>Sub-sector CO2 emissions (MtCO2) Expanded list [Methods model input; Estimated]</v>
      </c>
      <c r="H7" s="157" t="str">
        <f>+DataArrange!H55</f>
        <v>Other industry</v>
      </c>
      <c r="I7" s="68">
        <f>+DataArrange!J55</f>
        <v>2377.0997172539774</v>
      </c>
      <c r="J7" s="68">
        <f>+DataArrange!K55</f>
        <v>2326.3796283209927</v>
      </c>
      <c r="K7" s="68">
        <f>+DataArrange!L55</f>
        <v>2275.6595393880075</v>
      </c>
      <c r="L7" s="68">
        <f>+DataArrange!M55</f>
        <v>2224.9394504550228</v>
      </c>
      <c r="M7" s="68">
        <f>+DataArrange!N55</f>
        <v>2174.2193615220381</v>
      </c>
      <c r="N7" s="68">
        <f>+DataArrange!O55</f>
        <v>2123.4992725890534</v>
      </c>
      <c r="O7" s="68">
        <f>+DataArrange!P55</f>
        <v>2072.7791836560682</v>
      </c>
      <c r="P7" s="68">
        <f>+DataArrange!Q55</f>
        <v>2022.0590947230835</v>
      </c>
      <c r="Q7" s="68">
        <f>+DataArrange!R55</f>
        <v>1971.3390057900988</v>
      </c>
      <c r="R7" s="68">
        <f>+DataArrange!S55</f>
        <v>1920.6189168571138</v>
      </c>
      <c r="S7" s="68">
        <f>+DataArrange!T55</f>
        <v>1869.8988279241291</v>
      </c>
      <c r="T7" s="68">
        <f>+DataArrange!U55</f>
        <v>1819.1787389911442</v>
      </c>
      <c r="U7" s="68">
        <f>+DataArrange!V55</f>
        <v>1778.000396861031</v>
      </c>
      <c r="V7" s="68">
        <f>+DataArrange!W55</f>
        <v>1736.8220547309179</v>
      </c>
      <c r="W7" s="68">
        <f>+DataArrange!X55</f>
        <v>1695.6437126008045</v>
      </c>
      <c r="X7" s="68">
        <f>+DataArrange!Y55</f>
        <v>1654.4653704706914</v>
      </c>
      <c r="Y7" s="68">
        <f>+DataArrange!Z55</f>
        <v>1613.2870283405782</v>
      </c>
      <c r="Z7" s="68">
        <f>+DataArrange!AA55</f>
        <v>1595.5206098989186</v>
      </c>
      <c r="AA7" s="68">
        <f>+DataArrange!AB55</f>
        <v>1577.7541914572589</v>
      </c>
      <c r="AB7" s="68">
        <f>+DataArrange!AC55</f>
        <v>1559.987773015599</v>
      </c>
      <c r="AC7" s="68">
        <f>+DataArrange!AD55</f>
        <v>1542.2213545739394</v>
      </c>
      <c r="AD7" s="68">
        <f>+DataArrange!AE55</f>
        <v>1524.4549361322797</v>
      </c>
      <c r="AE7" s="68">
        <f>+DataArrange!AF55</f>
        <v>1508.9277510758957</v>
      </c>
      <c r="AF7" s="68">
        <f>+DataArrange!AG55</f>
        <v>1493.4005660195114</v>
      </c>
      <c r="AG7" s="68">
        <f>+DataArrange!AH55</f>
        <v>1477.8733809631274</v>
      </c>
      <c r="AH7" s="68">
        <f>+DataArrange!AI55</f>
        <v>1462.3461959067431</v>
      </c>
      <c r="AI7" s="68">
        <f>+DataArrange!AJ55</f>
        <v>1446.8190108503591</v>
      </c>
      <c r="AJ7" s="68">
        <f>+DataArrange!AK55</f>
        <v>1418.6827514133649</v>
      </c>
      <c r="AK7" s="68">
        <f>+DataArrange!AL55</f>
        <v>1390.5464919763708</v>
      </c>
      <c r="AL7" s="68">
        <f>+DataArrange!AM55</f>
        <v>1362.4102325393769</v>
      </c>
      <c r="AM7" s="68">
        <f>+DataArrange!AN55</f>
        <v>1334.2739731023828</v>
      </c>
      <c r="AN7" s="68">
        <f>+DataArrange!AO55</f>
        <v>1306.1377136653887</v>
      </c>
      <c r="AO7" s="68">
        <f>+DataArrange!AP55</f>
        <v>1281.5902506000116</v>
      </c>
      <c r="AP7" s="68">
        <f>+DataArrange!AQ55</f>
        <v>1257.0427875346347</v>
      </c>
      <c r="AQ7" s="68">
        <f>+DataArrange!AR55</f>
        <v>1232.4953244692576</v>
      </c>
      <c r="AR7" s="68">
        <f>+DataArrange!AS55</f>
        <v>1207.9478614038808</v>
      </c>
      <c r="AS7" s="68">
        <f>+DataArrange!AT55</f>
        <v>1183.4003983385037</v>
      </c>
      <c r="AT7" s="68">
        <f>+DataArrange!AU55</f>
        <v>1158.816118418079</v>
      </c>
      <c r="AU7" s="68">
        <f>+DataArrange!AV55</f>
        <v>1134.2318384976545</v>
      </c>
      <c r="AV7" s="68">
        <f>+DataArrange!AW55</f>
        <v>1109.6475585772298</v>
      </c>
      <c r="AW7" s="68">
        <f>+DataArrange!AX55</f>
        <v>1085.0632786568053</v>
      </c>
      <c r="AX7" s="68">
        <f>+DataArrange!AY55</f>
        <v>1060.4789987363806</v>
      </c>
      <c r="AY7" s="68">
        <f>+DataArrange!AZ55</f>
        <v>1037.1022219946838</v>
      </c>
      <c r="AZ7" s="68">
        <f>+DataArrange!BA55</f>
        <v>1013.7254452529868</v>
      </c>
      <c r="BA7" s="68">
        <f>+DataArrange!BB55</f>
        <v>990.34866851128993</v>
      </c>
      <c r="BB7" s="68">
        <f>+DataArrange!BC55</f>
        <v>966.97189176959296</v>
      </c>
      <c r="BC7" s="68">
        <f>+DataArrange!BD55</f>
        <v>943.5951150278961</v>
      </c>
      <c r="BD7" s="68"/>
      <c r="BE7" s="68"/>
      <c r="BF7" s="68"/>
      <c r="BG7" s="68"/>
      <c r="BH7" s="68"/>
      <c r="BI7" s="68"/>
      <c r="BJ7" s="68"/>
      <c r="BK7" s="68"/>
      <c r="BL7" s="68"/>
      <c r="BM7" s="68"/>
      <c r="BN7" s="68"/>
      <c r="BO7" s="68"/>
      <c r="BP7" s="68"/>
      <c r="BQ7" s="68"/>
    </row>
    <row r="8" spans="1:95" ht="18.75" customHeight="1" x14ac:dyDescent="0.15">
      <c r="A8" s="476" t="str">
        <f>+DataArrange!A56</f>
        <v>SE</v>
      </c>
      <c r="B8" s="476" t="str">
        <f>+DataArrange!B56</f>
        <v>ETP B2DS</v>
      </c>
      <c r="C8" s="476" t="str">
        <f>+DataArrange!C56</f>
        <v>WORLD</v>
      </c>
      <c r="D8" s="476" t="str">
        <f>+DataArrange!D56</f>
        <v>World</v>
      </c>
      <c r="E8" s="476" t="str">
        <f>+DataArrange!E56</f>
        <v>Emissions</v>
      </c>
      <c r="F8" s="476" t="s">
        <v>430</v>
      </c>
      <c r="G8" s="470" t="str">
        <f>+DataArrange!G56</f>
        <v>Sub-sector CO2 emissions (MtCO2) Expanded list [Methods model input; Estimated]</v>
      </c>
      <c r="H8" s="157" t="str">
        <f>+DataArrange!H56</f>
        <v>Services - Buildings</v>
      </c>
      <c r="I8" s="68">
        <f>+DataArrange!J56*1000</f>
        <v>918895.57394509739</v>
      </c>
      <c r="J8" s="68">
        <f>+DataArrange!K56*1000</f>
        <v>886549.90754770394</v>
      </c>
      <c r="K8" s="68">
        <f>+DataArrange!L56*1000</f>
        <v>854204.2411503105</v>
      </c>
      <c r="L8" s="68">
        <f>+DataArrange!M56*1000</f>
        <v>821858.57475291693</v>
      </c>
      <c r="M8" s="68">
        <f>+DataArrange!N56*1000</f>
        <v>789512.9083555236</v>
      </c>
      <c r="N8" s="68">
        <f>+DataArrange!O56*1000</f>
        <v>757167.24195813015</v>
      </c>
      <c r="O8" s="68">
        <f>+DataArrange!P56*1000</f>
        <v>724821.57556073659</v>
      </c>
      <c r="P8" s="68">
        <f>+DataArrange!Q56*1000</f>
        <v>692475.90916334325</v>
      </c>
      <c r="Q8" s="68">
        <f>+DataArrange!R56*1000</f>
        <v>660130.24276594981</v>
      </c>
      <c r="R8" s="68">
        <f>+DataArrange!S56*1000</f>
        <v>627784.57636855636</v>
      </c>
      <c r="S8" s="68">
        <f>+DataArrange!T56*1000</f>
        <v>595438.90997116291</v>
      </c>
      <c r="T8" s="68">
        <f>+DataArrange!U56*1000</f>
        <v>563093.24357376946</v>
      </c>
      <c r="U8" s="68">
        <f>+DataArrange!V56*1000</f>
        <v>527046.30383311224</v>
      </c>
      <c r="V8" s="68">
        <f>+DataArrange!W56*1000</f>
        <v>490999.3640924549</v>
      </c>
      <c r="W8" s="68">
        <f>+DataArrange!X56*1000</f>
        <v>454952.42435179767</v>
      </c>
      <c r="X8" s="68">
        <f>+DataArrange!Y56*1000</f>
        <v>418905.48461114045</v>
      </c>
      <c r="Y8" s="68">
        <f>+DataArrange!Z56*1000</f>
        <v>382858.54487048317</v>
      </c>
      <c r="Z8" s="68">
        <f>+DataArrange!AA56*1000</f>
        <v>370629.97133715474</v>
      </c>
      <c r="AA8" s="68">
        <f>+DataArrange!AB56*1000</f>
        <v>358401.39780382637</v>
      </c>
      <c r="AB8" s="68">
        <f>+DataArrange!AC56*1000</f>
        <v>346172.82427049801</v>
      </c>
      <c r="AC8" s="68">
        <f>+DataArrange!AD56*1000</f>
        <v>333944.25073716964</v>
      </c>
      <c r="AD8" s="68">
        <f>+DataArrange!AE56*1000</f>
        <v>321715.67720384122</v>
      </c>
      <c r="AE8" s="68">
        <f>+DataArrange!AF56*1000</f>
        <v>307860.16789740371</v>
      </c>
      <c r="AF8" s="68">
        <f>+DataArrange!AG56*1000</f>
        <v>294004.65859096625</v>
      </c>
      <c r="AG8" s="68">
        <f>+DataArrange!AH56*1000</f>
        <v>280149.1492845288</v>
      </c>
      <c r="AH8" s="68">
        <f>+DataArrange!AI56*1000</f>
        <v>266293.63997809129</v>
      </c>
      <c r="AI8" s="68">
        <f>+DataArrange!AJ56*1000</f>
        <v>252438.13067165381</v>
      </c>
      <c r="AJ8" s="68">
        <f>+DataArrange!AK56*1000</f>
        <v>240615.47942060573</v>
      </c>
      <c r="AK8" s="68">
        <f>+DataArrange!AL56*1000</f>
        <v>228792.82816955767</v>
      </c>
      <c r="AL8" s="68">
        <f>+DataArrange!AM56*1000</f>
        <v>216970.17691850962</v>
      </c>
      <c r="AM8" s="68">
        <f>+DataArrange!AN56*1000</f>
        <v>205147.52566746157</v>
      </c>
      <c r="AN8" s="68">
        <f>+DataArrange!AO56*1000</f>
        <v>193324.87441641351</v>
      </c>
      <c r="AO8" s="68">
        <f>+DataArrange!AP56*1000</f>
        <v>181033.13443273221</v>
      </c>
      <c r="AP8" s="68">
        <f>+DataArrange!AQ56*1000</f>
        <v>168741.39444905095</v>
      </c>
      <c r="AQ8" s="68">
        <f>+DataArrange!AR56*1000</f>
        <v>156449.65446536968</v>
      </c>
      <c r="AR8" s="68">
        <f>+DataArrange!AS56*1000</f>
        <v>144157.91448168841</v>
      </c>
      <c r="AS8" s="68">
        <f>+DataArrange!AT56*1000</f>
        <v>131866.17449800714</v>
      </c>
      <c r="AT8" s="68">
        <f>+DataArrange!AU56*1000</f>
        <v>128967.59549715216</v>
      </c>
      <c r="AU8" s="68">
        <f>+DataArrange!AV56*1000</f>
        <v>126069.01649629718</v>
      </c>
      <c r="AV8" s="68">
        <f>+DataArrange!AW56*1000</f>
        <v>123170.43749544219</v>
      </c>
      <c r="AW8" s="68">
        <f>+DataArrange!AX56*1000</f>
        <v>120271.85849458723</v>
      </c>
      <c r="AX8" s="68">
        <f>+DataArrange!AY56*1000</f>
        <v>117373.27949373226</v>
      </c>
      <c r="AY8" s="68">
        <f>+DataArrange!AZ56*1000</f>
        <v>114541.67868924956</v>
      </c>
      <c r="AZ8" s="68">
        <f>+DataArrange!BA56*1000</f>
        <v>111710.07788476687</v>
      </c>
      <c r="BA8" s="68">
        <f>+DataArrange!BB56*1000</f>
        <v>108878.47708028418</v>
      </c>
      <c r="BB8" s="68">
        <f>+DataArrange!BC56*1000</f>
        <v>106046.87627580149</v>
      </c>
      <c r="BC8" s="68">
        <f>+DataArrange!BD56*1000</f>
        <v>103215.2754713188</v>
      </c>
      <c r="BD8" s="68"/>
      <c r="BE8" s="68"/>
      <c r="BF8" s="68"/>
      <c r="BG8" s="68"/>
      <c r="BH8" s="68"/>
      <c r="BI8" s="68"/>
      <c r="BJ8" s="68"/>
      <c r="BK8" s="68"/>
      <c r="BL8" s="68"/>
      <c r="BM8" s="68"/>
      <c r="BN8" s="68"/>
      <c r="BO8" s="68"/>
      <c r="BP8" s="68"/>
      <c r="BQ8" s="68"/>
    </row>
    <row r="9" spans="1:95" ht="18.75" customHeight="1" x14ac:dyDescent="0.15">
      <c r="A9" s="476" t="str">
        <f>+DataArrange!A57</f>
        <v>SE</v>
      </c>
      <c r="B9" s="476" t="str">
        <f>+DataArrange!B57</f>
        <v>ETP B2DS</v>
      </c>
      <c r="C9" s="161" t="s">
        <v>22</v>
      </c>
      <c r="D9" s="476" t="str">
        <f>+DataArrange!D57</f>
        <v>World</v>
      </c>
      <c r="E9" s="476" t="str">
        <f>+DataArrange!E57</f>
        <v>Emissions</v>
      </c>
      <c r="F9" s="476" t="str">
        <f>+DataArrange!F57</f>
        <v>MtCO2</v>
      </c>
      <c r="G9" s="470" t="str">
        <f>+DataArrange!G57</f>
        <v>Power CO2 emissions (MtCO2) by region</v>
      </c>
      <c r="H9" s="158" t="s">
        <v>29</v>
      </c>
      <c r="I9" s="68">
        <f>+DataArrange!J57</f>
        <v>13625.004647</v>
      </c>
      <c r="J9" s="68">
        <f>+DataArrange!K57</f>
        <v>13238.134806684333</v>
      </c>
      <c r="K9" s="68">
        <f>+DataArrange!L57</f>
        <v>12851.264966368666</v>
      </c>
      <c r="L9" s="68">
        <f>+DataArrange!M57</f>
        <v>12464.395126052999</v>
      </c>
      <c r="M9" s="68">
        <f>+DataArrange!N57</f>
        <v>12077.525285737333</v>
      </c>
      <c r="N9" s="68">
        <f>+DataArrange!O57</f>
        <v>11690.655445421668</v>
      </c>
      <c r="O9" s="68">
        <f>+DataArrange!P57</f>
        <v>11303.785605106001</v>
      </c>
      <c r="P9" s="68">
        <f>+DataArrange!Q57</f>
        <v>10916.915764790334</v>
      </c>
      <c r="Q9" s="68">
        <f>+DataArrange!R57</f>
        <v>10530.045924474667</v>
      </c>
      <c r="R9" s="68">
        <f>+DataArrange!S57</f>
        <v>10143.176084159</v>
      </c>
      <c r="S9" s="68">
        <f>+DataArrange!T57</f>
        <v>9756.3062438433335</v>
      </c>
      <c r="T9" s="68">
        <f>+DataArrange!U57</f>
        <v>9369.4364035276667</v>
      </c>
      <c r="U9" s="68">
        <f>+DataArrange!V57</f>
        <v>8912.189007806759</v>
      </c>
      <c r="V9" s="68">
        <f>+DataArrange!W57</f>
        <v>8454.9416120858532</v>
      </c>
      <c r="W9" s="68">
        <f>+DataArrange!X57</f>
        <v>7997.6942163649455</v>
      </c>
      <c r="X9" s="68">
        <f>+DataArrange!Y57</f>
        <v>7540.4468206440379</v>
      </c>
      <c r="Y9" s="68">
        <f>+DataArrange!Z57</f>
        <v>7083.1994249231311</v>
      </c>
      <c r="Z9" s="68">
        <f>+DataArrange!AA57</f>
        <v>6618.2893447776987</v>
      </c>
      <c r="AA9" s="68">
        <f>+DataArrange!AB57</f>
        <v>6153.3792646322663</v>
      </c>
      <c r="AB9" s="68">
        <f>+DataArrange!AC57</f>
        <v>5688.4691844868339</v>
      </c>
      <c r="AC9" s="68">
        <f>+DataArrange!AD57</f>
        <v>5223.5591043414015</v>
      </c>
      <c r="AD9" s="68">
        <f>+DataArrange!AE57</f>
        <v>4758.6490241959691</v>
      </c>
      <c r="AE9" s="68">
        <f>+DataArrange!AF57</f>
        <v>4339.3000014150048</v>
      </c>
      <c r="AF9" s="68">
        <f>+DataArrange!AG57</f>
        <v>3919.95097863404</v>
      </c>
      <c r="AG9" s="68">
        <f>+DataArrange!AH57</f>
        <v>3500.6019558530757</v>
      </c>
      <c r="AH9" s="68">
        <f>+DataArrange!AI57</f>
        <v>3081.2529330721109</v>
      </c>
      <c r="AI9" s="68">
        <f>+DataArrange!AJ57</f>
        <v>2661.9039102911465</v>
      </c>
      <c r="AJ9" s="68">
        <f>+DataArrange!AK57</f>
        <v>2294.2550882392611</v>
      </c>
      <c r="AK9" s="68">
        <f>+DataArrange!AL57</f>
        <v>1926.6062661873755</v>
      </c>
      <c r="AL9" s="68">
        <f>+DataArrange!AM57</f>
        <v>1558.9574441354898</v>
      </c>
      <c r="AM9" s="68">
        <f>+DataArrange!AN57</f>
        <v>1191.3086220836044</v>
      </c>
      <c r="AN9" s="68">
        <f>+DataArrange!AO57</f>
        <v>823.65980003171899</v>
      </c>
      <c r="AO9" s="68">
        <f>+DataArrange!AP57</f>
        <v>587.79398715934417</v>
      </c>
      <c r="AP9" s="68">
        <f>+DataArrange!AQ57</f>
        <v>351.92817428696924</v>
      </c>
      <c r="AQ9" s="68">
        <f>+DataArrange!AR57</f>
        <v>116.06236141459431</v>
      </c>
      <c r="AR9" s="68">
        <f>+DataArrange!AS57</f>
        <v>-119.80345145778051</v>
      </c>
      <c r="AS9" s="68">
        <f>+DataArrange!AT57</f>
        <v>-355.66926433015539</v>
      </c>
      <c r="AT9" s="68">
        <f>+DataArrange!AU57</f>
        <v>-522.33960693418169</v>
      </c>
      <c r="AU9" s="68">
        <f>+DataArrange!AV57</f>
        <v>-689.00994953820805</v>
      </c>
      <c r="AV9" s="68">
        <f>+DataArrange!AW57</f>
        <v>-855.68029214223429</v>
      </c>
      <c r="AW9" s="68">
        <f>+DataArrange!AX57</f>
        <v>-1022.3506347462608</v>
      </c>
      <c r="AX9" s="68">
        <f>+DataArrange!AY57</f>
        <v>-1189.020977350287</v>
      </c>
      <c r="AY9" s="68">
        <f>+DataArrange!AZ57</f>
        <v>-1299.9840512081387</v>
      </c>
      <c r="AZ9" s="68">
        <f>+DataArrange!BA57</f>
        <v>-1410.9471250659906</v>
      </c>
      <c r="BA9" s="68">
        <f>+DataArrange!BB57</f>
        <v>-1521.9101989238422</v>
      </c>
      <c r="BB9" s="68">
        <f>+DataArrange!BC57</f>
        <v>-1632.8732727816941</v>
      </c>
      <c r="BC9" s="68">
        <f>+DataArrange!BD57</f>
        <v>-1743.8363466395458</v>
      </c>
      <c r="BD9" s="68"/>
      <c r="BE9" s="68"/>
      <c r="BF9" s="68"/>
      <c r="BG9" s="68"/>
      <c r="BH9" s="68"/>
      <c r="BI9" s="68"/>
      <c r="BJ9" s="68"/>
      <c r="BK9" s="68"/>
      <c r="BL9" s="68"/>
      <c r="BM9" s="68"/>
      <c r="BN9" s="68"/>
      <c r="BO9" s="68"/>
      <c r="BP9" s="68"/>
      <c r="BQ9" s="68"/>
    </row>
    <row r="10" spans="1:95" ht="18.75" customHeight="1" x14ac:dyDescent="0.15">
      <c r="A10" s="476" t="str">
        <f>+DataArrange!A58</f>
        <v>SE</v>
      </c>
      <c r="B10" s="161" t="s">
        <v>261</v>
      </c>
      <c r="C10" s="161" t="s">
        <v>22</v>
      </c>
      <c r="D10" s="161" t="s">
        <v>18</v>
      </c>
      <c r="E10" s="476" t="str">
        <f>+DataArrange!E58</f>
        <v>Emissions</v>
      </c>
      <c r="F10" s="476" t="str">
        <f>+DataArrange!F58</f>
        <v>MtCO2</v>
      </c>
      <c r="G10" s="470" t="str">
        <f>+DataArrange!G58</f>
        <v>Power CO2 emissions (MtCO2) by region</v>
      </c>
      <c r="H10" s="158" t="s">
        <v>29</v>
      </c>
      <c r="I10" s="68">
        <v>11598.617802815699</v>
      </c>
      <c r="J10" s="68">
        <v>11575.228586318601</v>
      </c>
      <c r="K10" s="68">
        <v>11551.8393698215</v>
      </c>
      <c r="L10" s="68">
        <v>11528.4501533245</v>
      </c>
      <c r="M10" s="68">
        <v>11505.0609368274</v>
      </c>
      <c r="N10" s="68">
        <v>11481.6717203304</v>
      </c>
      <c r="O10" s="68">
        <v>11458.282503833299</v>
      </c>
      <c r="P10" s="68">
        <v>10630.034323084799</v>
      </c>
      <c r="Q10" s="68">
        <v>9801.7861423362101</v>
      </c>
      <c r="R10" s="68">
        <v>8973.53796158767</v>
      </c>
      <c r="S10" s="68">
        <v>8145.2897808391199</v>
      </c>
      <c r="T10" s="68">
        <v>7317.0416000905798</v>
      </c>
      <c r="U10" s="68">
        <v>6488.7934193420397</v>
      </c>
      <c r="V10" s="68">
        <v>5660.5452385934896</v>
      </c>
      <c r="W10" s="68">
        <v>4832.2970578449504</v>
      </c>
      <c r="X10" s="68">
        <v>4004.0488770963998</v>
      </c>
      <c r="Y10" s="68">
        <v>3175.8006963478601</v>
      </c>
      <c r="Z10" s="68">
        <v>2931.8247253237701</v>
      </c>
      <c r="AA10" s="68">
        <v>2687.84875429968</v>
      </c>
      <c r="AB10" s="68">
        <v>2443.8727832755899</v>
      </c>
      <c r="AC10" s="68">
        <v>2199.8968122514998</v>
      </c>
      <c r="AD10" s="68">
        <v>1955.9208412274099</v>
      </c>
      <c r="AE10" s="68">
        <v>1711.9448702033201</v>
      </c>
      <c r="AF10" s="68">
        <v>1467.96889917923</v>
      </c>
      <c r="AG10" s="68">
        <v>1223.9929281551399</v>
      </c>
      <c r="AH10" s="68">
        <v>980.01695713105198</v>
      </c>
      <c r="AI10" s="68">
        <v>736.04098610696201</v>
      </c>
      <c r="AJ10" s="68">
        <v>664.81412252613302</v>
      </c>
      <c r="AK10" s="68">
        <v>593.58725894530403</v>
      </c>
      <c r="AL10" s="68">
        <v>522.36039536447504</v>
      </c>
      <c r="AM10" s="68">
        <v>451.13353178364503</v>
      </c>
      <c r="AN10" s="68">
        <v>379.90666820281598</v>
      </c>
      <c r="AO10" s="68">
        <v>308.67980462198699</v>
      </c>
      <c r="AP10" s="68">
        <v>237.452941041158</v>
      </c>
      <c r="AQ10" s="68">
        <v>166.22607746032901</v>
      </c>
      <c r="AR10" s="68">
        <v>94.999213879499706</v>
      </c>
      <c r="AS10" s="68">
        <v>23.772350298670499</v>
      </c>
      <c r="AT10" s="68">
        <v>21.6963694717472</v>
      </c>
      <c r="AU10" s="68">
        <v>19.620388644823901</v>
      </c>
      <c r="AV10" s="68">
        <v>17.544407817900598</v>
      </c>
      <c r="AW10" s="68">
        <v>15.468426990977401</v>
      </c>
      <c r="AX10" s="68">
        <v>13.3924461640541</v>
      </c>
      <c r="AY10" s="68">
        <v>11.316465337130801</v>
      </c>
      <c r="AZ10" s="68">
        <v>9.2404845102075104</v>
      </c>
      <c r="BA10" s="68">
        <v>7.1645036832842299</v>
      </c>
      <c r="BB10" s="68">
        <v>5.0885228563609397</v>
      </c>
      <c r="BC10" s="68">
        <v>3.0125420294376601</v>
      </c>
      <c r="BD10" s="68"/>
      <c r="BE10" s="68"/>
      <c r="BF10" s="68"/>
      <c r="BG10" s="68"/>
      <c r="BH10" s="68"/>
      <c r="BI10" s="68"/>
      <c r="BJ10" s="68"/>
      <c r="BK10" s="68"/>
      <c r="BL10" s="68"/>
      <c r="BM10" s="68"/>
      <c r="BN10" s="68"/>
      <c r="BO10" s="68"/>
      <c r="BP10" s="68"/>
      <c r="BQ10" s="68"/>
    </row>
    <row r="11" spans="1:95" ht="18.75" customHeight="1" x14ac:dyDescent="0.15">
      <c r="A11" s="476" t="str">
        <f>+DataArrange!A60</f>
        <v>SP</v>
      </c>
      <c r="B11" s="476" t="str">
        <f>+DataArrange!B60</f>
        <v>ETP B2DS</v>
      </c>
      <c r="C11" s="161" t="s">
        <v>22</v>
      </c>
      <c r="D11" s="476" t="str">
        <f>+DataArrange!D60</f>
        <v>World</v>
      </c>
      <c r="E11" s="476" t="str">
        <f>+DataArrange!E60</f>
        <v>Electricity</v>
      </c>
      <c r="F11" s="476" t="str">
        <f>+DataArrange!F60</f>
        <v>PJ</v>
      </c>
      <c r="G11" s="470" t="str">
        <f>+DataArrange!G60</f>
        <v>Sub-sector Electricity demand (PJ) Expanded list [Methods model input; Estimated]</v>
      </c>
      <c r="H11" s="157" t="str">
        <f>+DataArrange!H60</f>
        <v>Iron and steel</v>
      </c>
      <c r="I11" s="68">
        <f>+DataArrange!J60</f>
        <v>4282.8951823919997</v>
      </c>
      <c r="J11" s="68">
        <f>+DataArrange!K60</f>
        <v>4294.2995010243294</v>
      </c>
      <c r="K11" s="68">
        <f>+DataArrange!L60</f>
        <v>4305.7038196566582</v>
      </c>
      <c r="L11" s="68">
        <f>+DataArrange!M60</f>
        <v>4317.1081382889879</v>
      </c>
      <c r="M11" s="68">
        <f>+DataArrange!N60</f>
        <v>4328.5124569213176</v>
      </c>
      <c r="N11" s="68">
        <f>+DataArrange!O60</f>
        <v>4339.9167755536464</v>
      </c>
      <c r="O11" s="68">
        <f>+DataArrange!P60</f>
        <v>4351.3210941859761</v>
      </c>
      <c r="P11" s="68">
        <f>+DataArrange!Q60</f>
        <v>4362.7254128183049</v>
      </c>
      <c r="Q11" s="68">
        <f>+DataArrange!R60</f>
        <v>4374.1297314506346</v>
      </c>
      <c r="R11" s="68">
        <f>+DataArrange!S60</f>
        <v>4385.5340500829643</v>
      </c>
      <c r="S11" s="68">
        <f>+DataArrange!T60</f>
        <v>4396.9383687152931</v>
      </c>
      <c r="T11" s="68">
        <f>+DataArrange!U60</f>
        <v>4408.3426873476228</v>
      </c>
      <c r="U11" s="68">
        <f>+DataArrange!V60</f>
        <v>4445.8242855922053</v>
      </c>
      <c r="V11" s="68">
        <f>+DataArrange!W60</f>
        <v>4483.3058838367879</v>
      </c>
      <c r="W11" s="68">
        <f>+DataArrange!X60</f>
        <v>4520.7874820813695</v>
      </c>
      <c r="X11" s="68">
        <f>+DataArrange!Y60</f>
        <v>4558.269080325952</v>
      </c>
      <c r="Y11" s="68">
        <f>+DataArrange!Z60</f>
        <v>4595.7506785705345</v>
      </c>
      <c r="Z11" s="68">
        <f>+DataArrange!AA60</f>
        <v>4624.2171770610985</v>
      </c>
      <c r="AA11" s="68">
        <f>+DataArrange!AB60</f>
        <v>4652.6836755516624</v>
      </c>
      <c r="AB11" s="68">
        <f>+DataArrange!AC60</f>
        <v>4681.1501740422254</v>
      </c>
      <c r="AC11" s="68">
        <f>+DataArrange!AD60</f>
        <v>4709.6166725327894</v>
      </c>
      <c r="AD11" s="68">
        <f>+DataArrange!AE60</f>
        <v>4738.0831710233533</v>
      </c>
      <c r="AE11" s="68">
        <f>+DataArrange!AF60</f>
        <v>4794.7664190950136</v>
      </c>
      <c r="AF11" s="68">
        <f>+DataArrange!AG60</f>
        <v>4851.4496671666748</v>
      </c>
      <c r="AG11" s="68">
        <f>+DataArrange!AH60</f>
        <v>4908.132915238335</v>
      </c>
      <c r="AH11" s="68">
        <f>+DataArrange!AI60</f>
        <v>4964.8161633099962</v>
      </c>
      <c r="AI11" s="68">
        <f>+DataArrange!AJ60</f>
        <v>5021.4994113816565</v>
      </c>
      <c r="AJ11" s="68">
        <f>+DataArrange!AK60</f>
        <v>5054.524091713437</v>
      </c>
      <c r="AK11" s="68">
        <f>+DataArrange!AL60</f>
        <v>5087.5487720452184</v>
      </c>
      <c r="AL11" s="68">
        <f>+DataArrange!AM60</f>
        <v>5120.5734523769988</v>
      </c>
      <c r="AM11" s="68">
        <f>+DataArrange!AN60</f>
        <v>5153.5981327087802</v>
      </c>
      <c r="AN11" s="68">
        <f>+DataArrange!AO60</f>
        <v>5186.6228130405607</v>
      </c>
      <c r="AO11" s="68">
        <f>+DataArrange!AP60</f>
        <v>5224.5166254451015</v>
      </c>
      <c r="AP11" s="68">
        <f>+DataArrange!AQ60</f>
        <v>5262.4104378496431</v>
      </c>
      <c r="AQ11" s="68">
        <f>+DataArrange!AR60</f>
        <v>5300.3042502541839</v>
      </c>
      <c r="AR11" s="68">
        <f>+DataArrange!AS60</f>
        <v>5338.1980626587256</v>
      </c>
      <c r="AS11" s="68">
        <f>+DataArrange!AT60</f>
        <v>5376.0918750632663</v>
      </c>
      <c r="AT11" s="68">
        <f>+DataArrange!AU60</f>
        <v>5410.3908830864739</v>
      </c>
      <c r="AU11" s="68">
        <f>+DataArrange!AV60</f>
        <v>5444.6898911096805</v>
      </c>
      <c r="AV11" s="68">
        <f>+DataArrange!AW60</f>
        <v>5478.988899132888</v>
      </c>
      <c r="AW11" s="68">
        <f>+DataArrange!AX60</f>
        <v>5513.2879071560947</v>
      </c>
      <c r="AX11" s="68">
        <f>+DataArrange!AY60</f>
        <v>5547.5869151793022</v>
      </c>
      <c r="AY11" s="68">
        <f>+DataArrange!AZ60</f>
        <v>5592.2893605597956</v>
      </c>
      <c r="AZ11" s="68">
        <f>+DataArrange!BA60</f>
        <v>5636.991805940288</v>
      </c>
      <c r="BA11" s="68">
        <f>+DataArrange!BB60</f>
        <v>5681.6942513207814</v>
      </c>
      <c r="BB11" s="68">
        <f>+DataArrange!BC60</f>
        <v>5726.3966967012739</v>
      </c>
      <c r="BC11" s="68">
        <f>+DataArrange!BD60</f>
        <v>5771.0991420817672</v>
      </c>
      <c r="BD11" s="68"/>
      <c r="BE11" s="68"/>
      <c r="BF11" s="68"/>
      <c r="BG11" s="68"/>
      <c r="BH11" s="68"/>
      <c r="BI11" s="68"/>
      <c r="BJ11" s="68"/>
      <c r="BK11" s="68"/>
      <c r="BL11" s="68"/>
      <c r="BM11" s="68"/>
      <c r="BN11" s="68"/>
      <c r="BO11" s="68"/>
      <c r="BP11" s="68"/>
      <c r="BQ11" s="68"/>
    </row>
    <row r="12" spans="1:95" ht="18.75" customHeight="1" x14ac:dyDescent="0.15">
      <c r="A12" s="476" t="str">
        <f>+DataArrange!A61</f>
        <v>SP</v>
      </c>
      <c r="B12" s="161" t="s">
        <v>23</v>
      </c>
      <c r="C12" s="476" t="str">
        <f>+DataArrange!C60</f>
        <v>WORLD</v>
      </c>
      <c r="D12" s="476" t="str">
        <f>+DataArrange!D61</f>
        <v>World</v>
      </c>
      <c r="E12" s="476" t="str">
        <f>+DataArrange!E61</f>
        <v>Electricity</v>
      </c>
      <c r="F12" s="476" t="str">
        <f>+DataArrange!F61</f>
        <v>PJ</v>
      </c>
      <c r="G12" s="470" t="str">
        <f>+DataArrange!G61</f>
        <v>Sub-sector Electricity demand (PJ) Expanded list [Methods model input; Estimated]</v>
      </c>
      <c r="H12" s="157" t="str">
        <f>+DataArrange!H61</f>
        <v>Cement</v>
      </c>
      <c r="I12" s="68">
        <f>+DataArrange!J61</f>
        <v>1275.1759529988908</v>
      </c>
      <c r="J12" s="68">
        <f>+DataArrange!K61</f>
        <v>1296.5768334409663</v>
      </c>
      <c r="K12" s="68">
        <f>+DataArrange!L61</f>
        <v>1317.977713883042</v>
      </c>
      <c r="L12" s="68">
        <f>+DataArrange!M61</f>
        <v>1339.3785943251175</v>
      </c>
      <c r="M12" s="68">
        <f>+DataArrange!N61</f>
        <v>1360.7794747671933</v>
      </c>
      <c r="N12" s="68">
        <f>+DataArrange!O61</f>
        <v>1382.1803552092688</v>
      </c>
      <c r="O12" s="68">
        <f>+DataArrange!P61</f>
        <v>1403.5812356513445</v>
      </c>
      <c r="P12" s="68">
        <f>+DataArrange!Q61</f>
        <v>1424.98211609342</v>
      </c>
      <c r="Q12" s="68">
        <f>+DataArrange!R61</f>
        <v>1446.3829965354957</v>
      </c>
      <c r="R12" s="68">
        <f>+DataArrange!S61</f>
        <v>1467.7838769775713</v>
      </c>
      <c r="S12" s="68">
        <f>+DataArrange!T61</f>
        <v>1489.1847574196468</v>
      </c>
      <c r="T12" s="68">
        <f>+DataArrange!U61</f>
        <v>1510.5856378617225</v>
      </c>
      <c r="U12" s="68">
        <f>+DataArrange!V61</f>
        <v>1526.4604526751266</v>
      </c>
      <c r="V12" s="68">
        <f>+DataArrange!W61</f>
        <v>1542.3352674885307</v>
      </c>
      <c r="W12" s="68">
        <f>+DataArrange!X61</f>
        <v>1558.210082301935</v>
      </c>
      <c r="X12" s="68">
        <f>+DataArrange!Y61</f>
        <v>1574.0848971153391</v>
      </c>
      <c r="Y12" s="68">
        <f>+DataArrange!Z61</f>
        <v>1589.9597119287432</v>
      </c>
      <c r="Z12" s="68">
        <f>+DataArrange!AA61</f>
        <v>1605.7967562122838</v>
      </c>
      <c r="AA12" s="68">
        <f>+DataArrange!AB61</f>
        <v>1621.6338004958245</v>
      </c>
      <c r="AB12" s="68">
        <f>+DataArrange!AC61</f>
        <v>1637.4708447793651</v>
      </c>
      <c r="AC12" s="68">
        <f>+DataArrange!AD61</f>
        <v>1653.3078890629058</v>
      </c>
      <c r="AD12" s="68">
        <f>+DataArrange!AE61</f>
        <v>1669.1449333464464</v>
      </c>
      <c r="AE12" s="68">
        <f>+DataArrange!AF61</f>
        <v>1710.324201125685</v>
      </c>
      <c r="AF12" s="68">
        <f>+DataArrange!AG61</f>
        <v>1751.5034689049237</v>
      </c>
      <c r="AG12" s="68">
        <f>+DataArrange!AH61</f>
        <v>1792.6827366841621</v>
      </c>
      <c r="AH12" s="68">
        <f>+DataArrange!AI61</f>
        <v>1833.8620044634008</v>
      </c>
      <c r="AI12" s="68">
        <f>+DataArrange!AJ61</f>
        <v>1875.0412722426395</v>
      </c>
      <c r="AJ12" s="68">
        <f>+DataArrange!AK61</f>
        <v>1889.826192747664</v>
      </c>
      <c r="AK12" s="68">
        <f>+DataArrange!AL61</f>
        <v>1904.6111132526885</v>
      </c>
      <c r="AL12" s="68">
        <f>+DataArrange!AM61</f>
        <v>1919.3960337577128</v>
      </c>
      <c r="AM12" s="68">
        <f>+DataArrange!AN61</f>
        <v>1934.1809542627373</v>
      </c>
      <c r="AN12" s="68">
        <f>+DataArrange!AO61</f>
        <v>1948.9658747677618</v>
      </c>
      <c r="AO12" s="68">
        <f>+DataArrange!AP61</f>
        <v>1992.3466637597032</v>
      </c>
      <c r="AP12" s="68">
        <f>+DataArrange!AQ61</f>
        <v>2035.7274527516447</v>
      </c>
      <c r="AQ12" s="68">
        <f>+DataArrange!AR61</f>
        <v>2079.1082417435859</v>
      </c>
      <c r="AR12" s="68">
        <f>+DataArrange!AS61</f>
        <v>2122.4890307355276</v>
      </c>
      <c r="AS12" s="68">
        <f>+DataArrange!AT61</f>
        <v>2165.8698197274689</v>
      </c>
      <c r="AT12" s="68">
        <f>+DataArrange!AU61</f>
        <v>2198.0883239277973</v>
      </c>
      <c r="AU12" s="68">
        <f>+DataArrange!AV61</f>
        <v>2230.3068281281257</v>
      </c>
      <c r="AV12" s="68">
        <f>+DataArrange!AW61</f>
        <v>2262.5253323284542</v>
      </c>
      <c r="AW12" s="68">
        <f>+DataArrange!AX61</f>
        <v>2294.7438365287826</v>
      </c>
      <c r="AX12" s="68">
        <f>+DataArrange!AY61</f>
        <v>2326.962340729111</v>
      </c>
      <c r="AY12" s="68">
        <f>+DataArrange!AZ61</f>
        <v>2362.9974868332633</v>
      </c>
      <c r="AZ12" s="68">
        <f>+DataArrange!BA61</f>
        <v>2399.0326329374157</v>
      </c>
      <c r="BA12" s="68">
        <f>+DataArrange!BB61</f>
        <v>2435.0677790415684</v>
      </c>
      <c r="BB12" s="68">
        <f>+DataArrange!BC61</f>
        <v>2471.1029251457207</v>
      </c>
      <c r="BC12" s="68">
        <f>+DataArrange!BD61</f>
        <v>2507.1380712498731</v>
      </c>
      <c r="BD12" s="68"/>
      <c r="BE12" s="68"/>
      <c r="BF12" s="68"/>
      <c r="BG12" s="68"/>
      <c r="BH12" s="68"/>
      <c r="BI12" s="68"/>
      <c r="BJ12" s="68"/>
      <c r="BK12" s="68"/>
      <c r="BL12" s="68"/>
      <c r="BM12" s="68"/>
      <c r="BN12" s="68"/>
      <c r="BO12" s="68"/>
      <c r="BP12" s="68"/>
      <c r="BQ12" s="68"/>
    </row>
    <row r="13" spans="1:95" ht="18.75" customHeight="1" x14ac:dyDescent="0.15">
      <c r="A13" s="476" t="str">
        <f>+DataArrange!A62</f>
        <v>SP</v>
      </c>
      <c r="B13" s="476" t="str">
        <f>+DataArrange!B62</f>
        <v>ETP B2DS</v>
      </c>
      <c r="C13" s="476" t="str">
        <f>+DataArrange!C62</f>
        <v>WORLD</v>
      </c>
      <c r="D13" s="476" t="str">
        <f>+DataArrange!D62</f>
        <v>World</v>
      </c>
      <c r="E13" s="476" t="str">
        <f>+DataArrange!E62</f>
        <v>Electricity</v>
      </c>
      <c r="F13" s="476" t="str">
        <f>+DataArrange!F62</f>
        <v>PJ</v>
      </c>
      <c r="G13" s="470" t="str">
        <f>+DataArrange!G62</f>
        <v>Sub-sector Electricity demand (PJ) Expanded list [Methods model input; Estimated]</v>
      </c>
      <c r="H13" s="157" t="str">
        <f>+DataArrange!H62</f>
        <v>Aluminium</v>
      </c>
      <c r="I13" s="68">
        <f>+DataArrange!J62</f>
        <v>3336.9459492588026</v>
      </c>
      <c r="J13" s="68">
        <f>+DataArrange!K62</f>
        <v>3356.7284644831766</v>
      </c>
      <c r="K13" s="68">
        <f>+DataArrange!L62</f>
        <v>3376.5109797075511</v>
      </c>
      <c r="L13" s="68">
        <f>+DataArrange!M62</f>
        <v>3396.2934949319251</v>
      </c>
      <c r="M13" s="68">
        <f>+DataArrange!N62</f>
        <v>3416.0760101562996</v>
      </c>
      <c r="N13" s="68">
        <f>+DataArrange!O62</f>
        <v>3435.8585253806737</v>
      </c>
      <c r="O13" s="68">
        <f>+DataArrange!P62</f>
        <v>3455.6410406050481</v>
      </c>
      <c r="P13" s="68">
        <f>+DataArrange!Q62</f>
        <v>3475.4235558294222</v>
      </c>
      <c r="Q13" s="68">
        <f>+DataArrange!R62</f>
        <v>3495.2060710537967</v>
      </c>
      <c r="R13" s="68">
        <f>+DataArrange!S62</f>
        <v>3514.9885862781707</v>
      </c>
      <c r="S13" s="68">
        <f>+DataArrange!T62</f>
        <v>3534.7711015025452</v>
      </c>
      <c r="T13" s="68">
        <f>+DataArrange!U62</f>
        <v>3554.5536167269192</v>
      </c>
      <c r="U13" s="68">
        <f>+DataArrange!V62</f>
        <v>3554.5373750792655</v>
      </c>
      <c r="V13" s="68">
        <f>+DataArrange!W62</f>
        <v>3554.5211334316118</v>
      </c>
      <c r="W13" s="68">
        <f>+DataArrange!X62</f>
        <v>3554.5048917839586</v>
      </c>
      <c r="X13" s="68">
        <f>+DataArrange!Y62</f>
        <v>3554.4886501363048</v>
      </c>
      <c r="Y13" s="68">
        <f>+DataArrange!Z62</f>
        <v>3554.4724084886511</v>
      </c>
      <c r="Z13" s="68">
        <f>+DataArrange!AA62</f>
        <v>3537.5591244585198</v>
      </c>
      <c r="AA13" s="68">
        <f>+DataArrange!AB62</f>
        <v>3520.6458404283885</v>
      </c>
      <c r="AB13" s="68">
        <f>+DataArrange!AC62</f>
        <v>3503.7325563982567</v>
      </c>
      <c r="AC13" s="68">
        <f>+DataArrange!AD62</f>
        <v>3486.8192723681254</v>
      </c>
      <c r="AD13" s="68">
        <f>+DataArrange!AE62</f>
        <v>3469.9059883379941</v>
      </c>
      <c r="AE13" s="68">
        <f>+DataArrange!AF62</f>
        <v>3401.3090609193709</v>
      </c>
      <c r="AF13" s="68">
        <f>+DataArrange!AG62</f>
        <v>3332.7121335007478</v>
      </c>
      <c r="AG13" s="68">
        <f>+DataArrange!AH62</f>
        <v>3264.115206082125</v>
      </c>
      <c r="AH13" s="68">
        <f>+DataArrange!AI62</f>
        <v>3195.5182786635019</v>
      </c>
      <c r="AI13" s="68">
        <f>+DataArrange!AJ62</f>
        <v>3126.9213512448787</v>
      </c>
      <c r="AJ13" s="68">
        <f>+DataArrange!AK62</f>
        <v>3074.5875328002503</v>
      </c>
      <c r="AK13" s="68">
        <f>+DataArrange!AL62</f>
        <v>3022.2537143556219</v>
      </c>
      <c r="AL13" s="68">
        <f>+DataArrange!AM62</f>
        <v>2969.919895910994</v>
      </c>
      <c r="AM13" s="68">
        <f>+DataArrange!AN62</f>
        <v>2917.5860774663656</v>
      </c>
      <c r="AN13" s="68">
        <f>+DataArrange!AO62</f>
        <v>2865.2522590217372</v>
      </c>
      <c r="AO13" s="68">
        <f>+DataArrange!AP62</f>
        <v>2815.5627660865152</v>
      </c>
      <c r="AP13" s="68">
        <f>+DataArrange!AQ62</f>
        <v>2765.8732731512928</v>
      </c>
      <c r="AQ13" s="68">
        <f>+DataArrange!AR62</f>
        <v>2716.1837802160708</v>
      </c>
      <c r="AR13" s="68">
        <f>+DataArrange!AS62</f>
        <v>2666.4942872808483</v>
      </c>
      <c r="AS13" s="68">
        <f>+DataArrange!AT62</f>
        <v>2616.8047943456263</v>
      </c>
      <c r="AT13" s="68">
        <f>+DataArrange!AU62</f>
        <v>2584.3093817788804</v>
      </c>
      <c r="AU13" s="68">
        <f>+DataArrange!AV62</f>
        <v>2551.8139692121345</v>
      </c>
      <c r="AV13" s="68">
        <f>+DataArrange!AW62</f>
        <v>2519.3185566453881</v>
      </c>
      <c r="AW13" s="68">
        <f>+DataArrange!AX62</f>
        <v>2486.8231440786421</v>
      </c>
      <c r="AX13" s="68">
        <f>+DataArrange!AY62</f>
        <v>2454.3277315118962</v>
      </c>
      <c r="AY13" s="68">
        <f>+DataArrange!AZ62</f>
        <v>2427.499219842281</v>
      </c>
      <c r="AZ13" s="68">
        <f>+DataArrange!BA62</f>
        <v>2400.6707081726663</v>
      </c>
      <c r="BA13" s="68">
        <f>+DataArrange!BB62</f>
        <v>2373.8421965030511</v>
      </c>
      <c r="BB13" s="68">
        <f>+DataArrange!BC62</f>
        <v>2347.0136848334364</v>
      </c>
      <c r="BC13" s="68">
        <f>+DataArrange!BD62</f>
        <v>2320.1851731638212</v>
      </c>
      <c r="BD13" s="68"/>
      <c r="BE13" s="68"/>
      <c r="BF13" s="68"/>
      <c r="BG13" s="68"/>
      <c r="BH13" s="68"/>
      <c r="BI13" s="68"/>
      <c r="BJ13" s="68"/>
      <c r="BK13" s="68"/>
      <c r="BL13" s="68"/>
      <c r="BM13" s="68"/>
      <c r="BN13" s="68"/>
      <c r="BO13" s="68"/>
      <c r="BP13" s="68"/>
      <c r="BQ13" s="68"/>
    </row>
    <row r="14" spans="1:95" ht="18.75" customHeight="1" x14ac:dyDescent="0.15">
      <c r="A14" s="476" t="str">
        <f>+DataArrange!A63</f>
        <v>SP</v>
      </c>
      <c r="B14" s="476" t="str">
        <f>+DataArrange!B63</f>
        <v>ETP B2DS</v>
      </c>
      <c r="C14" s="476" t="str">
        <f>+DataArrange!C63</f>
        <v>WORLD</v>
      </c>
      <c r="D14" s="476" t="str">
        <f>+DataArrange!D63</f>
        <v>World</v>
      </c>
      <c r="E14" s="476" t="str">
        <f>+DataArrange!E63</f>
        <v>Electricity</v>
      </c>
      <c r="F14" s="476" t="str">
        <f>+DataArrange!F63</f>
        <v>PJ</v>
      </c>
      <c r="G14" s="470" t="str">
        <f>+DataArrange!G63</f>
        <v>Sub-sector Electricity demand (PJ) Expanded list [Methods model input; Estimated]</v>
      </c>
      <c r="H14" s="157" t="str">
        <f>+DataArrange!H63</f>
        <v>Pulp and paper</v>
      </c>
      <c r="I14" s="68">
        <f>+DataArrange!J63</f>
        <v>1025.6459611143143</v>
      </c>
      <c r="J14" s="68">
        <f>+DataArrange!K63</f>
        <v>1033.1384049963963</v>
      </c>
      <c r="K14" s="68">
        <f>+DataArrange!L63</f>
        <v>1040.6308488784784</v>
      </c>
      <c r="L14" s="68">
        <f>+DataArrange!M63</f>
        <v>1048.1232927605604</v>
      </c>
      <c r="M14" s="68">
        <f>+DataArrange!N63</f>
        <v>1055.6157366426423</v>
      </c>
      <c r="N14" s="68">
        <f>+DataArrange!O63</f>
        <v>1063.1081805247243</v>
      </c>
      <c r="O14" s="68">
        <f>+DataArrange!P63</f>
        <v>1070.6006244068064</v>
      </c>
      <c r="P14" s="68">
        <f>+DataArrange!Q63</f>
        <v>1078.0930682888884</v>
      </c>
      <c r="Q14" s="68">
        <f>+DataArrange!R63</f>
        <v>1085.5855121709703</v>
      </c>
      <c r="R14" s="68">
        <f>+DataArrange!S63</f>
        <v>1093.0779560530523</v>
      </c>
      <c r="S14" s="68">
        <f>+DataArrange!T63</f>
        <v>1100.5703999351344</v>
      </c>
      <c r="T14" s="68">
        <f>+DataArrange!U63</f>
        <v>1108.0628438172164</v>
      </c>
      <c r="U14" s="68">
        <f>+DataArrange!V63</f>
        <v>1113.9050253243067</v>
      </c>
      <c r="V14" s="68">
        <f>+DataArrange!W63</f>
        <v>1119.7472068313973</v>
      </c>
      <c r="W14" s="68">
        <f>+DataArrange!X63</f>
        <v>1125.5893883384877</v>
      </c>
      <c r="X14" s="68">
        <f>+DataArrange!Y63</f>
        <v>1131.4315698455782</v>
      </c>
      <c r="Y14" s="68">
        <f>+DataArrange!Z63</f>
        <v>1137.2737513526686</v>
      </c>
      <c r="Z14" s="68">
        <f>+DataArrange!AA63</f>
        <v>1140.3525981714861</v>
      </c>
      <c r="AA14" s="68">
        <f>+DataArrange!AB63</f>
        <v>1143.4314449903034</v>
      </c>
      <c r="AB14" s="68">
        <f>+DataArrange!AC63</f>
        <v>1146.5102918091209</v>
      </c>
      <c r="AC14" s="68">
        <f>+DataArrange!AD63</f>
        <v>1149.5891386279382</v>
      </c>
      <c r="AD14" s="68">
        <f>+DataArrange!AE63</f>
        <v>1152.6679854467557</v>
      </c>
      <c r="AE14" s="68">
        <f>+DataArrange!AF63</f>
        <v>1154.1724750336869</v>
      </c>
      <c r="AF14" s="68">
        <f>+DataArrange!AG63</f>
        <v>1155.676964620618</v>
      </c>
      <c r="AG14" s="68">
        <f>+DataArrange!AH63</f>
        <v>1157.1814542075495</v>
      </c>
      <c r="AH14" s="68">
        <f>+DataArrange!AI63</f>
        <v>1158.6859437944806</v>
      </c>
      <c r="AI14" s="68">
        <f>+DataArrange!AJ63</f>
        <v>1160.1904333814118</v>
      </c>
      <c r="AJ14" s="68">
        <f>+DataArrange!AK63</f>
        <v>1159.5946067488314</v>
      </c>
      <c r="AK14" s="68">
        <f>+DataArrange!AL63</f>
        <v>1158.9987801162511</v>
      </c>
      <c r="AL14" s="68">
        <f>+DataArrange!AM63</f>
        <v>1158.4029534836704</v>
      </c>
      <c r="AM14" s="68">
        <f>+DataArrange!AN63</f>
        <v>1157.8071268510901</v>
      </c>
      <c r="AN14" s="68">
        <f>+DataArrange!AO63</f>
        <v>1157.2113002185097</v>
      </c>
      <c r="AO14" s="68">
        <f>+DataArrange!AP63</f>
        <v>1155.1963711365033</v>
      </c>
      <c r="AP14" s="68">
        <f>+DataArrange!AQ63</f>
        <v>1153.181442054497</v>
      </c>
      <c r="AQ14" s="68">
        <f>+DataArrange!AR63</f>
        <v>1151.1665129724906</v>
      </c>
      <c r="AR14" s="68">
        <f>+DataArrange!AS63</f>
        <v>1149.1515838904843</v>
      </c>
      <c r="AS14" s="68">
        <f>+DataArrange!AT63</f>
        <v>1147.1366548084779</v>
      </c>
      <c r="AT14" s="68">
        <f>+DataArrange!AU63</f>
        <v>1154.4219144240237</v>
      </c>
      <c r="AU14" s="68">
        <f>+DataArrange!AV63</f>
        <v>1161.7071740395693</v>
      </c>
      <c r="AV14" s="68">
        <f>+DataArrange!AW63</f>
        <v>1168.9924336551151</v>
      </c>
      <c r="AW14" s="68">
        <f>+DataArrange!AX63</f>
        <v>1176.2776932706606</v>
      </c>
      <c r="AX14" s="68">
        <f>+DataArrange!AY63</f>
        <v>1183.5629528862064</v>
      </c>
      <c r="AY14" s="68">
        <f>+DataArrange!AZ63</f>
        <v>1190.4845858299916</v>
      </c>
      <c r="AZ14" s="68">
        <f>+DataArrange!BA63</f>
        <v>1197.4062187737768</v>
      </c>
      <c r="BA14" s="68">
        <f>+DataArrange!BB63</f>
        <v>1204.3278517175618</v>
      </c>
      <c r="BB14" s="68">
        <f>+DataArrange!BC63</f>
        <v>1211.249484661347</v>
      </c>
      <c r="BC14" s="68">
        <f>+DataArrange!BD63</f>
        <v>1218.1711176051322</v>
      </c>
      <c r="BD14" s="68"/>
      <c r="BE14" s="68"/>
      <c r="BF14" s="68"/>
      <c r="BG14" s="68"/>
      <c r="BH14" s="68"/>
      <c r="BI14" s="68"/>
      <c r="BJ14" s="68"/>
      <c r="BK14" s="68"/>
      <c r="BL14" s="68"/>
      <c r="BM14" s="68"/>
      <c r="BN14" s="68"/>
      <c r="BO14" s="68"/>
      <c r="BP14" s="68"/>
      <c r="BQ14" s="68"/>
    </row>
    <row r="15" spans="1:95" ht="18.75" customHeight="1" x14ac:dyDescent="0.15">
      <c r="A15" s="476" t="str">
        <f>+DataArrange!A64</f>
        <v>SP</v>
      </c>
      <c r="B15" s="476" t="str">
        <f>+DataArrange!B64</f>
        <v>ETP B2DS</v>
      </c>
      <c r="C15" s="476" t="str">
        <f>+DataArrange!C64</f>
        <v>WORLD</v>
      </c>
      <c r="D15" s="476" t="str">
        <f>+DataArrange!D64</f>
        <v>World</v>
      </c>
      <c r="E15" s="476" t="str">
        <f>+DataArrange!E64</f>
        <v>Electricity</v>
      </c>
      <c r="F15" s="476" t="str">
        <f>+DataArrange!F64</f>
        <v>PJ</v>
      </c>
      <c r="G15" s="470" t="str">
        <f>+DataArrange!G64</f>
        <v>Sub-sector Electricity demand (PJ) Expanded list [Methods model input; Estimated]</v>
      </c>
      <c r="H15" s="157" t="str">
        <f>+DataArrange!H64</f>
        <v>Other industry</v>
      </c>
      <c r="I15" s="68">
        <f>+DataArrange!J64</f>
        <v>15992.994142770574</v>
      </c>
      <c r="J15" s="68">
        <f>+DataArrange!K64</f>
        <v>16029.229645895906</v>
      </c>
      <c r="K15" s="68">
        <f>+DataArrange!L64</f>
        <v>16065.465149021238</v>
      </c>
      <c r="L15" s="68">
        <f>+DataArrange!M64</f>
        <v>16101.700652146568</v>
      </c>
      <c r="M15" s="68">
        <f>+DataArrange!N64</f>
        <v>16137.9361552719</v>
      </c>
      <c r="N15" s="68">
        <f>+DataArrange!O64</f>
        <v>16174.171658397232</v>
      </c>
      <c r="O15" s="68">
        <f>+DataArrange!P64</f>
        <v>16210.407161522564</v>
      </c>
      <c r="P15" s="68">
        <f>+DataArrange!Q64</f>
        <v>16246.642664647896</v>
      </c>
      <c r="Q15" s="68">
        <f>+DataArrange!R64</f>
        <v>16282.878167773228</v>
      </c>
      <c r="R15" s="68">
        <f>+DataArrange!S64</f>
        <v>16319.113670898558</v>
      </c>
      <c r="S15" s="68">
        <f>+DataArrange!T64</f>
        <v>16355.34917402389</v>
      </c>
      <c r="T15" s="68">
        <f>+DataArrange!U64</f>
        <v>16391.584677149222</v>
      </c>
      <c r="U15" s="68">
        <f>+DataArrange!V64</f>
        <v>16471.142438645595</v>
      </c>
      <c r="V15" s="68">
        <f>+DataArrange!W64</f>
        <v>16550.700200141964</v>
      </c>
      <c r="W15" s="68">
        <f>+DataArrange!X64</f>
        <v>16630.257961638337</v>
      </c>
      <c r="X15" s="68">
        <f>+DataArrange!Y64</f>
        <v>16709.815723134707</v>
      </c>
      <c r="Y15" s="68">
        <f>+DataArrange!Z64</f>
        <v>16789.37348463108</v>
      </c>
      <c r="Z15" s="68">
        <f>+DataArrange!AA64</f>
        <v>17032.475560112551</v>
      </c>
      <c r="AA15" s="68">
        <f>+DataArrange!AB64</f>
        <v>17275.577635594022</v>
      </c>
      <c r="AB15" s="68">
        <f>+DataArrange!AC64</f>
        <v>17518.679711075492</v>
      </c>
      <c r="AC15" s="68">
        <f>+DataArrange!AD64</f>
        <v>17761.781786556963</v>
      </c>
      <c r="AD15" s="68">
        <f>+DataArrange!AE64</f>
        <v>18004.883862038434</v>
      </c>
      <c r="AE15" s="68">
        <f>+DataArrange!AF64</f>
        <v>18311.344666324519</v>
      </c>
      <c r="AF15" s="68">
        <f>+DataArrange!AG64</f>
        <v>18617.805470610605</v>
      </c>
      <c r="AG15" s="68">
        <f>+DataArrange!AH64</f>
        <v>18924.26627489669</v>
      </c>
      <c r="AH15" s="68">
        <f>+DataArrange!AI64</f>
        <v>19230.727079182776</v>
      </c>
      <c r="AI15" s="68">
        <f>+DataArrange!AJ64</f>
        <v>19537.187883468861</v>
      </c>
      <c r="AJ15" s="68">
        <f>+DataArrange!AK64</f>
        <v>19727.299693253004</v>
      </c>
      <c r="AK15" s="68">
        <f>+DataArrange!AL64</f>
        <v>19917.411503037147</v>
      </c>
      <c r="AL15" s="68">
        <f>+DataArrange!AM64</f>
        <v>20107.523312821293</v>
      </c>
      <c r="AM15" s="68">
        <f>+DataArrange!AN64</f>
        <v>20297.635122605436</v>
      </c>
      <c r="AN15" s="68">
        <f>+DataArrange!AO64</f>
        <v>20487.746932389578</v>
      </c>
      <c r="AO15" s="68">
        <f>+DataArrange!AP64</f>
        <v>20774.815406762391</v>
      </c>
      <c r="AP15" s="68">
        <f>+DataArrange!AQ64</f>
        <v>21061.883881135207</v>
      </c>
      <c r="AQ15" s="68">
        <f>+DataArrange!AR64</f>
        <v>21348.95235550802</v>
      </c>
      <c r="AR15" s="68">
        <f>+DataArrange!AS64</f>
        <v>21636.020829880836</v>
      </c>
      <c r="AS15" s="68">
        <f>+DataArrange!AT64</f>
        <v>21923.089304253648</v>
      </c>
      <c r="AT15" s="68">
        <f>+DataArrange!AU64</f>
        <v>22252.437790054428</v>
      </c>
      <c r="AU15" s="68">
        <f>+DataArrange!AV64</f>
        <v>22581.786275855207</v>
      </c>
      <c r="AV15" s="68">
        <f>+DataArrange!AW64</f>
        <v>22911.134761655991</v>
      </c>
      <c r="AW15" s="68">
        <f>+DataArrange!AX64</f>
        <v>23240.48324745677</v>
      </c>
      <c r="AX15" s="68">
        <f>+DataArrange!AY64</f>
        <v>23569.83173325755</v>
      </c>
      <c r="AY15" s="68">
        <f>+DataArrange!AZ64</f>
        <v>23953.048723590829</v>
      </c>
      <c r="AZ15" s="68">
        <f>+DataArrange!BA64</f>
        <v>24336.265713924106</v>
      </c>
      <c r="BA15" s="68">
        <f>+DataArrange!BB64</f>
        <v>24719.482704257385</v>
      </c>
      <c r="BB15" s="68">
        <f>+DataArrange!BC64</f>
        <v>25102.699694590661</v>
      </c>
      <c r="BC15" s="68">
        <f>+DataArrange!BD64</f>
        <v>25485.916684923941</v>
      </c>
      <c r="BD15" s="68"/>
      <c r="BE15" s="68"/>
      <c r="BF15" s="68"/>
      <c r="BG15" s="68"/>
      <c r="BH15" s="68"/>
      <c r="BI15" s="68"/>
      <c r="BJ15" s="68"/>
      <c r="BK15" s="68"/>
      <c r="BL15" s="68"/>
      <c r="BM15" s="68"/>
      <c r="BN15" s="68"/>
      <c r="BO15" s="68"/>
      <c r="BP15" s="68"/>
      <c r="BQ15" s="68"/>
    </row>
    <row r="16" spans="1:95" s="113" customFormat="1" ht="21.75" customHeight="1" x14ac:dyDescent="0.15">
      <c r="A16" s="477" t="str">
        <f>+DataArrange!A65</f>
        <v>SP</v>
      </c>
      <c r="B16" s="477" t="str">
        <f>+DataArrange!B65</f>
        <v>ETP B2DS</v>
      </c>
      <c r="C16" s="477" t="str">
        <f>+DataArrange!C65</f>
        <v>WORLD</v>
      </c>
      <c r="D16" s="477" t="str">
        <f>+DataArrange!D65</f>
        <v>World</v>
      </c>
      <c r="E16" s="477" t="str">
        <f>+DataArrange!E65</f>
        <v>Electricity</v>
      </c>
      <c r="F16" s="477" t="str">
        <f>+DataArrange!F65</f>
        <v>PJ</v>
      </c>
      <c r="G16" s="471" t="str">
        <f>+DataArrange!G65</f>
        <v>Sub-sector Electricity demand (PJ) Expanded list [Methods model input; Estimated]</v>
      </c>
      <c r="H16" s="472" t="str">
        <f>+DataArrange!H65</f>
        <v>Services - Buildings</v>
      </c>
      <c r="I16" s="473">
        <f>+DataArrange!J65</f>
        <v>17800.654137950361</v>
      </c>
      <c r="J16" s="473">
        <f>+DataArrange!K65</f>
        <v>17999.20213962506</v>
      </c>
      <c r="K16" s="473">
        <f>+DataArrange!L65</f>
        <v>18197.750141299759</v>
      </c>
      <c r="L16" s="473">
        <f>+DataArrange!M65</f>
        <v>18396.298142974461</v>
      </c>
      <c r="M16" s="473">
        <f>+DataArrange!N65</f>
        <v>18594.84614464916</v>
      </c>
      <c r="N16" s="473">
        <f>+DataArrange!O65</f>
        <v>18793.394146323859</v>
      </c>
      <c r="O16" s="473">
        <f>+DataArrange!P65</f>
        <v>18991.942147998558</v>
      </c>
      <c r="P16" s="473">
        <f>+DataArrange!Q65</f>
        <v>19190.490149673256</v>
      </c>
      <c r="Q16" s="473">
        <f>+DataArrange!R65</f>
        <v>19389.038151347955</v>
      </c>
      <c r="R16" s="473">
        <f>+DataArrange!S65</f>
        <v>19587.586153022658</v>
      </c>
      <c r="S16" s="473">
        <f>+DataArrange!T65</f>
        <v>19786.134154697356</v>
      </c>
      <c r="T16" s="473">
        <f>+DataArrange!U65</f>
        <v>19984.682156372055</v>
      </c>
      <c r="U16" s="473">
        <f>+DataArrange!V65</f>
        <v>20110.457243772013</v>
      </c>
      <c r="V16" s="473">
        <f>+DataArrange!W65</f>
        <v>20236.23233117197</v>
      </c>
      <c r="W16" s="473">
        <f>+DataArrange!X65</f>
        <v>20362.007418571928</v>
      </c>
      <c r="X16" s="473">
        <f>+DataArrange!Y65</f>
        <v>20487.782505971885</v>
      </c>
      <c r="Y16" s="473">
        <f>+DataArrange!Z65</f>
        <v>20613.557593371843</v>
      </c>
      <c r="Z16" s="473">
        <f>+DataArrange!AA65</f>
        <v>20778.172458389599</v>
      </c>
      <c r="AA16" s="473">
        <f>+DataArrange!AB65</f>
        <v>20942.78732340736</v>
      </c>
      <c r="AB16" s="473">
        <f>+DataArrange!AC65</f>
        <v>21107.402188425116</v>
      </c>
      <c r="AC16" s="473">
        <f>+DataArrange!AD65</f>
        <v>21272.017053442876</v>
      </c>
      <c r="AD16" s="473">
        <f>+DataArrange!AE65</f>
        <v>21436.631918460633</v>
      </c>
      <c r="AE16" s="473">
        <f>+DataArrange!AF65</f>
        <v>21556.587433392677</v>
      </c>
      <c r="AF16" s="473">
        <f>+DataArrange!AG65</f>
        <v>21676.542948324721</v>
      </c>
      <c r="AG16" s="473">
        <f>+DataArrange!AH65</f>
        <v>21796.498463256768</v>
      </c>
      <c r="AH16" s="473">
        <f>+DataArrange!AI65</f>
        <v>21916.453978188812</v>
      </c>
      <c r="AI16" s="473">
        <f>+DataArrange!AJ65</f>
        <v>22036.409493120856</v>
      </c>
      <c r="AJ16" s="473">
        <f>+DataArrange!AK65</f>
        <v>22115.645939250739</v>
      </c>
      <c r="AK16" s="473">
        <f>+DataArrange!AL65</f>
        <v>22194.882385380624</v>
      </c>
      <c r="AL16" s="473">
        <f>+DataArrange!AM65</f>
        <v>22274.118831510506</v>
      </c>
      <c r="AM16" s="473">
        <f>+DataArrange!AN65</f>
        <v>22353.355277640392</v>
      </c>
      <c r="AN16" s="473">
        <f>+DataArrange!AO65</f>
        <v>22432.591723770274</v>
      </c>
      <c r="AO16" s="473">
        <f>+DataArrange!AP65</f>
        <v>22474.162600804426</v>
      </c>
      <c r="AP16" s="473">
        <f>+DataArrange!AQ65</f>
        <v>22515.733477838574</v>
      </c>
      <c r="AQ16" s="473">
        <f>+DataArrange!AR65</f>
        <v>22557.304354872726</v>
      </c>
      <c r="AR16" s="473">
        <f>+DataArrange!AS65</f>
        <v>22598.875231906874</v>
      </c>
      <c r="AS16" s="473">
        <f>+DataArrange!AT65</f>
        <v>22640.446108941025</v>
      </c>
      <c r="AT16" s="473">
        <f>+DataArrange!AU65</f>
        <v>22736.792216505757</v>
      </c>
      <c r="AU16" s="473">
        <f>+DataArrange!AV65</f>
        <v>22833.138324070493</v>
      </c>
      <c r="AV16" s="473">
        <f>+DataArrange!AW65</f>
        <v>22929.484431635225</v>
      </c>
      <c r="AW16" s="473">
        <f>+DataArrange!AX65</f>
        <v>23025.83053919996</v>
      </c>
      <c r="AX16" s="473">
        <f>+DataArrange!AY65</f>
        <v>23122.176646764692</v>
      </c>
      <c r="AY16" s="473">
        <f>+DataArrange!AZ65</f>
        <v>23171.70012986986</v>
      </c>
      <c r="AZ16" s="473">
        <f>+DataArrange!BA65</f>
        <v>23221.223612975031</v>
      </c>
      <c r="BA16" s="473">
        <f>+DataArrange!BB65</f>
        <v>23270.747096080198</v>
      </c>
      <c r="BB16" s="473">
        <f>+DataArrange!BC65</f>
        <v>23320.27057918537</v>
      </c>
      <c r="BC16" s="473">
        <f>+DataArrange!BD65</f>
        <v>23369.794062290537</v>
      </c>
      <c r="BD16" s="473"/>
      <c r="BE16" s="473"/>
      <c r="BF16" s="473"/>
      <c r="BG16" s="473"/>
      <c r="BH16" s="473"/>
      <c r="BI16" s="473"/>
      <c r="BJ16" s="473"/>
      <c r="BK16" s="473"/>
      <c r="BL16" s="473"/>
      <c r="BM16" s="473"/>
      <c r="BN16" s="473"/>
      <c r="BO16" s="473"/>
      <c r="BP16" s="473"/>
      <c r="BQ16" s="473"/>
    </row>
    <row r="17" spans="1:69" s="113" customFormat="1" ht="21.75" customHeight="1" x14ac:dyDescent="0.15">
      <c r="A17" s="477" t="str">
        <f>+DataArrange!A66</f>
        <v>SP</v>
      </c>
      <c r="B17" s="477" t="str">
        <f>+DataArrange!B66</f>
        <v>ETP B2DS</v>
      </c>
      <c r="C17" s="477" t="str">
        <f>+DataArrange!C66</f>
        <v>WORLD</v>
      </c>
      <c r="D17" s="477" t="str">
        <f>+DataArrange!D66</f>
        <v>World</v>
      </c>
      <c r="E17" s="477" t="str">
        <f>+DataArrange!E66</f>
        <v>Electricity</v>
      </c>
      <c r="F17" s="477" t="str">
        <f>+DataArrange!F66</f>
        <v>PJ</v>
      </c>
      <c r="G17" s="471" t="str">
        <f>+DataArrange!G66</f>
        <v>Sub-sector Electricity demand (PJ) Expanded list [Methods model input; Estimated]</v>
      </c>
      <c r="H17" s="472" t="str">
        <f>+DataArrange!H66</f>
        <v>Power</v>
      </c>
      <c r="I17" s="473">
        <f>+DataArrange!J66</f>
        <v>0</v>
      </c>
      <c r="J17" s="473">
        <f>+DataArrange!K66</f>
        <v>0</v>
      </c>
      <c r="K17" s="473">
        <f>+DataArrange!L66</f>
        <v>0</v>
      </c>
      <c r="L17" s="473">
        <f>+DataArrange!M66</f>
        <v>0</v>
      </c>
      <c r="M17" s="473">
        <f>+DataArrange!N66</f>
        <v>0</v>
      </c>
      <c r="N17" s="473">
        <f>+DataArrange!O66</f>
        <v>0</v>
      </c>
      <c r="O17" s="473">
        <f>+DataArrange!P66</f>
        <v>0</v>
      </c>
      <c r="P17" s="473">
        <f>+DataArrange!Q66</f>
        <v>0</v>
      </c>
      <c r="Q17" s="473">
        <f>+DataArrange!R66</f>
        <v>0</v>
      </c>
      <c r="R17" s="473">
        <f>+DataArrange!S66</f>
        <v>0</v>
      </c>
      <c r="S17" s="473">
        <f>+DataArrange!T66</f>
        <v>0</v>
      </c>
      <c r="T17" s="473">
        <f>+DataArrange!U66</f>
        <v>0</v>
      </c>
      <c r="U17" s="473">
        <f>+DataArrange!V66</f>
        <v>0</v>
      </c>
      <c r="V17" s="473">
        <f>+DataArrange!W66</f>
        <v>0</v>
      </c>
      <c r="W17" s="473">
        <f>+DataArrange!X66</f>
        <v>0</v>
      </c>
      <c r="X17" s="473">
        <f>+DataArrange!Y66</f>
        <v>0</v>
      </c>
      <c r="Y17" s="473">
        <f>+DataArrange!Z66</f>
        <v>0</v>
      </c>
      <c r="Z17" s="473">
        <f>+DataArrange!AA66</f>
        <v>0</v>
      </c>
      <c r="AA17" s="473">
        <f>+DataArrange!AB66</f>
        <v>0</v>
      </c>
      <c r="AB17" s="473">
        <f>+DataArrange!AC66</f>
        <v>0</v>
      </c>
      <c r="AC17" s="473">
        <f>+DataArrange!AD66</f>
        <v>0</v>
      </c>
      <c r="AD17" s="473">
        <f>+DataArrange!AE66</f>
        <v>0</v>
      </c>
      <c r="AE17" s="473">
        <f>+DataArrange!AF66</f>
        <v>0</v>
      </c>
      <c r="AF17" s="473">
        <f>+DataArrange!AG66</f>
        <v>0</v>
      </c>
      <c r="AG17" s="473">
        <f>+DataArrange!AH66</f>
        <v>0</v>
      </c>
      <c r="AH17" s="473">
        <f>+DataArrange!AI66</f>
        <v>0</v>
      </c>
      <c r="AI17" s="473">
        <f>+DataArrange!AJ66</f>
        <v>0</v>
      </c>
      <c r="AJ17" s="473">
        <f>+DataArrange!AK66</f>
        <v>0</v>
      </c>
      <c r="AK17" s="473">
        <f>+DataArrange!AL66</f>
        <v>0</v>
      </c>
      <c r="AL17" s="473">
        <f>+DataArrange!AM66</f>
        <v>0</v>
      </c>
      <c r="AM17" s="473">
        <f>+DataArrange!AN66</f>
        <v>0</v>
      </c>
      <c r="AN17" s="473">
        <f>+DataArrange!AO66</f>
        <v>0</v>
      </c>
      <c r="AO17" s="473">
        <f>+DataArrange!AP66</f>
        <v>0</v>
      </c>
      <c r="AP17" s="473">
        <f>+DataArrange!AQ66</f>
        <v>0</v>
      </c>
      <c r="AQ17" s="473">
        <f>+DataArrange!AR66</f>
        <v>0</v>
      </c>
      <c r="AR17" s="473">
        <f>+DataArrange!AS66</f>
        <v>0</v>
      </c>
      <c r="AS17" s="473">
        <f>+DataArrange!AT66</f>
        <v>0</v>
      </c>
      <c r="AT17" s="473">
        <f>+DataArrange!AU66</f>
        <v>0</v>
      </c>
      <c r="AU17" s="473">
        <f>+DataArrange!AV66</f>
        <v>0</v>
      </c>
      <c r="AV17" s="473">
        <f>+DataArrange!AW66</f>
        <v>0</v>
      </c>
      <c r="AW17" s="473">
        <f>+DataArrange!AX66</f>
        <v>0</v>
      </c>
      <c r="AX17" s="473">
        <f>+DataArrange!AY66</f>
        <v>0</v>
      </c>
      <c r="AY17" s="473">
        <f>+DataArrange!AZ66</f>
        <v>0</v>
      </c>
      <c r="AZ17" s="473">
        <f>+DataArrange!BA66</f>
        <v>0</v>
      </c>
      <c r="BA17" s="473">
        <f>+DataArrange!BB66</f>
        <v>0</v>
      </c>
      <c r="BB17" s="473">
        <f>+DataArrange!BC66</f>
        <v>0</v>
      </c>
      <c r="BC17" s="473">
        <f>+DataArrange!BD66</f>
        <v>0</v>
      </c>
      <c r="BD17" s="473"/>
      <c r="BE17" s="473"/>
      <c r="BF17" s="473"/>
      <c r="BG17" s="473"/>
      <c r="BH17" s="473"/>
      <c r="BI17" s="473"/>
      <c r="BJ17" s="473"/>
      <c r="BK17" s="473"/>
      <c r="BL17" s="473"/>
      <c r="BM17" s="473"/>
      <c r="BN17" s="473"/>
      <c r="BO17" s="473"/>
      <c r="BP17" s="473"/>
      <c r="BQ17" s="473"/>
    </row>
    <row r="18" spans="1:69" s="113" customFormat="1" ht="21.75" customHeight="1" x14ac:dyDescent="0.15">
      <c r="A18" s="477" t="str">
        <f>+DataArrange!A67</f>
        <v>SA</v>
      </c>
      <c r="B18" s="477" t="str">
        <f>+DataArrange!B67</f>
        <v>ETP B2DS</v>
      </c>
      <c r="C18" s="477" t="str">
        <f>+DataArrange!C67</f>
        <v>WORLD</v>
      </c>
      <c r="D18" s="477" t="str">
        <f>+DataArrange!D67</f>
        <v>World</v>
      </c>
      <c r="E18" s="477" t="str">
        <f>+DataArrange!E67</f>
        <v>Output</v>
      </c>
      <c r="F18" s="477" t="s">
        <v>210</v>
      </c>
      <c r="G18" s="471" t="str">
        <f>+DataArrange!G67</f>
        <v>Sub-sector material production (Mt) Expanded list [Methods model input; Estimated]</v>
      </c>
      <c r="H18" s="472" t="str">
        <f>+DataArrange!H67</f>
        <v>Iron and steel</v>
      </c>
      <c r="I18" s="473">
        <f>+DataArrange!J67*1000000</f>
        <v>1670140999.9999993</v>
      </c>
      <c r="J18" s="473">
        <f>+DataArrange!K67*1000000</f>
        <v>1670592242.2310605</v>
      </c>
      <c r="K18" s="473">
        <f>+DataArrange!L67*1000000</f>
        <v>1671043484.4621215</v>
      </c>
      <c r="L18" s="473">
        <f>+DataArrange!M67*1000000</f>
        <v>1671494726.6931825</v>
      </c>
      <c r="M18" s="473">
        <f>+DataArrange!N67*1000000</f>
        <v>1671945968.9242435</v>
      </c>
      <c r="N18" s="473">
        <f>+DataArrange!O67*1000000</f>
        <v>1672397211.1553047</v>
      </c>
      <c r="O18" s="473">
        <f>+DataArrange!P67*1000000</f>
        <v>1672848453.3863657</v>
      </c>
      <c r="P18" s="473">
        <f>+DataArrange!Q67*1000000</f>
        <v>1673299695.6174269</v>
      </c>
      <c r="Q18" s="473">
        <f>+DataArrange!R67*1000000</f>
        <v>1673750937.8484879</v>
      </c>
      <c r="R18" s="473">
        <f>+DataArrange!S67*1000000</f>
        <v>1674202180.0795488</v>
      </c>
      <c r="S18" s="473">
        <f>+DataArrange!T67*1000000</f>
        <v>1674653422.3106098</v>
      </c>
      <c r="T18" s="473">
        <f>+DataArrange!U67*1000000</f>
        <v>1675104664.5416708</v>
      </c>
      <c r="U18" s="473">
        <f>+DataArrange!V67*1000000</f>
        <v>1672666328.2779498</v>
      </c>
      <c r="V18" s="473">
        <f>+DataArrange!W67*1000000</f>
        <v>1670227992.0142288</v>
      </c>
      <c r="W18" s="473">
        <f>+DataArrange!X67*1000000</f>
        <v>1667789655.7505078</v>
      </c>
      <c r="X18" s="473">
        <f>+DataArrange!Y67*1000000</f>
        <v>1665351319.4867868</v>
      </c>
      <c r="Y18" s="473">
        <f>+DataArrange!Z67*1000000</f>
        <v>1662912983.2230659</v>
      </c>
      <c r="Z18" s="473">
        <f>+DataArrange!AA67*1000000</f>
        <v>1671935129.6200376</v>
      </c>
      <c r="AA18" s="473">
        <f>+DataArrange!AB67*1000000</f>
        <v>1680957276.0170095</v>
      </c>
      <c r="AB18" s="473">
        <f>+DataArrange!AC67*1000000</f>
        <v>1689979422.4139812</v>
      </c>
      <c r="AC18" s="473">
        <f>+DataArrange!AD67*1000000</f>
        <v>1699001568.8109531</v>
      </c>
      <c r="AD18" s="473">
        <f>+DataArrange!AE67*1000000</f>
        <v>1708023715.2079248</v>
      </c>
      <c r="AE18" s="473">
        <f>+DataArrange!AF67*1000000</f>
        <v>1720333624.6937866</v>
      </c>
      <c r="AF18" s="473">
        <f>+DataArrange!AG67*1000000</f>
        <v>1732643534.1796479</v>
      </c>
      <c r="AG18" s="473">
        <f>+DataArrange!AH67*1000000</f>
        <v>1744953443.6655097</v>
      </c>
      <c r="AH18" s="473">
        <f>+DataArrange!AI67*1000000</f>
        <v>1757263353.151371</v>
      </c>
      <c r="AI18" s="473">
        <f>+DataArrange!AJ67*1000000</f>
        <v>1769573262.6372328</v>
      </c>
      <c r="AJ18" s="473">
        <f>+DataArrange!AK67*1000000</f>
        <v>1771451320.6879241</v>
      </c>
      <c r="AK18" s="473">
        <f>+DataArrange!AL67*1000000</f>
        <v>1773329378.7386155</v>
      </c>
      <c r="AL18" s="473">
        <f>+DataArrange!AM67*1000000</f>
        <v>1775207436.7893071</v>
      </c>
      <c r="AM18" s="473">
        <f>+DataArrange!AN67*1000000</f>
        <v>1777085494.8399985</v>
      </c>
      <c r="AN18" s="473">
        <f>+DataArrange!AO67*1000000</f>
        <v>1778963552.8906898</v>
      </c>
      <c r="AO18" s="473">
        <f>+DataArrange!AP67*1000000</f>
        <v>1788262951.355243</v>
      </c>
      <c r="AP18" s="473">
        <f>+DataArrange!AQ67*1000000</f>
        <v>1797562349.8197958</v>
      </c>
      <c r="AQ18" s="473">
        <f>+DataArrange!AR67*1000000</f>
        <v>1806861748.2843487</v>
      </c>
      <c r="AR18" s="473">
        <f>+DataArrange!AS67*1000000</f>
        <v>1816161146.7489018</v>
      </c>
      <c r="AS18" s="473">
        <f>+DataArrange!AT67*1000000</f>
        <v>1825460545.2134547</v>
      </c>
      <c r="AT18" s="473">
        <f>+DataArrange!AU67*1000000</f>
        <v>1824012496.8281584</v>
      </c>
      <c r="AU18" s="473">
        <f>+DataArrange!AV67*1000000</f>
        <v>1822564448.4428623</v>
      </c>
      <c r="AV18" s="473">
        <f>+DataArrange!AW67*1000000</f>
        <v>1821116400.0575662</v>
      </c>
      <c r="AW18" s="473">
        <f>+DataArrange!AX67*1000000</f>
        <v>1819668351.6722698</v>
      </c>
      <c r="AX18" s="473">
        <f>+DataArrange!AY67*1000000</f>
        <v>1818220303.2869737</v>
      </c>
      <c r="AY18" s="473">
        <f>+DataArrange!AZ67*1000000</f>
        <v>1810413092.770185</v>
      </c>
      <c r="AZ18" s="473">
        <f>+DataArrange!BA67*1000000</f>
        <v>1802605882.253396</v>
      </c>
      <c r="BA18" s="473">
        <f>+DataArrange!BB67*1000000</f>
        <v>1794798671.7366073</v>
      </c>
      <c r="BB18" s="473">
        <f>+DataArrange!BC67*1000000</f>
        <v>1786991461.2198184</v>
      </c>
      <c r="BC18" s="473">
        <f>+DataArrange!BD67*1000000</f>
        <v>1779184250.7030296</v>
      </c>
      <c r="BD18" s="473"/>
      <c r="BE18" s="473"/>
      <c r="BF18" s="473"/>
      <c r="BG18" s="473"/>
      <c r="BH18" s="473"/>
      <c r="BI18" s="473"/>
      <c r="BJ18" s="473"/>
      <c r="BK18" s="473"/>
      <c r="BL18" s="473"/>
      <c r="BM18" s="473"/>
      <c r="BN18" s="473"/>
      <c r="BO18" s="473"/>
      <c r="BP18" s="473"/>
      <c r="BQ18" s="473"/>
    </row>
    <row r="19" spans="1:69" s="113" customFormat="1" ht="21.75" customHeight="1" x14ac:dyDescent="0.15">
      <c r="A19" s="477" t="str">
        <f>+DataArrange!A68</f>
        <v>SA</v>
      </c>
      <c r="B19" s="477" t="str">
        <f>+DataArrange!B68</f>
        <v>ETP B2DS</v>
      </c>
      <c r="C19" s="477" t="str">
        <f>+DataArrange!C68</f>
        <v>WORLD</v>
      </c>
      <c r="D19" s="477" t="str">
        <f>+DataArrange!D68</f>
        <v>World</v>
      </c>
      <c r="E19" s="477" t="str">
        <f>+DataArrange!E68</f>
        <v>Output</v>
      </c>
      <c r="F19" s="477" t="s">
        <v>210</v>
      </c>
      <c r="G19" s="471" t="str">
        <f>+DataArrange!G68</f>
        <v>Sub-sector material production (Mt) Expanded list [Methods model input; Estimated]</v>
      </c>
      <c r="H19" s="472" t="str">
        <f>+DataArrange!H68</f>
        <v>Cement</v>
      </c>
      <c r="I19" s="473">
        <f>+DataArrange!J68*1000000</f>
        <v>4175310000.0000005</v>
      </c>
      <c r="J19" s="473">
        <f>+DataArrange!K68*1000000</f>
        <v>4206242834.7708664</v>
      </c>
      <c r="K19" s="473">
        <f>+DataArrange!L68*1000000</f>
        <v>4237175669.5417323</v>
      </c>
      <c r="L19" s="473">
        <f>+DataArrange!M68*1000000</f>
        <v>4268108504.3125978</v>
      </c>
      <c r="M19" s="473">
        <f>+DataArrange!N68*1000000</f>
        <v>4299041339.0834637</v>
      </c>
      <c r="N19" s="473">
        <f>+DataArrange!O68*1000000</f>
        <v>4329974173.8543301</v>
      </c>
      <c r="O19" s="473">
        <f>+DataArrange!P68*1000000</f>
        <v>4360907008.6251955</v>
      </c>
      <c r="P19" s="473">
        <f>+DataArrange!Q68*1000000</f>
        <v>4391839843.3960619</v>
      </c>
      <c r="Q19" s="473">
        <f>+DataArrange!R68*1000000</f>
        <v>4422772678.1669283</v>
      </c>
      <c r="R19" s="473">
        <f>+DataArrange!S68*1000000</f>
        <v>4453705512.9377928</v>
      </c>
      <c r="S19" s="473">
        <f>+DataArrange!T68*1000000</f>
        <v>4484638347.7086592</v>
      </c>
      <c r="T19" s="473">
        <f>+DataArrange!U68*1000000</f>
        <v>4515571182.4795256</v>
      </c>
      <c r="U19" s="473">
        <f>+DataArrange!V68*1000000</f>
        <v>4531395971.8965359</v>
      </c>
      <c r="V19" s="473">
        <f>+DataArrange!W68*1000000</f>
        <v>4547220761.3135471</v>
      </c>
      <c r="W19" s="473">
        <f>+DataArrange!X68*1000000</f>
        <v>4563045550.7305584</v>
      </c>
      <c r="X19" s="473">
        <f>+DataArrange!Y68*1000000</f>
        <v>4578870340.1475697</v>
      </c>
      <c r="Y19" s="473">
        <f>+DataArrange!Z68*1000000</f>
        <v>4594695129.56458</v>
      </c>
      <c r="Z19" s="473">
        <f>+DataArrange!AA68*1000000</f>
        <v>4608068035.3129005</v>
      </c>
      <c r="AA19" s="473">
        <f>+DataArrange!AB68*1000000</f>
        <v>4621440941.0612221</v>
      </c>
      <c r="AB19" s="473">
        <f>+DataArrange!AC68*1000000</f>
        <v>4634813846.8095427</v>
      </c>
      <c r="AC19" s="473">
        <f>+DataArrange!AD68*1000000</f>
        <v>4648186752.5578642</v>
      </c>
      <c r="AD19" s="473">
        <f>+DataArrange!AE68*1000000</f>
        <v>4661559658.3061848</v>
      </c>
      <c r="AE19" s="473">
        <f>+DataArrange!AF68*1000000</f>
        <v>4705768133.2507763</v>
      </c>
      <c r="AF19" s="473">
        <f>+DataArrange!AG68*1000000</f>
        <v>4749976608.1953669</v>
      </c>
      <c r="AG19" s="473">
        <f>+DataArrange!AH68*1000000</f>
        <v>4794185083.1399574</v>
      </c>
      <c r="AH19" s="473">
        <f>+DataArrange!AI68*1000000</f>
        <v>4838393558.084548</v>
      </c>
      <c r="AI19" s="473">
        <f>+DataArrange!AJ68*1000000</f>
        <v>4882602033.0291395</v>
      </c>
      <c r="AJ19" s="473">
        <f>+DataArrange!AK68*1000000</f>
        <v>4909719173.7515011</v>
      </c>
      <c r="AK19" s="473">
        <f>+DataArrange!AL68*1000000</f>
        <v>4936836314.4738626</v>
      </c>
      <c r="AL19" s="473">
        <f>+DataArrange!AM68*1000000</f>
        <v>4963953455.1962242</v>
      </c>
      <c r="AM19" s="473">
        <f>+DataArrange!AN68*1000000</f>
        <v>4991070595.9185848</v>
      </c>
      <c r="AN19" s="473">
        <f>+DataArrange!AO68*1000000</f>
        <v>5018187736.6409473</v>
      </c>
      <c r="AO19" s="473">
        <f>+DataArrange!AP68*1000000</f>
        <v>5033268770.4256516</v>
      </c>
      <c r="AP19" s="473">
        <f>+DataArrange!AQ68*1000000</f>
        <v>5048349804.2103558</v>
      </c>
      <c r="AQ19" s="473">
        <f>+DataArrange!AR68*1000000</f>
        <v>5063430837.99506</v>
      </c>
      <c r="AR19" s="473">
        <f>+DataArrange!AS68*1000000</f>
        <v>5078511871.7797642</v>
      </c>
      <c r="AS19" s="473">
        <f>+DataArrange!AT68*1000000</f>
        <v>5093592905.5644684</v>
      </c>
      <c r="AT19" s="473">
        <f>+DataArrange!AU68*1000000</f>
        <v>5079685847.4892731</v>
      </c>
      <c r="AU19" s="473">
        <f>+DataArrange!AV68*1000000</f>
        <v>5065778789.4140787</v>
      </c>
      <c r="AV19" s="473">
        <f>+DataArrange!AW68*1000000</f>
        <v>5051871731.3388824</v>
      </c>
      <c r="AW19" s="473">
        <f>+DataArrange!AX68*1000000</f>
        <v>5037964673.2636871</v>
      </c>
      <c r="AX19" s="473">
        <f>+DataArrange!AY68*1000000</f>
        <v>5024057615.1884928</v>
      </c>
      <c r="AY19" s="473">
        <f>+DataArrange!AZ68*1000000</f>
        <v>5004593575.4238834</v>
      </c>
      <c r="AZ19" s="473">
        <f>+DataArrange!BA68*1000000</f>
        <v>4985129535.6592741</v>
      </c>
      <c r="BA19" s="473">
        <f>+DataArrange!BB68*1000000</f>
        <v>4965665495.8946648</v>
      </c>
      <c r="BB19" s="473">
        <f>+DataArrange!BC68*1000000</f>
        <v>4946201456.1300554</v>
      </c>
      <c r="BC19" s="473">
        <f>+DataArrange!BD68*1000000</f>
        <v>4926737416.365447</v>
      </c>
      <c r="BD19" s="473"/>
      <c r="BE19" s="473"/>
      <c r="BF19" s="473"/>
      <c r="BG19" s="473"/>
      <c r="BH19" s="473"/>
      <c r="BI19" s="473"/>
      <c r="BJ19" s="473"/>
      <c r="BK19" s="473"/>
      <c r="BL19" s="473"/>
      <c r="BM19" s="473"/>
      <c r="BN19" s="473"/>
      <c r="BO19" s="473"/>
      <c r="BP19" s="473"/>
      <c r="BQ19" s="473"/>
    </row>
    <row r="20" spans="1:69" s="113" customFormat="1" ht="21.75" customHeight="1" x14ac:dyDescent="0.15">
      <c r="A20" s="477" t="str">
        <f>+DataArrange!A69</f>
        <v>SA</v>
      </c>
      <c r="B20" s="477" t="str">
        <f>+DataArrange!B69</f>
        <v>ETP B2DS</v>
      </c>
      <c r="C20" s="477" t="str">
        <f>+DataArrange!C69</f>
        <v>WORLD</v>
      </c>
      <c r="D20" s="477" t="str">
        <f>+DataArrange!D69</f>
        <v>World</v>
      </c>
      <c r="E20" s="477" t="str">
        <f>+DataArrange!E69</f>
        <v>Output</v>
      </c>
      <c r="F20" s="477" t="s">
        <v>210</v>
      </c>
      <c r="G20" s="471" t="str">
        <f>+DataArrange!G69</f>
        <v>Sub-sector material production (Mt) Expanded list [Methods model input; Estimated]</v>
      </c>
      <c r="H20" s="472" t="str">
        <f>+DataArrange!H69</f>
        <v>Aluminium</v>
      </c>
      <c r="I20" s="473">
        <f>+DataArrange!J69*1000000</f>
        <v>126290134.28541875</v>
      </c>
      <c r="J20" s="473">
        <f>+DataArrange!K69*1000000</f>
        <v>129145574.17708136</v>
      </c>
      <c r="K20" s="473">
        <f>+DataArrange!L69*1000000</f>
        <v>132001014.06874396</v>
      </c>
      <c r="L20" s="473">
        <f>+DataArrange!M69*1000000</f>
        <v>134856453.96040654</v>
      </c>
      <c r="M20" s="473">
        <f>+DataArrange!N69*1000000</f>
        <v>137711893.85206914</v>
      </c>
      <c r="N20" s="473">
        <f>+DataArrange!O69*1000000</f>
        <v>140567333.74373177</v>
      </c>
      <c r="O20" s="473">
        <f>+DataArrange!P69*1000000</f>
        <v>143422773.63539436</v>
      </c>
      <c r="P20" s="473">
        <f>+DataArrange!Q69*1000000</f>
        <v>146278213.52705696</v>
      </c>
      <c r="Q20" s="473">
        <f>+DataArrange!R69*1000000</f>
        <v>149133653.41871959</v>
      </c>
      <c r="R20" s="473">
        <f>+DataArrange!S69*1000000</f>
        <v>151989093.31038219</v>
      </c>
      <c r="S20" s="473">
        <f>+DataArrange!T69*1000000</f>
        <v>154844533.20204481</v>
      </c>
      <c r="T20" s="473">
        <f>+DataArrange!U69*1000000</f>
        <v>157699973.09370741</v>
      </c>
      <c r="U20" s="473">
        <f>+DataArrange!V69*1000000</f>
        <v>160215345.01028141</v>
      </c>
      <c r="V20" s="473">
        <f>+DataArrange!W69*1000000</f>
        <v>162730716.92685544</v>
      </c>
      <c r="W20" s="473">
        <f>+DataArrange!X69*1000000</f>
        <v>165246088.84342945</v>
      </c>
      <c r="X20" s="473">
        <f>+DataArrange!Y69*1000000</f>
        <v>167761460.76000348</v>
      </c>
      <c r="Y20" s="473">
        <f>+DataArrange!Z69*1000000</f>
        <v>170276832.67657751</v>
      </c>
      <c r="Z20" s="473">
        <f>+DataArrange!AA69*1000000</f>
        <v>171976094.72340947</v>
      </c>
      <c r="AA20" s="473">
        <f>+DataArrange!AB69*1000000</f>
        <v>173675356.77024144</v>
      </c>
      <c r="AB20" s="473">
        <f>+DataArrange!AC69*1000000</f>
        <v>175374618.81707343</v>
      </c>
      <c r="AC20" s="473">
        <f>+DataArrange!AD69*1000000</f>
        <v>177073880.8639054</v>
      </c>
      <c r="AD20" s="473">
        <f>+DataArrange!AE69*1000000</f>
        <v>178773142.9107374</v>
      </c>
      <c r="AE20" s="473">
        <f>+DataArrange!AF69*1000000</f>
        <v>178567462.04206303</v>
      </c>
      <c r="AF20" s="473">
        <f>+DataArrange!AG69*1000000</f>
        <v>178361781.17338863</v>
      </c>
      <c r="AG20" s="473">
        <f>+DataArrange!AH69*1000000</f>
        <v>178156100.30471426</v>
      </c>
      <c r="AH20" s="473">
        <f>+DataArrange!AI69*1000000</f>
        <v>177950419.43603987</v>
      </c>
      <c r="AI20" s="473">
        <f>+DataArrange!AJ69*1000000</f>
        <v>177744738.56736553</v>
      </c>
      <c r="AJ20" s="473">
        <f>+DataArrange!AK69*1000000</f>
        <v>177792069.47984427</v>
      </c>
      <c r="AK20" s="473">
        <f>+DataArrange!AL69*1000000</f>
        <v>177839400.39232305</v>
      </c>
      <c r="AL20" s="473">
        <f>+DataArrange!AM69*1000000</f>
        <v>177886731.30480182</v>
      </c>
      <c r="AM20" s="473">
        <f>+DataArrange!AN69*1000000</f>
        <v>177934062.2172806</v>
      </c>
      <c r="AN20" s="473">
        <f>+DataArrange!AO69*1000000</f>
        <v>177981393.12975937</v>
      </c>
      <c r="AO20" s="473">
        <f>+DataArrange!AP69*1000000</f>
        <v>177302607.706844</v>
      </c>
      <c r="AP20" s="473">
        <f>+DataArrange!AQ69*1000000</f>
        <v>176623822.28392866</v>
      </c>
      <c r="AQ20" s="473">
        <f>+DataArrange!AR69*1000000</f>
        <v>175945036.86101329</v>
      </c>
      <c r="AR20" s="473">
        <f>+DataArrange!AS69*1000000</f>
        <v>175266251.43809795</v>
      </c>
      <c r="AS20" s="473">
        <f>+DataArrange!AT69*1000000</f>
        <v>174587466.01518258</v>
      </c>
      <c r="AT20" s="473">
        <f>+DataArrange!AU69*1000000</f>
        <v>173953483.44113791</v>
      </c>
      <c r="AU20" s="473">
        <f>+DataArrange!AV69*1000000</f>
        <v>173319500.86709324</v>
      </c>
      <c r="AV20" s="473">
        <f>+DataArrange!AW69*1000000</f>
        <v>172685518.29304853</v>
      </c>
      <c r="AW20" s="473">
        <f>+DataArrange!AX69*1000000</f>
        <v>172051535.71900389</v>
      </c>
      <c r="AX20" s="473">
        <f>+DataArrange!AY69*1000000</f>
        <v>171417553.14495918</v>
      </c>
      <c r="AY20" s="473">
        <f>+DataArrange!AZ69*1000000</f>
        <v>170714748.60485086</v>
      </c>
      <c r="AZ20" s="473">
        <f>+DataArrange!BA69*1000000</f>
        <v>170011944.06474251</v>
      </c>
      <c r="BA20" s="473">
        <f>+DataArrange!BB69*1000000</f>
        <v>169309139.52463415</v>
      </c>
      <c r="BB20" s="473">
        <f>+DataArrange!BC69*1000000</f>
        <v>168606334.9845258</v>
      </c>
      <c r="BC20" s="473">
        <f>+DataArrange!BD69*1000000</f>
        <v>167903530.44441748</v>
      </c>
      <c r="BD20" s="473"/>
      <c r="BE20" s="473"/>
      <c r="BF20" s="473"/>
      <c r="BG20" s="473"/>
      <c r="BH20" s="473"/>
      <c r="BI20" s="473"/>
      <c r="BJ20" s="473"/>
      <c r="BK20" s="473"/>
      <c r="BL20" s="473"/>
      <c r="BM20" s="473"/>
      <c r="BN20" s="473"/>
      <c r="BO20" s="473"/>
      <c r="BP20" s="473"/>
      <c r="BQ20" s="473"/>
    </row>
    <row r="21" spans="1:69" s="113" customFormat="1" ht="21.75" customHeight="1" x14ac:dyDescent="0.15">
      <c r="A21" s="477" t="str">
        <f>+DataArrange!A70</f>
        <v>SA</v>
      </c>
      <c r="B21" s="477" t="str">
        <f>+DataArrange!B70</f>
        <v>ETP B2DS</v>
      </c>
      <c r="C21" s="477" t="str">
        <f>+DataArrange!C70</f>
        <v>WORLD</v>
      </c>
      <c r="D21" s="477" t="str">
        <f>+DataArrange!D70</f>
        <v>World</v>
      </c>
      <c r="E21" s="477" t="str">
        <f>+DataArrange!E70</f>
        <v>Output</v>
      </c>
      <c r="F21" s="477" t="s">
        <v>210</v>
      </c>
      <c r="G21" s="471" t="str">
        <f>+DataArrange!G70</f>
        <v>Sub-sector material production (Mt) Expanded list [Methods model input; Estimated]</v>
      </c>
      <c r="H21" s="472" t="str">
        <f>+DataArrange!H70</f>
        <v>Pulp and paper</v>
      </c>
      <c r="I21" s="473">
        <f>+DataArrange!J70*1000000</f>
        <v>400221853.08224553</v>
      </c>
      <c r="J21" s="473">
        <f>+DataArrange!K70*1000000</f>
        <v>403971936.73417807</v>
      </c>
      <c r="K21" s="473">
        <f>+DataArrange!L70*1000000</f>
        <v>407722020.38611072</v>
      </c>
      <c r="L21" s="473">
        <f>+DataArrange!M70*1000000</f>
        <v>411472104.03804332</v>
      </c>
      <c r="M21" s="473">
        <f>+DataArrange!N70*1000000</f>
        <v>415222187.68997598</v>
      </c>
      <c r="N21" s="473">
        <f>+DataArrange!O70*1000000</f>
        <v>418972271.34190851</v>
      </c>
      <c r="O21" s="473">
        <f>+DataArrange!P70*1000000</f>
        <v>422722354.99384117</v>
      </c>
      <c r="P21" s="473">
        <f>+DataArrange!Q70*1000000</f>
        <v>426472438.64577377</v>
      </c>
      <c r="Q21" s="473">
        <f>+DataArrange!R70*1000000</f>
        <v>430222522.29770643</v>
      </c>
      <c r="R21" s="473">
        <f>+DataArrange!S70*1000000</f>
        <v>433972605.94963896</v>
      </c>
      <c r="S21" s="473">
        <f>+DataArrange!T70*1000000</f>
        <v>437722689.60157156</v>
      </c>
      <c r="T21" s="473">
        <f>+DataArrange!U70*1000000</f>
        <v>441472773.25350422</v>
      </c>
      <c r="U21" s="473">
        <f>+DataArrange!V70*1000000</f>
        <v>445268179.21431851</v>
      </c>
      <c r="V21" s="473">
        <f>+DataArrange!W70*1000000</f>
        <v>449063585.17513281</v>
      </c>
      <c r="W21" s="473">
        <f>+DataArrange!X70*1000000</f>
        <v>452858991.13594711</v>
      </c>
      <c r="X21" s="473">
        <f>+DataArrange!Y70*1000000</f>
        <v>456654397.09676141</v>
      </c>
      <c r="Y21" s="473">
        <f>+DataArrange!Z70*1000000</f>
        <v>460449803.0575757</v>
      </c>
      <c r="Z21" s="473">
        <f>+DataArrange!AA70*1000000</f>
        <v>462855584.64826882</v>
      </c>
      <c r="AA21" s="473">
        <f>+DataArrange!AB70*1000000</f>
        <v>465261366.23896182</v>
      </c>
      <c r="AB21" s="473">
        <f>+DataArrange!AC70*1000000</f>
        <v>467667147.82965493</v>
      </c>
      <c r="AC21" s="473">
        <f>+DataArrange!AD70*1000000</f>
        <v>470072929.42034799</v>
      </c>
      <c r="AD21" s="473">
        <f>+DataArrange!AE70*1000000</f>
        <v>472478711.01104105</v>
      </c>
      <c r="AE21" s="473">
        <f>+DataArrange!AF70*1000000</f>
        <v>474675343.86080188</v>
      </c>
      <c r="AF21" s="473">
        <f>+DataArrange!AG70*1000000</f>
        <v>476871976.71056277</v>
      </c>
      <c r="AG21" s="473">
        <f>+DataArrange!AH70*1000000</f>
        <v>479068609.5603236</v>
      </c>
      <c r="AH21" s="473">
        <f>+DataArrange!AI70*1000000</f>
        <v>481265242.41008443</v>
      </c>
      <c r="AI21" s="473">
        <f>+DataArrange!AJ70*1000000</f>
        <v>483461875.25984526</v>
      </c>
      <c r="AJ21" s="473">
        <f>+DataArrange!AK70*1000000</f>
        <v>484999257.6934256</v>
      </c>
      <c r="AK21" s="473">
        <f>+DataArrange!AL70*1000000</f>
        <v>486536640.12700593</v>
      </c>
      <c r="AL21" s="473">
        <f>+DataArrange!AM70*1000000</f>
        <v>488074022.56058621</v>
      </c>
      <c r="AM21" s="473">
        <f>+DataArrange!AN70*1000000</f>
        <v>489611404.99416655</v>
      </c>
      <c r="AN21" s="473">
        <f>+DataArrange!AO70*1000000</f>
        <v>491148787.42774689</v>
      </c>
      <c r="AO21" s="473">
        <f>+DataArrange!AP70*1000000</f>
        <v>492506773.7639991</v>
      </c>
      <c r="AP21" s="473">
        <f>+DataArrange!AQ70*1000000</f>
        <v>493864760.10025138</v>
      </c>
      <c r="AQ21" s="473">
        <f>+DataArrange!AR70*1000000</f>
        <v>495222746.43650359</v>
      </c>
      <c r="AR21" s="473">
        <f>+DataArrange!AS70*1000000</f>
        <v>496580732.77275586</v>
      </c>
      <c r="AS21" s="473">
        <f>+DataArrange!AT70*1000000</f>
        <v>497938719.10900813</v>
      </c>
      <c r="AT21" s="473">
        <f>+DataArrange!AU70*1000000</f>
        <v>499218547.27864087</v>
      </c>
      <c r="AU21" s="473">
        <f>+DataArrange!AV70*1000000</f>
        <v>500498375.44827366</v>
      </c>
      <c r="AV21" s="473">
        <f>+DataArrange!AW70*1000000</f>
        <v>501778203.61790639</v>
      </c>
      <c r="AW21" s="473">
        <f>+DataArrange!AX70*1000000</f>
        <v>503058031.78753918</v>
      </c>
      <c r="AX21" s="473">
        <f>+DataArrange!AY70*1000000</f>
        <v>504337859.95717192</v>
      </c>
      <c r="AY21" s="473">
        <f>+DataArrange!AZ70*1000000</f>
        <v>505490010.5317865</v>
      </c>
      <c r="AZ21" s="473">
        <f>+DataArrange!BA70*1000000</f>
        <v>506642161.10640103</v>
      </c>
      <c r="BA21" s="473">
        <f>+DataArrange!BB70*1000000</f>
        <v>507794311.68101555</v>
      </c>
      <c r="BB21" s="473">
        <f>+DataArrange!BC70*1000000</f>
        <v>508946462.25563008</v>
      </c>
      <c r="BC21" s="473">
        <f>+DataArrange!BD70*1000000</f>
        <v>510098612.83024466</v>
      </c>
      <c r="BD21" s="473"/>
      <c r="BE21" s="473"/>
      <c r="BF21" s="473"/>
      <c r="BG21" s="473"/>
      <c r="BH21" s="473"/>
      <c r="BI21" s="473"/>
      <c r="BJ21" s="473"/>
      <c r="BK21" s="473"/>
      <c r="BL21" s="473"/>
      <c r="BM21" s="473"/>
      <c r="BN21" s="473"/>
      <c r="BO21" s="473"/>
      <c r="BP21" s="473"/>
      <c r="BQ21" s="473"/>
    </row>
    <row r="22" spans="1:69" s="113" customFormat="1" ht="21.75" customHeight="1" x14ac:dyDescent="0.15">
      <c r="A22" s="477" t="str">
        <f>+DataArrange!A71</f>
        <v>SA</v>
      </c>
      <c r="B22" s="477" t="str">
        <f>+DataArrange!B71</f>
        <v>ETP B2DS</v>
      </c>
      <c r="C22" s="477" t="str">
        <f>+DataArrange!C71</f>
        <v>WORLD</v>
      </c>
      <c r="D22" s="477" t="str">
        <f>+DataArrange!D71</f>
        <v>World</v>
      </c>
      <c r="E22" s="477" t="str">
        <f>+DataArrange!E71</f>
        <v>Output</v>
      </c>
      <c r="F22" s="477" t="str">
        <f>+DataArrange!F71</f>
        <v>PJ</v>
      </c>
      <c r="G22" s="471" t="str">
        <f>+DataArrange!G71</f>
        <v>Sub-sector material production (Mt) Expanded list [Methods model input; Estimated]</v>
      </c>
      <c r="H22" s="472" t="str">
        <f>+DataArrange!H71</f>
        <v>Other industry</v>
      </c>
      <c r="I22" s="473">
        <f>+DataArrange!J71</f>
        <v>28215.330195858784</v>
      </c>
      <c r="J22" s="473">
        <f>+DataArrange!K71</f>
        <v>27532.031192104791</v>
      </c>
      <c r="K22" s="473">
        <f>+DataArrange!L71</f>
        <v>26848.732188350798</v>
      </c>
      <c r="L22" s="473">
        <f>+DataArrange!M71</f>
        <v>26165.433184596804</v>
      </c>
      <c r="M22" s="473">
        <f>+DataArrange!N71</f>
        <v>25482.134180842811</v>
      </c>
      <c r="N22" s="473">
        <f>+DataArrange!O71</f>
        <v>24798.835177088818</v>
      </c>
      <c r="O22" s="473">
        <f>+DataArrange!P71</f>
        <v>24115.536173334825</v>
      </c>
      <c r="P22" s="473">
        <f>+DataArrange!Q71</f>
        <v>23432.237169580829</v>
      </c>
      <c r="Q22" s="473">
        <f>+DataArrange!R71</f>
        <v>22748.938165826836</v>
      </c>
      <c r="R22" s="473">
        <f>+DataArrange!S71</f>
        <v>22065.639162072843</v>
      </c>
      <c r="S22" s="473">
        <f>+DataArrange!T71</f>
        <v>21382.34015831885</v>
      </c>
      <c r="T22" s="473">
        <f>+DataArrange!U71</f>
        <v>20699.041154564857</v>
      </c>
      <c r="U22" s="473">
        <f>+DataArrange!V71</f>
        <v>20389.408567504881</v>
      </c>
      <c r="V22" s="473">
        <f>+DataArrange!W71</f>
        <v>20079.775980444905</v>
      </c>
      <c r="W22" s="473">
        <f>+DataArrange!X71</f>
        <v>19770.143393384933</v>
      </c>
      <c r="X22" s="473">
        <f>+DataArrange!Y71</f>
        <v>19460.510806324957</v>
      </c>
      <c r="Y22" s="473">
        <f>+DataArrange!Z71</f>
        <v>19150.878219264981</v>
      </c>
      <c r="Z22" s="473">
        <f>+DataArrange!AA71</f>
        <v>19364.120732994539</v>
      </c>
      <c r="AA22" s="473">
        <f>+DataArrange!AB71</f>
        <v>19577.363246724093</v>
      </c>
      <c r="AB22" s="473">
        <f>+DataArrange!AC71</f>
        <v>19790.605760453651</v>
      </c>
      <c r="AC22" s="473">
        <f>+DataArrange!AD71</f>
        <v>20003.848274183205</v>
      </c>
      <c r="AD22" s="473">
        <f>+DataArrange!AE71</f>
        <v>20217.090787912763</v>
      </c>
      <c r="AE22" s="473">
        <f>+DataArrange!AF71</f>
        <v>20509.01913530365</v>
      </c>
      <c r="AF22" s="473">
        <f>+DataArrange!AG71</f>
        <v>20800.947482694537</v>
      </c>
      <c r="AG22" s="473">
        <f>+DataArrange!AH71</f>
        <v>21092.875830085424</v>
      </c>
      <c r="AH22" s="473">
        <f>+DataArrange!AI71</f>
        <v>21384.804177476311</v>
      </c>
      <c r="AI22" s="473">
        <f>+DataArrange!AJ71</f>
        <v>21676.732524867199</v>
      </c>
      <c r="AJ22" s="473">
        <f>+DataArrange!AK71</f>
        <v>21918.178997002789</v>
      </c>
      <c r="AK22" s="473">
        <f>+DataArrange!AL71</f>
        <v>22159.625469138384</v>
      </c>
      <c r="AL22" s="473">
        <f>+DataArrange!AM71</f>
        <v>22401.071941273975</v>
      </c>
      <c r="AM22" s="473">
        <f>+DataArrange!AN71</f>
        <v>22642.518413409569</v>
      </c>
      <c r="AN22" s="473">
        <f>+DataArrange!AO71</f>
        <v>22883.96488554516</v>
      </c>
      <c r="AO22" s="473">
        <f>+DataArrange!AP71</f>
        <v>23399.446437667852</v>
      </c>
      <c r="AP22" s="473">
        <f>+DataArrange!AQ71</f>
        <v>23914.927989790544</v>
      </c>
      <c r="AQ22" s="473">
        <f>+DataArrange!AR71</f>
        <v>24430.409541913235</v>
      </c>
      <c r="AR22" s="473">
        <f>+DataArrange!AS71</f>
        <v>24945.891094035927</v>
      </c>
      <c r="AS22" s="473">
        <f>+DataArrange!AT71</f>
        <v>25461.372646158619</v>
      </c>
      <c r="AT22" s="473">
        <f>+DataArrange!AU71</f>
        <v>25790.519103974453</v>
      </c>
      <c r="AU22" s="473">
        <f>+DataArrange!AV71</f>
        <v>26119.665561790287</v>
      </c>
      <c r="AV22" s="473">
        <f>+DataArrange!AW71</f>
        <v>26448.812019606117</v>
      </c>
      <c r="AW22" s="473">
        <f>+DataArrange!AX71</f>
        <v>26777.958477421951</v>
      </c>
      <c r="AX22" s="473">
        <f>+DataArrange!AY71</f>
        <v>27107.104935237785</v>
      </c>
      <c r="AY22" s="473">
        <f>+DataArrange!AZ71</f>
        <v>27920.563829896106</v>
      </c>
      <c r="AZ22" s="473">
        <f>+DataArrange!BA71</f>
        <v>28734.02272455443</v>
      </c>
      <c r="BA22" s="473">
        <f>+DataArrange!BB71</f>
        <v>29547.481619212751</v>
      </c>
      <c r="BB22" s="473">
        <f>+DataArrange!BC71</f>
        <v>30360.940513871075</v>
      </c>
      <c r="BC22" s="473">
        <f>+DataArrange!BD71</f>
        <v>31174.399408529396</v>
      </c>
      <c r="BD22" s="473"/>
      <c r="BE22" s="473"/>
      <c r="BF22" s="473"/>
      <c r="BG22" s="473"/>
      <c r="BH22" s="473"/>
      <c r="BI22" s="473"/>
      <c r="BJ22" s="473"/>
      <c r="BK22" s="473"/>
      <c r="BL22" s="473"/>
      <c r="BM22" s="473"/>
      <c r="BN22" s="473"/>
      <c r="BO22" s="473"/>
      <c r="BP22" s="473"/>
      <c r="BQ22" s="473"/>
    </row>
    <row r="23" spans="1:69" s="113" customFormat="1" ht="21.75" customHeight="1" x14ac:dyDescent="0.15">
      <c r="A23" s="477" t="str">
        <f>+DataArrange!A72</f>
        <v>SA</v>
      </c>
      <c r="B23" s="477" t="str">
        <f>+DataArrange!B72</f>
        <v>ETP B2DS</v>
      </c>
      <c r="C23" s="477" t="str">
        <f>+DataArrange!C72</f>
        <v>WORLD</v>
      </c>
      <c r="D23" s="477" t="str">
        <f>+DataArrange!D72</f>
        <v>World</v>
      </c>
      <c r="E23" s="477" t="str">
        <f>+DataArrange!E72</f>
        <v>Output</v>
      </c>
      <c r="F23" s="477" t="s">
        <v>211</v>
      </c>
      <c r="G23" s="471" t="s">
        <v>435</v>
      </c>
      <c r="H23" s="472" t="str">
        <f>+DataArrange!H72</f>
        <v>Services - Buildings</v>
      </c>
      <c r="I23" s="473">
        <f>+DataArrange!J72*1000000</f>
        <v>40143000000</v>
      </c>
      <c r="J23" s="473">
        <f>+DataArrange!K72*1000000</f>
        <v>40858727272.727272</v>
      </c>
      <c r="K23" s="473">
        <f>+DataArrange!L72*1000000</f>
        <v>41574454545.454544</v>
      </c>
      <c r="L23" s="473">
        <f>+DataArrange!M72*1000000</f>
        <v>42290181818.181816</v>
      </c>
      <c r="M23" s="473">
        <f>+DataArrange!N72*1000000</f>
        <v>43005909090.909088</v>
      </c>
      <c r="N23" s="473">
        <f>+DataArrange!O72*1000000</f>
        <v>43721636363.636368</v>
      </c>
      <c r="O23" s="473">
        <f>+DataArrange!P72*1000000</f>
        <v>44437363636.363632</v>
      </c>
      <c r="P23" s="473">
        <f>+DataArrange!Q72*1000000</f>
        <v>45153090909.090912</v>
      </c>
      <c r="Q23" s="473">
        <f>+DataArrange!R72*1000000</f>
        <v>45868818181.818184</v>
      </c>
      <c r="R23" s="473">
        <f>+DataArrange!S72*1000000</f>
        <v>46584545454.545456</v>
      </c>
      <c r="S23" s="473">
        <f>+DataArrange!T72*1000000</f>
        <v>47300272727.272728</v>
      </c>
      <c r="T23" s="473">
        <f>+DataArrange!U72*1000000</f>
        <v>48016000000</v>
      </c>
      <c r="U23" s="473">
        <f>+DataArrange!V72*1000000</f>
        <v>48837600000</v>
      </c>
      <c r="V23" s="473">
        <f>+DataArrange!W72*1000000</f>
        <v>49659200000</v>
      </c>
      <c r="W23" s="473">
        <f>+DataArrange!X72*1000000</f>
        <v>50480800000</v>
      </c>
      <c r="X23" s="473">
        <f>+DataArrange!Y72*1000000</f>
        <v>51302400000</v>
      </c>
      <c r="Y23" s="473">
        <f>+DataArrange!Z72*1000000</f>
        <v>52124000000</v>
      </c>
      <c r="Z23" s="473">
        <f>+DataArrange!AA72*1000000</f>
        <v>52656500000</v>
      </c>
      <c r="AA23" s="473">
        <f>+DataArrange!AB72*1000000</f>
        <v>53189000000</v>
      </c>
      <c r="AB23" s="473">
        <f>+DataArrange!AC72*1000000</f>
        <v>53721500000</v>
      </c>
      <c r="AC23" s="473">
        <f>+DataArrange!AD72*1000000</f>
        <v>54254000000</v>
      </c>
      <c r="AD23" s="473">
        <f>+DataArrange!AE72*1000000</f>
        <v>54786500000</v>
      </c>
      <c r="AE23" s="473">
        <f>+DataArrange!AF72*1000000</f>
        <v>55319000000</v>
      </c>
      <c r="AF23" s="473">
        <f>+DataArrange!AG72*1000000</f>
        <v>55851500000</v>
      </c>
      <c r="AG23" s="473">
        <f>+DataArrange!AH72*1000000</f>
        <v>56384000000</v>
      </c>
      <c r="AH23" s="473">
        <f>+DataArrange!AI72*1000000</f>
        <v>56916500000</v>
      </c>
      <c r="AI23" s="473">
        <f>+DataArrange!AJ72*1000000</f>
        <v>57449000000</v>
      </c>
      <c r="AJ23" s="473">
        <f>+DataArrange!AK72*1000000</f>
        <v>57955500000</v>
      </c>
      <c r="AK23" s="473">
        <f>+DataArrange!AL72*1000000</f>
        <v>58462000000</v>
      </c>
      <c r="AL23" s="473">
        <f>+DataArrange!AM72*1000000</f>
        <v>58968500000</v>
      </c>
      <c r="AM23" s="473">
        <f>+DataArrange!AN72*1000000</f>
        <v>59475000000</v>
      </c>
      <c r="AN23" s="473">
        <f>+DataArrange!AO72*1000000</f>
        <v>59981500000</v>
      </c>
      <c r="AO23" s="473">
        <f>+DataArrange!AP72*1000000</f>
        <v>60488000000</v>
      </c>
      <c r="AP23" s="473">
        <f>+DataArrange!AQ72*1000000</f>
        <v>60994500000</v>
      </c>
      <c r="AQ23" s="473">
        <f>+DataArrange!AR72*1000000</f>
        <v>61501000000</v>
      </c>
      <c r="AR23" s="473">
        <f>+DataArrange!AS72*1000000</f>
        <v>62007500000</v>
      </c>
      <c r="AS23" s="473">
        <f>+DataArrange!AT72*1000000</f>
        <v>62514000000</v>
      </c>
      <c r="AT23" s="473">
        <f>+DataArrange!AU72*1000000</f>
        <v>64138184684.684731</v>
      </c>
      <c r="AU23" s="473">
        <f>+DataArrange!AV72*1000000</f>
        <v>64762480322.427818</v>
      </c>
      <c r="AV23" s="473">
        <f>+DataArrange!AW72*1000000</f>
        <v>65386775960.170662</v>
      </c>
      <c r="AW23" s="473">
        <f>+DataArrange!AX72*1000000</f>
        <v>66011071597.913742</v>
      </c>
      <c r="AX23" s="473">
        <f>+DataArrange!AY72*1000000</f>
        <v>66635367235.65683</v>
      </c>
      <c r="AY23" s="473">
        <f>+DataArrange!AZ72*1000000</f>
        <v>67259662873.399673</v>
      </c>
      <c r="AZ23" s="473">
        <f>+DataArrange!BA72*1000000</f>
        <v>67883958511.142761</v>
      </c>
      <c r="BA23" s="473">
        <f>+DataArrange!BB72*1000000</f>
        <v>68508254148.885841</v>
      </c>
      <c r="BB23" s="473">
        <f>+DataArrange!BC72*1000000</f>
        <v>69132549786.628693</v>
      </c>
      <c r="BC23" s="473">
        <f>+DataArrange!BD72*1000000</f>
        <v>69756845424.371765</v>
      </c>
      <c r="BD23" s="473"/>
      <c r="BE23" s="473"/>
      <c r="BF23" s="473"/>
      <c r="BG23" s="473"/>
      <c r="BH23" s="473"/>
      <c r="BI23" s="473"/>
      <c r="BJ23" s="473"/>
      <c r="BK23" s="473"/>
      <c r="BL23" s="473"/>
      <c r="BM23" s="473"/>
      <c r="BN23" s="473"/>
      <c r="BO23" s="473"/>
      <c r="BP23" s="473"/>
      <c r="BQ23" s="473"/>
    </row>
    <row r="24" spans="1:69" s="113" customFormat="1" ht="21.75" customHeight="1" x14ac:dyDescent="0.15">
      <c r="A24" s="477" t="str">
        <f>+DataArrange!A73</f>
        <v>SA</v>
      </c>
      <c r="B24" s="477" t="str">
        <f>+DataArrange!B73</f>
        <v>ETP B2DS</v>
      </c>
      <c r="C24" s="477" t="str">
        <f>+DataArrange!C73</f>
        <v>WORLD</v>
      </c>
      <c r="D24" s="477" t="str">
        <f>+DataArrange!D73</f>
        <v>World</v>
      </c>
      <c r="E24" s="477" t="str">
        <f>+DataArrange!E73</f>
        <v>Output</v>
      </c>
      <c r="F24" s="477" t="s">
        <v>214</v>
      </c>
      <c r="G24" s="471" t="s">
        <v>431</v>
      </c>
      <c r="H24" s="472" t="s">
        <v>29</v>
      </c>
      <c r="I24" s="473">
        <f>+DataArrange!J73*1000000</f>
        <v>23818899236</v>
      </c>
      <c r="J24" s="473">
        <f>+DataArrange!K73*1000000</f>
        <v>24233259259.908772</v>
      </c>
      <c r="K24" s="473">
        <f>+DataArrange!L73*1000000</f>
        <v>24647619283.817543</v>
      </c>
      <c r="L24" s="473">
        <f>+DataArrange!M73*1000000</f>
        <v>25061979307.726315</v>
      </c>
      <c r="M24" s="473">
        <f>+DataArrange!N73*1000000</f>
        <v>25476339331.635086</v>
      </c>
      <c r="N24" s="473">
        <f>+DataArrange!O73*1000000</f>
        <v>25890699355.543854</v>
      </c>
      <c r="O24" s="473">
        <f>+DataArrange!P73*1000000</f>
        <v>26305059379.452625</v>
      </c>
      <c r="P24" s="473">
        <f>+DataArrange!Q73*1000000</f>
        <v>26719419403.361397</v>
      </c>
      <c r="Q24" s="473">
        <f>+DataArrange!R73*1000000</f>
        <v>27133779427.270164</v>
      </c>
      <c r="R24" s="473">
        <f>+DataArrange!S73*1000000</f>
        <v>27548139451.178936</v>
      </c>
      <c r="S24" s="473">
        <f>+DataArrange!T73*1000000</f>
        <v>27962499475.087708</v>
      </c>
      <c r="T24" s="473">
        <f>+DataArrange!U73*1000000</f>
        <v>28376859498.996475</v>
      </c>
      <c r="U24" s="473">
        <f>+DataArrange!V73*1000000</f>
        <v>28893346505.709778</v>
      </c>
      <c r="V24" s="473">
        <f>+DataArrange!W73*1000000</f>
        <v>29409833512.423084</v>
      </c>
      <c r="W24" s="473">
        <f>+DataArrange!X73*1000000</f>
        <v>29926320519.136387</v>
      </c>
      <c r="X24" s="473">
        <f>+DataArrange!Y73*1000000</f>
        <v>30442807525.849689</v>
      </c>
      <c r="Y24" s="473">
        <f>+DataArrange!Z73*1000000</f>
        <v>30959294532.562992</v>
      </c>
      <c r="Z24" s="473">
        <f>+DataArrange!AA73*1000000</f>
        <v>31532398945.567642</v>
      </c>
      <c r="AA24" s="473">
        <f>+DataArrange!AB73*1000000</f>
        <v>32105503358.572296</v>
      </c>
      <c r="AB24" s="473">
        <f>+DataArrange!AC73*1000000</f>
        <v>32678607771.576946</v>
      </c>
      <c r="AC24" s="473">
        <f>+DataArrange!AD73*1000000</f>
        <v>33251712184.5816</v>
      </c>
      <c r="AD24" s="473">
        <f>+DataArrange!AE73*1000000</f>
        <v>33824816597.58625</v>
      </c>
      <c r="AE24" s="473">
        <f>+DataArrange!AF73*1000000</f>
        <v>34462920300.872658</v>
      </c>
      <c r="AF24" s="473">
        <f>+DataArrange!AG73*1000000</f>
        <v>35101024004.15905</v>
      </c>
      <c r="AG24" s="473">
        <f>+DataArrange!AH73*1000000</f>
        <v>35739127707.445457</v>
      </c>
      <c r="AH24" s="473">
        <f>+DataArrange!AI73*1000000</f>
        <v>36377231410.73185</v>
      </c>
      <c r="AI24" s="473">
        <f>+DataArrange!AJ73*1000000</f>
        <v>37015335114.018257</v>
      </c>
      <c r="AJ24" s="473">
        <f>+DataArrange!AK73*1000000</f>
        <v>37708528588.042923</v>
      </c>
      <c r="AK24" s="473">
        <f>+DataArrange!AL73*1000000</f>
        <v>38401722062.067589</v>
      </c>
      <c r="AL24" s="473">
        <f>+DataArrange!AM73*1000000</f>
        <v>39094915536.092262</v>
      </c>
      <c r="AM24" s="473">
        <f>+DataArrange!AN73*1000000</f>
        <v>39788109010.116928</v>
      </c>
      <c r="AN24" s="473">
        <f>+DataArrange!AO73*1000000</f>
        <v>40481302484.141586</v>
      </c>
      <c r="AO24" s="473">
        <f>+DataArrange!AP73*1000000</f>
        <v>41249186561.090065</v>
      </c>
      <c r="AP24" s="473">
        <f>+DataArrange!AQ73*1000000</f>
        <v>42017070638.038544</v>
      </c>
      <c r="AQ24" s="473">
        <f>+DataArrange!AR73*1000000</f>
        <v>42784954714.987022</v>
      </c>
      <c r="AR24" s="473">
        <f>+DataArrange!AS73*1000000</f>
        <v>43552838791.935501</v>
      </c>
      <c r="AS24" s="473">
        <f>+DataArrange!AT73*1000000</f>
        <v>44320722868.883972</v>
      </c>
      <c r="AT24" s="473">
        <f>+DataArrange!AU73*1000000</f>
        <v>45176664994.713463</v>
      </c>
      <c r="AU24" s="473">
        <f>+DataArrange!AV73*1000000</f>
        <v>46032607120.542953</v>
      </c>
      <c r="AV24" s="473">
        <f>+DataArrange!AW73*1000000</f>
        <v>46888549246.372452</v>
      </c>
      <c r="AW24" s="473">
        <f>+DataArrange!AX73*1000000</f>
        <v>47744491372.201942</v>
      </c>
      <c r="AX24" s="473">
        <f>+DataArrange!AY73*1000000</f>
        <v>48600433498.031433</v>
      </c>
      <c r="AY24" s="473">
        <f>+DataArrange!AZ73*1000000</f>
        <v>49504860135.65007</v>
      </c>
      <c r="AZ24" s="473">
        <f>+DataArrange!BA73*1000000</f>
        <v>50409286773.268715</v>
      </c>
      <c r="BA24" s="473">
        <f>+DataArrange!BB73*1000000</f>
        <v>51313713410.887367</v>
      </c>
      <c r="BB24" s="473">
        <f>+DataArrange!BC73*1000000</f>
        <v>52218140048.506004</v>
      </c>
      <c r="BC24" s="473">
        <f>+DataArrange!BD73*1000000</f>
        <v>53122566686.124649</v>
      </c>
      <c r="BD24" s="473"/>
      <c r="BE24" s="473"/>
      <c r="BF24" s="473"/>
      <c r="BG24" s="473"/>
      <c r="BH24" s="473"/>
      <c r="BI24" s="473"/>
      <c r="BJ24" s="473"/>
      <c r="BK24" s="473"/>
      <c r="BL24" s="473"/>
      <c r="BM24" s="473"/>
      <c r="BN24" s="473"/>
      <c r="BO24" s="473"/>
      <c r="BP24" s="473"/>
      <c r="BQ24" s="473"/>
    </row>
    <row r="25" spans="1:69" s="113" customFormat="1" ht="21.75" customHeight="1" x14ac:dyDescent="0.15">
      <c r="A25" s="477" t="str">
        <f>+DataArrange!A74</f>
        <v>SA</v>
      </c>
      <c r="B25" s="477" t="s">
        <v>261</v>
      </c>
      <c r="C25" s="477" t="str">
        <f>+DataArrange!C74</f>
        <v>WORLD</v>
      </c>
      <c r="D25" s="477" t="s">
        <v>18</v>
      </c>
      <c r="E25" s="477" t="str">
        <f>+DataArrange!E74</f>
        <v>Output</v>
      </c>
      <c r="F25" s="477" t="s">
        <v>214</v>
      </c>
      <c r="G25" s="471" t="s">
        <v>431</v>
      </c>
      <c r="H25" s="472" t="s">
        <v>29</v>
      </c>
      <c r="I25" s="473">
        <v>24990590032.822453</v>
      </c>
      <c r="J25" s="473">
        <v>25413166756.010384</v>
      </c>
      <c r="K25" s="473">
        <v>25835743479.198311</v>
      </c>
      <c r="L25" s="473">
        <v>26258320202.386238</v>
      </c>
      <c r="M25" s="473">
        <v>26680896925.574169</v>
      </c>
      <c r="N25" s="473">
        <v>27103473648.762215</v>
      </c>
      <c r="O25" s="473">
        <v>27526050371.9501</v>
      </c>
      <c r="P25" s="473">
        <v>27948627095.137997</v>
      </c>
      <c r="Q25" s="473">
        <v>28371203818.326</v>
      </c>
      <c r="R25" s="473">
        <v>28793780541.513901</v>
      </c>
      <c r="S25" s="473">
        <v>29216357264.7019</v>
      </c>
      <c r="T25" s="473">
        <v>29638933987.889801</v>
      </c>
      <c r="U25" s="473">
        <v>30061510711.077801</v>
      </c>
      <c r="V25" s="473">
        <v>30484087434.265697</v>
      </c>
      <c r="W25" s="473">
        <v>30906664157.453602</v>
      </c>
      <c r="X25" s="473">
        <v>31329240880.641598</v>
      </c>
      <c r="Y25" s="473">
        <v>31751817603.829498</v>
      </c>
      <c r="Z25" s="473">
        <v>32578688921.011501</v>
      </c>
      <c r="AA25" s="473">
        <v>33405560238.193501</v>
      </c>
      <c r="AB25" s="473">
        <v>34232431555.375607</v>
      </c>
      <c r="AC25" s="473">
        <v>35059302872.557602</v>
      </c>
      <c r="AD25" s="473">
        <v>35886174189.739601</v>
      </c>
      <c r="AE25" s="473">
        <v>36713045506.9216</v>
      </c>
      <c r="AF25" s="473">
        <v>37539916824.1036</v>
      </c>
      <c r="AG25" s="473">
        <v>38366788141.285599</v>
      </c>
      <c r="AH25" s="473">
        <v>39193659458.467598</v>
      </c>
      <c r="AI25" s="473">
        <v>40020530775.649597</v>
      </c>
      <c r="AJ25" s="473">
        <v>40671508859.661293</v>
      </c>
      <c r="AK25" s="473">
        <v>41322486943.672897</v>
      </c>
      <c r="AL25" s="473">
        <v>41973465027.684601</v>
      </c>
      <c r="AM25" s="473">
        <v>42624443111.696304</v>
      </c>
      <c r="AN25" s="473">
        <v>43275421195.708</v>
      </c>
      <c r="AO25" s="473">
        <v>43926399279.719597</v>
      </c>
      <c r="AP25" s="473">
        <v>44577377363.7313</v>
      </c>
      <c r="AQ25" s="473">
        <v>45228355447.742996</v>
      </c>
      <c r="AR25" s="473">
        <v>45879333531.754601</v>
      </c>
      <c r="AS25" s="473">
        <v>46530311615.766304</v>
      </c>
      <c r="AT25" s="473">
        <v>47040516911.755005</v>
      </c>
      <c r="AU25" s="473">
        <v>47550722207.743805</v>
      </c>
      <c r="AV25" s="473">
        <v>48060927503.732597</v>
      </c>
      <c r="AW25" s="473">
        <v>48571132799.721298</v>
      </c>
      <c r="AX25" s="473">
        <v>49081338095.710106</v>
      </c>
      <c r="AY25" s="473">
        <v>49591543391.698799</v>
      </c>
      <c r="AZ25" s="473">
        <v>50101748687.687599</v>
      </c>
      <c r="BA25" s="473">
        <v>50611953983.6763</v>
      </c>
      <c r="BB25" s="473">
        <v>51122159279.665108</v>
      </c>
      <c r="BC25" s="473">
        <v>51632364575.653809</v>
      </c>
      <c r="BD25" s="473"/>
      <c r="BE25" s="473"/>
      <c r="BF25" s="473"/>
      <c r="BG25" s="473"/>
      <c r="BH25" s="473"/>
      <c r="BI25" s="473"/>
      <c r="BJ25" s="473"/>
      <c r="BK25" s="473"/>
      <c r="BL25" s="473"/>
      <c r="BM25" s="473"/>
      <c r="BN25" s="473"/>
      <c r="BO25" s="473"/>
      <c r="BP25" s="473"/>
      <c r="BQ25" s="473"/>
    </row>
    <row r="26" spans="1:69" s="113" customFormat="1" ht="21.75" customHeight="1" x14ac:dyDescent="0.15">
      <c r="A26" s="477" t="str">
        <f>+DataArrange!A76</f>
        <v>SIpower</v>
      </c>
      <c r="B26" s="477" t="str">
        <f>+DataArrange!B76</f>
        <v>ETP B2DS</v>
      </c>
      <c r="C26" s="477" t="str">
        <f>+DataArrange!C76</f>
        <v>WORLD</v>
      </c>
      <c r="D26" s="477" t="str">
        <f>+DataArrange!D76</f>
        <v>World</v>
      </c>
      <c r="E26" s="477" t="str">
        <f>+DataArrange!E76</f>
        <v>Emissions intensity</v>
      </c>
      <c r="F26" s="477" t="str">
        <f>+DataArrange!F76</f>
        <v>tCO2/MWh</v>
      </c>
      <c r="G26" s="471" t="s">
        <v>433</v>
      </c>
      <c r="H26" s="472" t="s">
        <v>29</v>
      </c>
      <c r="I26" s="474">
        <f>+DataArrange!J76</f>
        <v>0.57202495010378573</v>
      </c>
      <c r="J26" s="474">
        <f>+DataArrange!K76</f>
        <v>0.5462795847930102</v>
      </c>
      <c r="K26" s="474">
        <f>+DataArrange!L76</f>
        <v>0.52139984873939516</v>
      </c>
      <c r="L26" s="474">
        <f>+DataArrange!M76</f>
        <v>0.49734280652806911</v>
      </c>
      <c r="M26" s="474">
        <f>+DataArrange!N76</f>
        <v>0.4740683160370745</v>
      </c>
      <c r="N26" s="474">
        <f>+DataArrange!O76</f>
        <v>0.45153880491522541</v>
      </c>
      <c r="O26" s="474">
        <f>+DataArrange!P76</f>
        <v>0.42971906818562816</v>
      </c>
      <c r="P26" s="474">
        <f>+DataArrange!Q76</f>
        <v>0.40857608468157613</v>
      </c>
      <c r="Q26" s="474">
        <f>+DataArrange!R76</f>
        <v>0.38807885030169048</v>
      </c>
      <c r="R26" s="474">
        <f>+DataArrange!S76</f>
        <v>0.36819822631342597</v>
      </c>
      <c r="S26" s="474">
        <f>+DataArrange!T76</f>
        <v>0.34890680114398936</v>
      </c>
      <c r="T26" s="474">
        <f>+DataArrange!U76</f>
        <v>0.33017876428006449</v>
      </c>
      <c r="U26" s="474">
        <f>+DataArrange!V76</f>
        <v>0.30845125558735714</v>
      </c>
      <c r="V26" s="474">
        <f>+DataArrange!W76</f>
        <v>0.28748689136626293</v>
      </c>
      <c r="W26" s="474">
        <f>+DataArrange!X76</f>
        <v>0.26724615915447475</v>
      </c>
      <c r="X26" s="474">
        <f>+DataArrange!Y76</f>
        <v>0.24769222793401269</v>
      </c>
      <c r="Y26" s="474">
        <f>+DataArrange!Z76</f>
        <v>0.22879072446153514</v>
      </c>
      <c r="Z26" s="474">
        <f>+DataArrange!AA76</f>
        <v>0.20988854530866577</v>
      </c>
      <c r="AA26" s="474">
        <f>+DataArrange!AB76</f>
        <v>0.19166119888879704</v>
      </c>
      <c r="AB26" s="474">
        <f>+DataArrange!AC76</f>
        <v>0.17407318035851346</v>
      </c>
      <c r="AC26" s="474">
        <f>+DataArrange!AD76</f>
        <v>0.15709143262594158</v>
      </c>
      <c r="AD26" s="474">
        <f>+DataArrange!AE76</f>
        <v>0.14068513898566262</v>
      </c>
      <c r="AE26" s="474">
        <f>+DataArrange!AF76</f>
        <v>0.12591213871405804</v>
      </c>
      <c r="AF26" s="474">
        <f>+DataArrange!AG76</f>
        <v>0.11167625702798792</v>
      </c>
      <c r="AG26" s="474">
        <f>+DataArrange!AH76</f>
        <v>9.7948724001000242E-2</v>
      </c>
      <c r="AH26" s="474">
        <f>+DataArrange!AI76</f>
        <v>8.4702788353571437E-2</v>
      </c>
      <c r="AI26" s="474">
        <f>+DataArrange!AJ76</f>
        <v>7.1913543456831874E-2</v>
      </c>
      <c r="AJ26" s="474">
        <f>+DataArrange!AK76</f>
        <v>6.0841808846573538E-2</v>
      </c>
      <c r="AK26" s="474">
        <f>+DataArrange!AL76</f>
        <v>5.0169788299427247E-2</v>
      </c>
      <c r="AL26" s="474">
        <f>+DataArrange!AM76</f>
        <v>3.9876219778407426E-2</v>
      </c>
      <c r="AM26" s="474">
        <f>+DataArrange!AN76</f>
        <v>2.9941322966132677E-2</v>
      </c>
      <c r="AN26" s="474">
        <f>+DataArrange!AO76</f>
        <v>2.0346672401521292E-2</v>
      </c>
      <c r="AO26" s="474">
        <f>+DataArrange!AP76</f>
        <v>1.4249832206722938E-2</v>
      </c>
      <c r="AP26" s="474">
        <f>+DataArrange!AQ76</f>
        <v>8.3758379378395913E-3</v>
      </c>
      <c r="AQ26" s="474">
        <f>+DataArrange!AR76</f>
        <v>2.7126909958826986E-3</v>
      </c>
      <c r="AR26" s="474">
        <f>+DataArrange!AS76</f>
        <v>-2.7507610245595293E-3</v>
      </c>
      <c r="AS26" s="474">
        <f>+DataArrange!AT76</f>
        <v>-8.024897639471E-3</v>
      </c>
      <c r="AT26" s="474">
        <f>+DataArrange!AU76</f>
        <v>-1.1562155085934419E-2</v>
      </c>
      <c r="AU26" s="474">
        <f>+DataArrange!AV76</f>
        <v>-1.4967867184535891E-2</v>
      </c>
      <c r="AV26" s="474">
        <f>+DataArrange!AW76</f>
        <v>-1.8249237946052134E-2</v>
      </c>
      <c r="AW26" s="474">
        <f>+DataArrange!AX76</f>
        <v>-2.1412954779983253E-2</v>
      </c>
      <c r="AX26" s="474">
        <f>+DataArrange!AY76</f>
        <v>-2.4465233985998262E-2</v>
      </c>
      <c r="AY26" s="474">
        <f>+DataArrange!AZ76</f>
        <v>-2.6259725765228E-2</v>
      </c>
      <c r="AZ26" s="474">
        <f>+DataArrange!BA76</f>
        <v>-2.7989825196538875E-2</v>
      </c>
      <c r="BA26" s="474">
        <f>+DataArrange!BB76</f>
        <v>-2.9658937109800644E-2</v>
      </c>
      <c r="BB26" s="474">
        <f>+DataArrange!BC76</f>
        <v>-3.1270230446065299E-2</v>
      </c>
      <c r="BC26" s="474">
        <f>+DataArrange!BD76</f>
        <v>-3.2826658337934321E-2</v>
      </c>
    </row>
    <row r="27" spans="1:69" s="113" customFormat="1" ht="21.75" customHeight="1" x14ac:dyDescent="0.15">
      <c r="A27" s="477" t="str">
        <f>+DataArrange!A77</f>
        <v>SIpower</v>
      </c>
      <c r="B27" s="477" t="s">
        <v>261</v>
      </c>
      <c r="C27" s="477" t="s">
        <v>22</v>
      </c>
      <c r="D27" s="477" t="s">
        <v>18</v>
      </c>
      <c r="E27" s="477" t="str">
        <f>+DataArrange!E77</f>
        <v>Emissions intensity</v>
      </c>
      <c r="F27" s="477" t="str">
        <f>+DataArrange!F77</f>
        <v>tCO2/MWh</v>
      </c>
      <c r="G27" s="471" t="str">
        <f>+G26</f>
        <v>Power CO2 emissions intensity (tCO2/MWh) by region</v>
      </c>
      <c r="H27" s="472" t="s">
        <v>29</v>
      </c>
      <c r="I27" s="474">
        <f>+I10/I25*1000*1000</f>
        <v>0.46411940604772289</v>
      </c>
      <c r="J27" s="474">
        <f t="shared" ref="J27:BC27" si="0">+J10/J25*1000*1000</f>
        <v>0.45548155007407654</v>
      </c>
      <c r="K27" s="474">
        <f t="shared" si="0"/>
        <v>0.44712626052826709</v>
      </c>
      <c r="L27" s="474">
        <f t="shared" si="0"/>
        <v>0.439039895334845</v>
      </c>
      <c r="M27" s="474">
        <f t="shared" si="0"/>
        <v>0.4312096766806805</v>
      </c>
      <c r="N27" s="474">
        <f t="shared" si="0"/>
        <v>0.42362362364038736</v>
      </c>
      <c r="O27" s="474">
        <f t="shared" si="0"/>
        <v>0.41627049100766178</v>
      </c>
      <c r="P27" s="474">
        <f t="shared" si="0"/>
        <v>0.38034191400170858</v>
      </c>
      <c r="Q27" s="474">
        <f t="shared" si="0"/>
        <v>0.34548361800583438</v>
      </c>
      <c r="R27" s="474">
        <f t="shared" si="0"/>
        <v>0.31164848077694857</v>
      </c>
      <c r="S27" s="474">
        <f t="shared" si="0"/>
        <v>0.27879210632052176</v>
      </c>
      <c r="T27" s="474">
        <f t="shared" si="0"/>
        <v>0.24687263054333389</v>
      </c>
      <c r="U27" s="474">
        <f t="shared" si="0"/>
        <v>0.21585054329790851</v>
      </c>
      <c r="V27" s="474">
        <f t="shared" si="0"/>
        <v>0.1856885252281078</v>
      </c>
      <c r="W27" s="474">
        <f t="shared" si="0"/>
        <v>0.15635129799925593</v>
      </c>
      <c r="X27" s="474">
        <f t="shared" si="0"/>
        <v>0.12780548664907199</v>
      </c>
      <c r="Y27" s="474">
        <f t="shared" si="0"/>
        <v>0.10001949293022003</v>
      </c>
      <c r="Z27" s="474">
        <f t="shared" si="0"/>
        <v>8.9992102887630362E-2</v>
      </c>
      <c r="AA27" s="474">
        <f t="shared" si="0"/>
        <v>8.0461118901594963E-2</v>
      </c>
      <c r="AB27" s="474">
        <f t="shared" si="0"/>
        <v>7.139056947568255E-2</v>
      </c>
      <c r="AC27" s="474">
        <f t="shared" si="0"/>
        <v>6.274787665482795E-2</v>
      </c>
      <c r="AD27" s="474">
        <f t="shared" si="0"/>
        <v>5.450346506389743E-2</v>
      </c>
      <c r="AE27" s="474">
        <f t="shared" si="0"/>
        <v>4.663042377894154E-2</v>
      </c>
      <c r="AF27" s="474">
        <f t="shared" si="0"/>
        <v>3.9104212885114273E-2</v>
      </c>
      <c r="AG27" s="474">
        <f t="shared" si="0"/>
        <v>3.1902407979729472E-2</v>
      </c>
      <c r="AH27" s="474">
        <f t="shared" si="0"/>
        <v>2.5004477016736547E-2</v>
      </c>
      <c r="AI27" s="474">
        <f t="shared" si="0"/>
        <v>1.8391584815132048E-2</v>
      </c>
      <c r="AJ27" s="474">
        <f t="shared" si="0"/>
        <v>1.6345941942309084E-2</v>
      </c>
      <c r="AK27" s="474">
        <f t="shared" si="0"/>
        <v>1.4364751563825984E-2</v>
      </c>
      <c r="AL27" s="474">
        <f t="shared" si="0"/>
        <v>1.2445014844972645E-2</v>
      </c>
      <c r="AM27" s="474">
        <f t="shared" si="0"/>
        <v>1.058391614880365E-2</v>
      </c>
      <c r="AN27" s="474">
        <f t="shared" si="0"/>
        <v>8.7788092572163023E-3</v>
      </c>
      <c r="AO27" s="474">
        <f t="shared" si="0"/>
        <v>7.0272048172293862E-3</v>
      </c>
      <c r="AP27" s="474">
        <f t="shared" si="0"/>
        <v>5.3267588872187134E-3</v>
      </c>
      <c r="AQ27" s="474">
        <f t="shared" si="0"/>
        <v>3.6752624722865995E-3</v>
      </c>
      <c r="AR27" s="474">
        <f t="shared" si="0"/>
        <v>2.0706319505218534E-3</v>
      </c>
      <c r="AS27" s="474">
        <f t="shared" si="0"/>
        <v>5.1090030290309703E-4</v>
      </c>
      <c r="AT27" s="474">
        <f t="shared" si="0"/>
        <v>4.6122727589172118E-4</v>
      </c>
      <c r="AU27" s="474">
        <f t="shared" si="0"/>
        <v>4.1262020288786801E-4</v>
      </c>
      <c r="AV27" s="474">
        <f t="shared" si="0"/>
        <v>3.6504513602110636E-4</v>
      </c>
      <c r="AW27" s="474">
        <f t="shared" si="0"/>
        <v>3.1846955381419805E-4</v>
      </c>
      <c r="AX27" s="474">
        <f t="shared" si="0"/>
        <v>2.7286228704560627E-4</v>
      </c>
      <c r="AY27" s="474">
        <f t="shared" si="0"/>
        <v>2.2819344918845739E-4</v>
      </c>
      <c r="AZ27" s="474">
        <f t="shared" si="0"/>
        <v>1.8443437109967264E-4</v>
      </c>
      <c r="BA27" s="474">
        <f t="shared" si="0"/>
        <v>1.4155753965940484E-4</v>
      </c>
      <c r="BB27" s="474">
        <f t="shared" si="0"/>
        <v>9.9536540084780897E-5</v>
      </c>
      <c r="BC27" s="474">
        <f t="shared" si="0"/>
        <v>5.8346001663812297E-5</v>
      </c>
    </row>
    <row r="28" spans="1:69" s="471" customFormat="1" ht="21.75" customHeight="1" x14ac:dyDescent="0.15">
      <c r="A28" s="478" t="str">
        <f>DataArrange!A80</f>
        <v>SE</v>
      </c>
      <c r="B28" s="478" t="str">
        <f>DataArrange!B80</f>
        <v>ETP B2DS</v>
      </c>
      <c r="C28" s="478" t="str">
        <f>DataArrange!C80</f>
        <v>WORLD</v>
      </c>
      <c r="D28" s="478" t="str">
        <f>DataArrange!D80</f>
        <v>World</v>
      </c>
      <c r="E28" s="478" t="str">
        <f>DataArrange!E80</f>
        <v>Emissions</v>
      </c>
      <c r="F28" s="478" t="s">
        <v>430</v>
      </c>
      <c r="G28" s="471" t="s">
        <v>434</v>
      </c>
      <c r="H28" s="471" t="str">
        <f>DataArrange!H80</f>
        <v>Residential Buildings</v>
      </c>
      <c r="I28" s="475">
        <f>DataArrange!J80*1000</f>
        <v>1971719.6040309963</v>
      </c>
      <c r="J28" s="475">
        <f>DataArrange!K80*1000</f>
        <v>1928056.965435975</v>
      </c>
      <c r="K28" s="475">
        <f>DataArrange!L80*1000</f>
        <v>1884394.3268409537</v>
      </c>
      <c r="L28" s="475">
        <f>DataArrange!M80*1000</f>
        <v>1840731.6882459321</v>
      </c>
      <c r="M28" s="475">
        <f>DataArrange!N80*1000</f>
        <v>1797069.049650911</v>
      </c>
      <c r="N28" s="475">
        <f>DataArrange!O80*1000</f>
        <v>1753406.4110558894</v>
      </c>
      <c r="O28" s="475">
        <f>DataArrange!P80*1000</f>
        <v>1709743.7724608683</v>
      </c>
      <c r="P28" s="475">
        <f>DataArrange!Q80*1000</f>
        <v>1666081.1338658468</v>
      </c>
      <c r="Q28" s="475">
        <f>DataArrange!R80*1000</f>
        <v>1622418.4952708257</v>
      </c>
      <c r="R28" s="475">
        <f>DataArrange!S80*1000</f>
        <v>1578755.8566758041</v>
      </c>
      <c r="S28" s="475">
        <f>DataArrange!T80*1000</f>
        <v>1535093.2180807828</v>
      </c>
      <c r="T28" s="475">
        <f>DataArrange!U80*1000</f>
        <v>1491430.5794857615</v>
      </c>
      <c r="U28" s="475">
        <f>DataArrange!V80*1000</f>
        <v>1416954.6443771408</v>
      </c>
      <c r="V28" s="475">
        <f>DataArrange!W80*1000</f>
        <v>1342478.7092685204</v>
      </c>
      <c r="W28" s="475">
        <f>DataArrange!X80*1000</f>
        <v>1268002.7741598997</v>
      </c>
      <c r="X28" s="475">
        <f>DataArrange!Y80*1000</f>
        <v>1193526.8390512792</v>
      </c>
      <c r="Y28" s="475">
        <f>DataArrange!Z80*1000</f>
        <v>1119050.9039426586</v>
      </c>
      <c r="Z28" s="475">
        <f>DataArrange!AA80*1000</f>
        <v>1059184.3953202728</v>
      </c>
      <c r="AA28" s="475">
        <f>DataArrange!AB80*1000</f>
        <v>999317.88669788721</v>
      </c>
      <c r="AB28" s="475">
        <f>DataArrange!AC80*1000</f>
        <v>939451.37807550142</v>
      </c>
      <c r="AC28" s="475">
        <f>DataArrange!AD80*1000</f>
        <v>879584.86945311585</v>
      </c>
      <c r="AD28" s="475">
        <f>DataArrange!AE80*1000</f>
        <v>819718.36083073018</v>
      </c>
      <c r="AE28" s="475">
        <f>DataArrange!AF80*1000</f>
        <v>781405.07604954939</v>
      </c>
      <c r="AF28" s="475">
        <f>DataArrange!AG80*1000</f>
        <v>743091.7912683686</v>
      </c>
      <c r="AG28" s="475">
        <f>DataArrange!AH80*1000</f>
        <v>704778.50648718781</v>
      </c>
      <c r="AH28" s="475">
        <f>DataArrange!AI80*1000</f>
        <v>666465.22170600703</v>
      </c>
      <c r="AI28" s="475">
        <f>DataArrange!AJ80*1000</f>
        <v>628151.93692482624</v>
      </c>
      <c r="AJ28" s="475">
        <f>DataArrange!AK80*1000</f>
        <v>600832.68136654922</v>
      </c>
      <c r="AK28" s="475">
        <f>DataArrange!AL80*1000</f>
        <v>573513.42580827209</v>
      </c>
      <c r="AL28" s="475">
        <f>DataArrange!AM80*1000</f>
        <v>546194.17024999508</v>
      </c>
      <c r="AM28" s="475">
        <f>DataArrange!AN80*1000</f>
        <v>518874.91469171789</v>
      </c>
      <c r="AN28" s="475">
        <f>DataArrange!AO80*1000</f>
        <v>491555.65913344081</v>
      </c>
      <c r="AO28" s="475">
        <f>DataArrange!AP80*1000</f>
        <v>466917.29456822883</v>
      </c>
      <c r="AP28" s="475">
        <f>DataArrange!AQ80*1000</f>
        <v>442278.9300030169</v>
      </c>
      <c r="AQ28" s="475">
        <f>DataArrange!AR80*1000</f>
        <v>417640.56543780491</v>
      </c>
      <c r="AR28" s="475">
        <f>DataArrange!AS80*1000</f>
        <v>393002.20087259298</v>
      </c>
      <c r="AS28" s="475">
        <f>DataArrange!AT80*1000</f>
        <v>368363.83630738099</v>
      </c>
      <c r="AT28" s="475">
        <f>DataArrange!AU80*1000</f>
        <v>348884.26837831381</v>
      </c>
      <c r="AU28" s="475">
        <f>DataArrange!AV80*1000</f>
        <v>329404.70044924651</v>
      </c>
      <c r="AV28" s="475">
        <f>DataArrange!AW80*1000</f>
        <v>309925.13252017926</v>
      </c>
      <c r="AW28" s="475">
        <f>DataArrange!AX80*1000</f>
        <v>290445.56459111196</v>
      </c>
      <c r="AX28" s="475">
        <f>DataArrange!AY80*1000</f>
        <v>270965.99666204472</v>
      </c>
      <c r="AY28" s="475">
        <f>DataArrange!AZ80*1000</f>
        <v>258942.50462587251</v>
      </c>
      <c r="AZ28" s="475">
        <f>DataArrange!BA80*1000</f>
        <v>246919.01258970029</v>
      </c>
      <c r="BA28" s="475">
        <f>DataArrange!BB80*1000</f>
        <v>234895.52055352807</v>
      </c>
      <c r="BB28" s="475">
        <f>DataArrange!BC80*1000</f>
        <v>222872.02851735585</v>
      </c>
      <c r="BC28" s="475">
        <f>DataArrange!BD80*1000</f>
        <v>210848.53648118363</v>
      </c>
    </row>
    <row r="29" spans="1:69" s="471" customFormat="1" ht="21.75" customHeight="1" x14ac:dyDescent="0.15">
      <c r="A29" s="478" t="str">
        <f>DataArrange!A81</f>
        <v>SP</v>
      </c>
      <c r="B29" s="478" t="str">
        <f>DataArrange!B81</f>
        <v>ETP B2DS</v>
      </c>
      <c r="C29" s="478" t="str">
        <f>DataArrange!C81</f>
        <v>WORLD</v>
      </c>
      <c r="D29" s="478" t="str">
        <f>DataArrange!D81</f>
        <v>World</v>
      </c>
      <c r="E29" s="478" t="str">
        <f>DataArrange!E81</f>
        <v>Electricity</v>
      </c>
      <c r="F29" s="478" t="str">
        <f>DataArrange!F81</f>
        <v>PJ</v>
      </c>
      <c r="G29" s="471" t="s">
        <v>38</v>
      </c>
      <c r="H29" s="471" t="str">
        <f>DataArrange!H81</f>
        <v>Residential Buildings</v>
      </c>
      <c r="I29" s="475">
        <f>DataArrange!J81</f>
        <v>20426.919965419918</v>
      </c>
      <c r="J29" s="475">
        <f>DataArrange!K81</f>
        <v>20956.770853033431</v>
      </c>
      <c r="K29" s="475">
        <f>DataArrange!L81</f>
        <v>21486.62174064694</v>
      </c>
      <c r="L29" s="475">
        <f>DataArrange!M81</f>
        <v>22016.472628260453</v>
      </c>
      <c r="M29" s="475">
        <f>DataArrange!N81</f>
        <v>22546.323515873966</v>
      </c>
      <c r="N29" s="475">
        <f>DataArrange!O81</f>
        <v>23076.174403487479</v>
      </c>
      <c r="O29" s="475">
        <f>DataArrange!P81</f>
        <v>23606.025291100988</v>
      </c>
      <c r="P29" s="475">
        <f>DataArrange!Q81</f>
        <v>24135.876178714501</v>
      </c>
      <c r="Q29" s="475">
        <f>DataArrange!R81</f>
        <v>24665.727066328014</v>
      </c>
      <c r="R29" s="475">
        <f>DataArrange!S81</f>
        <v>25195.577953941523</v>
      </c>
      <c r="S29" s="475">
        <f>DataArrange!T81</f>
        <v>25725.428841555036</v>
      </c>
      <c r="T29" s="475">
        <f>DataArrange!U81</f>
        <v>26255.279729168549</v>
      </c>
      <c r="U29" s="475">
        <f>DataArrange!V81</f>
        <v>26954.845050235312</v>
      </c>
      <c r="V29" s="475">
        <f>DataArrange!W81</f>
        <v>27654.410371302078</v>
      </c>
      <c r="W29" s="475">
        <f>DataArrange!X81</f>
        <v>28353.97569236884</v>
      </c>
      <c r="X29" s="475">
        <f>DataArrange!Y81</f>
        <v>29053.541013435606</v>
      </c>
      <c r="Y29" s="475">
        <f>DataArrange!Z81</f>
        <v>29753.106334502369</v>
      </c>
      <c r="Z29" s="475">
        <f>DataArrange!AA81</f>
        <v>30454.308945177665</v>
      </c>
      <c r="AA29" s="475">
        <f>DataArrange!AB81</f>
        <v>31155.511555852961</v>
      </c>
      <c r="AB29" s="475">
        <f>DataArrange!AC81</f>
        <v>31856.714166528262</v>
      </c>
      <c r="AC29" s="475">
        <f>DataArrange!AD81</f>
        <v>32557.916777203558</v>
      </c>
      <c r="AD29" s="475">
        <f>DataArrange!AE81</f>
        <v>33259.119387878854</v>
      </c>
      <c r="AE29" s="475">
        <f>DataArrange!AF81</f>
        <v>33907.152739790945</v>
      </c>
      <c r="AF29" s="475">
        <f>DataArrange!AG81</f>
        <v>34555.186091703028</v>
      </c>
      <c r="AG29" s="475">
        <f>DataArrange!AH81</f>
        <v>35203.219443615119</v>
      </c>
      <c r="AH29" s="475">
        <f>DataArrange!AI81</f>
        <v>35851.252795527202</v>
      </c>
      <c r="AI29" s="475">
        <f>DataArrange!AJ81</f>
        <v>36499.286147439292</v>
      </c>
      <c r="AJ29" s="475">
        <f>DataArrange!AK81</f>
        <v>37074.533109959899</v>
      </c>
      <c r="AK29" s="475">
        <f>DataArrange!AL81</f>
        <v>37649.780072480506</v>
      </c>
      <c r="AL29" s="475">
        <f>DataArrange!AM81</f>
        <v>38225.02703500112</v>
      </c>
      <c r="AM29" s="475">
        <f>DataArrange!AN81</f>
        <v>38800.273997521726</v>
      </c>
      <c r="AN29" s="475">
        <f>DataArrange!AO81</f>
        <v>39375.520960042333</v>
      </c>
      <c r="AO29" s="475">
        <f>DataArrange!AP81</f>
        <v>39878.4795624006</v>
      </c>
      <c r="AP29" s="475">
        <f>DataArrange!AQ81</f>
        <v>40381.438164758867</v>
      </c>
      <c r="AQ29" s="475">
        <f>DataArrange!AR81</f>
        <v>40884.396767117141</v>
      </c>
      <c r="AR29" s="475">
        <f>DataArrange!AS81</f>
        <v>41387.355369475408</v>
      </c>
      <c r="AS29" s="475">
        <f>DataArrange!AT81</f>
        <v>41890.313971833675</v>
      </c>
      <c r="AT29" s="475">
        <f>DataArrange!AU81</f>
        <v>42372.73867181332</v>
      </c>
      <c r="AU29" s="475">
        <f>DataArrange!AV81</f>
        <v>42855.163371792965</v>
      </c>
      <c r="AV29" s="475">
        <f>DataArrange!AW81</f>
        <v>43337.58807177261</v>
      </c>
      <c r="AW29" s="475">
        <f>DataArrange!AX81</f>
        <v>43820.012771752256</v>
      </c>
      <c r="AX29" s="475">
        <f>DataArrange!AY81</f>
        <v>44302.437471731901</v>
      </c>
      <c r="AY29" s="475">
        <f>DataArrange!AZ81</f>
        <v>44793.578777845061</v>
      </c>
      <c r="AZ29" s="475">
        <f>DataArrange!BA81</f>
        <v>45284.720083958215</v>
      </c>
      <c r="BA29" s="475">
        <f>DataArrange!BB81</f>
        <v>45775.861390071375</v>
      </c>
      <c r="BB29" s="475">
        <f>DataArrange!BC81</f>
        <v>46267.002696184529</v>
      </c>
      <c r="BC29" s="475">
        <f>DataArrange!BD81</f>
        <v>46758.144002297689</v>
      </c>
    </row>
    <row r="30" spans="1:69" s="471" customFormat="1" ht="21.75" customHeight="1" x14ac:dyDescent="0.15">
      <c r="A30" s="478" t="str">
        <f>DataArrange!A82</f>
        <v>SA</v>
      </c>
      <c r="B30" s="478" t="str">
        <f>DataArrange!B82</f>
        <v>ETP B2DS</v>
      </c>
      <c r="C30" s="478" t="str">
        <f>DataArrange!C82</f>
        <v>WORLD</v>
      </c>
      <c r="D30" s="478" t="str">
        <f>DataArrange!D82</f>
        <v>World</v>
      </c>
      <c r="E30" s="478" t="str">
        <f>DataArrange!E82</f>
        <v>Output</v>
      </c>
      <c r="F30" s="479" t="s">
        <v>211</v>
      </c>
      <c r="G30" s="471" t="s">
        <v>435</v>
      </c>
      <c r="H30" s="471" t="str">
        <f>DataArrange!H82</f>
        <v>Residential Buildings</v>
      </c>
      <c r="I30" s="475">
        <f>DataArrange!J82*1000000</f>
        <v>180447300000</v>
      </c>
      <c r="J30" s="475">
        <f>DataArrange!K82*1000000</f>
        <v>183595625000</v>
      </c>
      <c r="K30" s="475">
        <f>DataArrange!L82*1000000</f>
        <v>186743950000</v>
      </c>
      <c r="L30" s="475">
        <f>DataArrange!M82*1000000</f>
        <v>189892275000</v>
      </c>
      <c r="M30" s="475">
        <f>DataArrange!N82*1000000</f>
        <v>193040600000</v>
      </c>
      <c r="N30" s="475">
        <f>DataArrange!O82*1000000</f>
        <v>196188925000</v>
      </c>
      <c r="O30" s="475">
        <f>DataArrange!P82*1000000</f>
        <v>199337250000</v>
      </c>
      <c r="P30" s="475">
        <f>DataArrange!Q82*1000000</f>
        <v>202485575000</v>
      </c>
      <c r="Q30" s="475">
        <f>DataArrange!R82*1000000</f>
        <v>205633900000</v>
      </c>
      <c r="R30" s="475">
        <f>DataArrange!S82*1000000</f>
        <v>208782225000</v>
      </c>
      <c r="S30" s="475">
        <f>DataArrange!T82*1000000</f>
        <v>211930550000</v>
      </c>
      <c r="T30" s="475">
        <f>DataArrange!U82*1000000</f>
        <v>215078875000</v>
      </c>
      <c r="U30" s="475">
        <f>DataArrange!V82*1000000</f>
        <v>218227200000</v>
      </c>
      <c r="V30" s="475">
        <f>DataArrange!W82*1000000</f>
        <v>221375525000</v>
      </c>
      <c r="W30" s="475">
        <f>DataArrange!X82*1000000</f>
        <v>224523850000</v>
      </c>
      <c r="X30" s="475">
        <f>DataArrange!Y82*1000000</f>
        <v>227672175000</v>
      </c>
      <c r="Y30" s="475">
        <f>DataArrange!Z82*1000000</f>
        <v>230820500000</v>
      </c>
      <c r="Z30" s="475">
        <f>DataArrange!AA82*1000000</f>
        <v>233968825000</v>
      </c>
      <c r="AA30" s="475">
        <f>DataArrange!AB82*1000000</f>
        <v>237117150000</v>
      </c>
      <c r="AB30" s="475">
        <f>DataArrange!AC82*1000000</f>
        <v>240265474999.99997</v>
      </c>
      <c r="AC30" s="475">
        <f>DataArrange!AD82*1000000</f>
        <v>243413800000</v>
      </c>
      <c r="AD30" s="475">
        <f>DataArrange!AE82*1000000</f>
        <v>246562125000</v>
      </c>
      <c r="AE30" s="475">
        <f>DataArrange!AF82*1000000</f>
        <v>249710450000</v>
      </c>
      <c r="AF30" s="475">
        <f>DataArrange!AG82*1000000</f>
        <v>252858775000</v>
      </c>
      <c r="AG30" s="475">
        <f>DataArrange!AH82*1000000</f>
        <v>256007099999.99997</v>
      </c>
      <c r="AH30" s="475">
        <f>DataArrange!AI82*1000000</f>
        <v>259155425000</v>
      </c>
      <c r="AI30" s="475">
        <f>DataArrange!AJ82*1000000</f>
        <v>262303750000</v>
      </c>
      <c r="AJ30" s="475">
        <f>DataArrange!AK82*1000000</f>
        <v>265452075000</v>
      </c>
      <c r="AK30" s="475">
        <f>DataArrange!AL82*1000000</f>
        <v>268600400000.00003</v>
      </c>
      <c r="AL30" s="475">
        <f>DataArrange!AM82*1000000</f>
        <v>271748724999.99997</v>
      </c>
      <c r="AM30" s="475">
        <f>DataArrange!AN82*1000000</f>
        <v>274897050000</v>
      </c>
      <c r="AN30" s="475">
        <f>DataArrange!AO82*1000000</f>
        <v>278045375000</v>
      </c>
      <c r="AO30" s="475">
        <f>DataArrange!AP82*1000000</f>
        <v>281193700000</v>
      </c>
      <c r="AP30" s="475">
        <f>DataArrange!AQ82*1000000</f>
        <v>284342025000</v>
      </c>
      <c r="AQ30" s="475">
        <f>DataArrange!AR82*1000000</f>
        <v>287490350000</v>
      </c>
      <c r="AR30" s="475">
        <f>DataArrange!AS82*1000000</f>
        <v>290638675000</v>
      </c>
      <c r="AS30" s="475">
        <f>DataArrange!AT82*1000000</f>
        <v>293787000000</v>
      </c>
      <c r="AT30" s="475">
        <f>DataArrange!AU82*1000000</f>
        <v>296935325000.00018</v>
      </c>
      <c r="AU30" s="475">
        <f>DataArrange!AV82*1000000</f>
        <v>300083650000.00037</v>
      </c>
      <c r="AV30" s="475">
        <f>DataArrange!AW82*1000000</f>
        <v>303231975000.00055</v>
      </c>
      <c r="AW30" s="475">
        <f>DataArrange!AX82*1000000</f>
        <v>306380300000.00073</v>
      </c>
      <c r="AX30" s="475">
        <f>DataArrange!AY82*1000000</f>
        <v>309528625000.00092</v>
      </c>
      <c r="AY30" s="475">
        <f>DataArrange!AZ82*1000000</f>
        <v>312676950000.00018</v>
      </c>
      <c r="AZ30" s="475">
        <f>DataArrange!BA82*1000000</f>
        <v>315825275000.00037</v>
      </c>
      <c r="BA30" s="475">
        <f>DataArrange!BB82*1000000</f>
        <v>318973600000.00055</v>
      </c>
      <c r="BB30" s="475">
        <f>DataArrange!BC82*1000000</f>
        <v>322121925000.00073</v>
      </c>
      <c r="BC30" s="475">
        <f>DataArrange!BD82*1000000</f>
        <v>325270250000.00092</v>
      </c>
    </row>
    <row r="31" spans="1:69" s="471" customFormat="1" x14ac:dyDescent="0.15">
      <c r="A31" s="478" t="str">
        <f>DataArrange!A79</f>
        <v>SIpower</v>
      </c>
      <c r="B31" s="478" t="str">
        <f>DataArrange!B79</f>
        <v>IEA NZE</v>
      </c>
      <c r="C31" s="478" t="str">
        <f>DataArrange!C79</f>
        <v>WORLD</v>
      </c>
      <c r="D31" s="478" t="str">
        <f>DataArrange!D79</f>
        <v>World</v>
      </c>
      <c r="E31" s="478" t="str">
        <f>DataArrange!E79</f>
        <v>Emissions intensity</v>
      </c>
      <c r="F31" s="478" t="str">
        <f>DataArrange!F79</f>
        <v>tCO2/MWh</v>
      </c>
      <c r="G31" s="471" t="str">
        <f>+G26</f>
        <v>Power CO2 emissions intensity (tCO2/MWh) by region</v>
      </c>
      <c r="H31" s="471" t="str">
        <f>DataArrange!H79</f>
        <v>Power</v>
      </c>
      <c r="I31" s="475">
        <f>DataArrange!J79</f>
        <v>0.57202495010378573</v>
      </c>
      <c r="J31" s="475">
        <f>DataArrange!K79</f>
        <v>0.5462795847930102</v>
      </c>
      <c r="K31" s="475">
        <f>DataArrange!L79</f>
        <v>0.52139984873939516</v>
      </c>
      <c r="L31" s="475">
        <f>DataArrange!M79</f>
        <v>0.49734280652806911</v>
      </c>
      <c r="M31" s="475">
        <f>DataArrange!N79</f>
        <v>0.4740683160370745</v>
      </c>
      <c r="N31" s="475">
        <f>DataArrange!O79</f>
        <v>0.46800000000000003</v>
      </c>
      <c r="O31" s="475">
        <f>DataArrange!P79</f>
        <v>0.438</v>
      </c>
      <c r="P31" s="475">
        <f>DataArrange!Q79</f>
        <v>0.40800000000000003</v>
      </c>
      <c r="Q31" s="475">
        <f>DataArrange!R79</f>
        <v>0.378</v>
      </c>
      <c r="R31" s="475">
        <f>DataArrange!S79</f>
        <v>0.34800000000000003</v>
      </c>
      <c r="S31" s="475">
        <f>DataArrange!T79</f>
        <v>0.318</v>
      </c>
      <c r="T31" s="475">
        <f>DataArrange!U79</f>
        <v>0.28800000000000003</v>
      </c>
      <c r="U31" s="475">
        <f>DataArrange!V79</f>
        <v>0.25800000000000001</v>
      </c>
      <c r="V31" s="475">
        <f>DataArrange!W79</f>
        <v>0.22800000000000001</v>
      </c>
      <c r="W31" s="475">
        <f>DataArrange!X79</f>
        <v>0.19800000000000001</v>
      </c>
      <c r="X31" s="475">
        <f>DataArrange!Y79</f>
        <v>0.16799999999999998</v>
      </c>
      <c r="Y31" s="475">
        <f>DataArrange!Z79</f>
        <v>0.13800000000000001</v>
      </c>
      <c r="Z31" s="475">
        <f>DataArrange!AA79</f>
        <v>0.12410000000000002</v>
      </c>
      <c r="AA31" s="475">
        <f>DataArrange!AB79</f>
        <v>0.11020000000000001</v>
      </c>
      <c r="AB31" s="475">
        <f>DataArrange!AC79</f>
        <v>9.6300000000000011E-2</v>
      </c>
      <c r="AC31" s="475">
        <f>DataArrange!AD79</f>
        <v>8.2400000000000001E-2</v>
      </c>
      <c r="AD31" s="475">
        <f>DataArrange!AE79</f>
        <v>6.8500000000000005E-2</v>
      </c>
      <c r="AE31" s="475">
        <f>DataArrange!AF79</f>
        <v>5.460000000000001E-2</v>
      </c>
      <c r="AF31" s="475">
        <f>DataArrange!AG79</f>
        <v>4.07E-2</v>
      </c>
      <c r="AG31" s="475">
        <f>DataArrange!AH79</f>
        <v>2.6800000000000004E-2</v>
      </c>
      <c r="AH31" s="475">
        <f>DataArrange!AI79</f>
        <v>1.2899999999999995E-2</v>
      </c>
      <c r="AI31" s="475">
        <f>DataArrange!AJ79</f>
        <v>-1E-3</v>
      </c>
      <c r="AJ31" s="475">
        <f>DataArrange!AK79</f>
        <v>-1.4E-3</v>
      </c>
      <c r="AK31" s="475">
        <f>DataArrange!AL79</f>
        <v>-1.8E-3</v>
      </c>
      <c r="AL31" s="475">
        <f>DataArrange!AM79</f>
        <v>-2.2000000000000001E-3</v>
      </c>
      <c r="AM31" s="475">
        <f>DataArrange!AN79</f>
        <v>-2.5999999999999999E-3</v>
      </c>
      <c r="AN31" s="475">
        <f>DataArrange!AO79</f>
        <v>-3.0000000000000001E-3</v>
      </c>
      <c r="AO31" s="475">
        <f>DataArrange!AP79</f>
        <v>-3.4000000000000002E-3</v>
      </c>
      <c r="AP31" s="475">
        <f>DataArrange!AQ79</f>
        <v>-3.8E-3</v>
      </c>
      <c r="AQ31" s="475">
        <f>DataArrange!AR79</f>
        <v>-4.2000000000000006E-3</v>
      </c>
      <c r="AR31" s="475">
        <f>DataArrange!AS79</f>
        <v>-4.5999999999999999E-3</v>
      </c>
      <c r="AS31" s="475">
        <f>DataArrange!AT79</f>
        <v>-5.0000000000000001E-3</v>
      </c>
      <c r="AT31" s="475"/>
      <c r="AU31" s="475"/>
      <c r="AV31" s="475"/>
      <c r="AW31" s="475"/>
      <c r="AX31" s="475"/>
      <c r="AY31" s="475"/>
      <c r="AZ31" s="475"/>
      <c r="BA31" s="475"/>
      <c r="BB31" s="475"/>
      <c r="BC31" s="475"/>
    </row>
    <row r="32" spans="1:69" s="471" customFormat="1" ht="21.75" customHeight="1" x14ac:dyDescent="0.15">
      <c r="A32" s="478" t="s">
        <v>41</v>
      </c>
      <c r="B32" s="478" t="str">
        <f>DataArrange!B83</f>
        <v>SBTi 1.5C</v>
      </c>
      <c r="C32" s="478" t="str">
        <f>DataArrange!C83</f>
        <v>WORLD</v>
      </c>
      <c r="D32" s="478" t="str">
        <f>DataArrange!D83</f>
        <v>World</v>
      </c>
      <c r="E32" s="478" t="str">
        <f>DataArrange!E83</f>
        <v>Emissions</v>
      </c>
      <c r="F32" s="479" t="str">
        <f>DataArrange!F83</f>
        <v>MtCO2</v>
      </c>
      <c r="G32" s="113" t="str">
        <f>+G4</f>
        <v>Sub-sector CO2 emissions (MtCO2) Expanded list [Methods model input; Estimated]</v>
      </c>
      <c r="H32" s="471" t="str">
        <f>DataArrange!H83</f>
        <v>Cement</v>
      </c>
      <c r="I32" s="475">
        <f>DataArrange!J83</f>
        <v>2461</v>
      </c>
      <c r="J32" s="475">
        <f>DataArrange!K83</f>
        <v>2461</v>
      </c>
      <c r="K32" s="475">
        <f>DataArrange!L83</f>
        <v>2461</v>
      </c>
      <c r="L32" s="475">
        <f>DataArrange!M83</f>
        <v>2461</v>
      </c>
      <c r="M32" s="475">
        <f>DataArrange!N83</f>
        <v>2461</v>
      </c>
      <c r="N32" s="475">
        <f>DataArrange!O83</f>
        <v>2461</v>
      </c>
      <c r="O32" s="475">
        <f>DataArrange!P83</f>
        <v>2334</v>
      </c>
      <c r="P32" s="475">
        <f>DataArrange!Q83</f>
        <v>2358.818181818182</v>
      </c>
      <c r="Q32" s="475">
        <f>DataArrange!R83</f>
        <v>2307.7272727272725</v>
      </c>
      <c r="R32" s="475">
        <f>DataArrange!S83</f>
        <v>2256.6363636363635</v>
      </c>
      <c r="S32" s="475">
        <f>DataArrange!T83</f>
        <v>2205.5454545454545</v>
      </c>
      <c r="T32" s="475">
        <f>DataArrange!U83</f>
        <v>2154.4545454545455</v>
      </c>
      <c r="U32" s="475">
        <f>DataArrange!V83</f>
        <v>2103.3636363636365</v>
      </c>
      <c r="V32" s="475">
        <f>DataArrange!W83</f>
        <v>2052.272727272727</v>
      </c>
      <c r="W32" s="475">
        <f>DataArrange!X83</f>
        <v>2001.1818181818182</v>
      </c>
      <c r="X32" s="475">
        <f>DataArrange!Y83</f>
        <v>1950.090909090909</v>
      </c>
      <c r="Y32" s="475">
        <f>DataArrange!Z83</f>
        <v>1899</v>
      </c>
      <c r="Z32" s="475">
        <f>DataArrange!AA83</f>
        <v>1799.7</v>
      </c>
      <c r="AA32" s="475">
        <f>DataArrange!AB83</f>
        <v>1700.4</v>
      </c>
      <c r="AB32" s="475">
        <f>DataArrange!AC83</f>
        <v>1601.1</v>
      </c>
      <c r="AC32" s="475">
        <f>DataArrange!AD83</f>
        <v>1501.8</v>
      </c>
      <c r="AD32" s="475">
        <f>DataArrange!AE83</f>
        <v>1402.5</v>
      </c>
      <c r="AE32" s="475">
        <f>DataArrange!AF83</f>
        <v>1303.2</v>
      </c>
      <c r="AF32" s="475">
        <f>DataArrange!AG83</f>
        <v>1203.9000000000001</v>
      </c>
      <c r="AG32" s="475">
        <f>DataArrange!AH83</f>
        <v>1104.5999999999999</v>
      </c>
      <c r="AH32" s="475">
        <f>DataArrange!AI83</f>
        <v>1005.3000000000001</v>
      </c>
      <c r="AI32" s="475">
        <f>DataArrange!AJ83</f>
        <v>906</v>
      </c>
      <c r="AJ32" s="475">
        <f>DataArrange!AK83</f>
        <v>828.7</v>
      </c>
      <c r="AK32" s="475">
        <f>DataArrange!AL83</f>
        <v>751.4</v>
      </c>
      <c r="AL32" s="475">
        <f>DataArrange!AM83</f>
        <v>674.1</v>
      </c>
      <c r="AM32" s="475">
        <f>DataArrange!AN83</f>
        <v>596.79999999999995</v>
      </c>
      <c r="AN32" s="475">
        <f>DataArrange!AO83</f>
        <v>519.5</v>
      </c>
      <c r="AO32" s="475">
        <f>DataArrange!AP83</f>
        <v>442.20000000000005</v>
      </c>
      <c r="AP32" s="475">
        <f>DataArrange!AQ83</f>
        <v>364.9</v>
      </c>
      <c r="AQ32" s="475">
        <f>DataArrange!AR83</f>
        <v>287.60000000000002</v>
      </c>
      <c r="AR32" s="475">
        <f>DataArrange!AS83</f>
        <v>210.30000000000007</v>
      </c>
      <c r="AS32" s="475">
        <f>DataArrange!AT83</f>
        <v>133</v>
      </c>
      <c r="AT32" s="475"/>
      <c r="AU32" s="475"/>
      <c r="AV32" s="475"/>
      <c r="AW32" s="475"/>
      <c r="AX32" s="475"/>
      <c r="AY32" s="475"/>
      <c r="AZ32" s="475"/>
      <c r="BA32" s="475"/>
      <c r="BB32" s="475"/>
      <c r="BC32" s="475"/>
    </row>
    <row r="33" spans="1:55" s="471" customFormat="1" ht="21.75" customHeight="1" x14ac:dyDescent="0.15">
      <c r="A33" s="478" t="s">
        <v>47</v>
      </c>
      <c r="B33" s="478" t="str">
        <f>DataArrange!B84</f>
        <v>SBTi 1.5C</v>
      </c>
      <c r="C33" s="478" t="str">
        <f>DataArrange!C84</f>
        <v>WORLD</v>
      </c>
      <c r="D33" s="478" t="str">
        <f>DataArrange!D84</f>
        <v>World</v>
      </c>
      <c r="E33" s="478" t="str">
        <f>DataArrange!E84</f>
        <v>Electricity</v>
      </c>
      <c r="F33" s="478" t="str">
        <f>DataArrange!F84</f>
        <v>PJ</v>
      </c>
      <c r="G33" s="471" t="str">
        <f>+G12</f>
        <v>Sub-sector Electricity demand (PJ) Expanded list [Methods model input; Estimated]</v>
      </c>
      <c r="H33" s="471" t="str">
        <f>DataArrange!H84</f>
        <v>Cement</v>
      </c>
      <c r="I33" s="475">
        <f>DataArrange!J84</f>
        <v>1345.4792022514878</v>
      </c>
      <c r="J33" s="475">
        <f>DataArrange!K84</f>
        <v>1345.4792022514878</v>
      </c>
      <c r="K33" s="475">
        <f>DataArrange!L84</f>
        <v>1345.4792022514878</v>
      </c>
      <c r="L33" s="475">
        <f>DataArrange!M84</f>
        <v>1345.4792022514878</v>
      </c>
      <c r="M33" s="475">
        <f>DataArrange!N84</f>
        <v>1345.4792022514878</v>
      </c>
      <c r="N33" s="475">
        <f>DataArrange!O84</f>
        <v>1345.4792022514878</v>
      </c>
      <c r="O33" s="475">
        <f>DataArrange!P84</f>
        <v>1346.5489943138082</v>
      </c>
      <c r="P33" s="475">
        <f>DataArrange!Q84</f>
        <v>1439.5032386846815</v>
      </c>
      <c r="Q33" s="475">
        <f>DataArrange!R84</f>
        <v>1486.5152569012785</v>
      </c>
      <c r="R33" s="475">
        <f>DataArrange!S84</f>
        <v>1533.5272751178754</v>
      </c>
      <c r="S33" s="475">
        <f>DataArrange!T84</f>
        <v>1580.5392933344722</v>
      </c>
      <c r="T33" s="475">
        <f>DataArrange!U84</f>
        <v>1627.5513115510691</v>
      </c>
      <c r="U33" s="475">
        <f>DataArrange!V84</f>
        <v>1674.5633297676659</v>
      </c>
      <c r="V33" s="475">
        <f>DataArrange!W84</f>
        <v>1721.5753479842629</v>
      </c>
      <c r="W33" s="475">
        <f>DataArrange!X84</f>
        <v>1768.5873662008598</v>
      </c>
      <c r="X33" s="475">
        <f>DataArrange!Y84</f>
        <v>1815.5993844174566</v>
      </c>
      <c r="Y33" s="475">
        <f>DataArrange!Z84</f>
        <v>1862.6114026340535</v>
      </c>
      <c r="Z33" s="475">
        <f>DataArrange!AA84</f>
        <v>1916.1142890856725</v>
      </c>
      <c r="AA33" s="475">
        <f>DataArrange!AB84</f>
        <v>1969.6171755372914</v>
      </c>
      <c r="AB33" s="475">
        <f>DataArrange!AC84</f>
        <v>2023.1200619889103</v>
      </c>
      <c r="AC33" s="475">
        <f>DataArrange!AD84</f>
        <v>2076.6229484405289</v>
      </c>
      <c r="AD33" s="475">
        <f>DataArrange!AE84</f>
        <v>2130.1258348921479</v>
      </c>
      <c r="AE33" s="475">
        <f>DataArrange!AF84</f>
        <v>2183.6287213437668</v>
      </c>
      <c r="AF33" s="475">
        <f>DataArrange!AG84</f>
        <v>2237.1316077953857</v>
      </c>
      <c r="AG33" s="475">
        <f>DataArrange!AH84</f>
        <v>2290.6344942470046</v>
      </c>
      <c r="AH33" s="475">
        <f>DataArrange!AI84</f>
        <v>2344.1373806986235</v>
      </c>
      <c r="AI33" s="475">
        <f>DataArrange!AJ84</f>
        <v>2397.6402671502424</v>
      </c>
      <c r="AJ33" s="475">
        <f>DataArrange!AK84</f>
        <v>2450.9795939763767</v>
      </c>
      <c r="AK33" s="475">
        <f>DataArrange!AL84</f>
        <v>2504.3189208025105</v>
      </c>
      <c r="AL33" s="475">
        <f>DataArrange!AM84</f>
        <v>2557.6582476286449</v>
      </c>
      <c r="AM33" s="475">
        <f>DataArrange!AN84</f>
        <v>2610.9975744547792</v>
      </c>
      <c r="AN33" s="475">
        <f>DataArrange!AO84</f>
        <v>2664.3369012809135</v>
      </c>
      <c r="AO33" s="475">
        <f>DataArrange!AP84</f>
        <v>2717.6762281070473</v>
      </c>
      <c r="AP33" s="475">
        <f>DataArrange!AQ84</f>
        <v>2771.0155549331816</v>
      </c>
      <c r="AQ33" s="475">
        <f>DataArrange!AR84</f>
        <v>2824.354881759316</v>
      </c>
      <c r="AR33" s="475">
        <f>DataArrange!AS84</f>
        <v>2877.6942085854498</v>
      </c>
      <c r="AS33" s="475">
        <f>DataArrange!AT84</f>
        <v>2931.0335354115841</v>
      </c>
      <c r="AT33" s="475"/>
      <c r="AU33" s="475"/>
      <c r="AV33" s="475"/>
      <c r="AW33" s="475"/>
      <c r="AX33" s="475"/>
      <c r="AY33" s="475"/>
      <c r="AZ33" s="475"/>
      <c r="BA33" s="475"/>
      <c r="BB33" s="475"/>
      <c r="BC33" s="475"/>
    </row>
    <row r="34" spans="1:55" s="471" customFormat="1" ht="21.75" customHeight="1" x14ac:dyDescent="0.15">
      <c r="A34" s="478" t="s">
        <v>42</v>
      </c>
      <c r="B34" s="478" t="str">
        <f>DataArrange!B85</f>
        <v>SBTi 1.5C</v>
      </c>
      <c r="C34" s="478" t="str">
        <f>DataArrange!C85</f>
        <v>WORLD</v>
      </c>
      <c r="D34" s="478" t="str">
        <f>DataArrange!D85</f>
        <v>World</v>
      </c>
      <c r="E34" s="478" t="str">
        <f>DataArrange!E85</f>
        <v>Output</v>
      </c>
      <c r="F34" s="479" t="s">
        <v>210</v>
      </c>
      <c r="G34" s="113" t="str">
        <f>+G19</f>
        <v>Sub-sector material production (Mt) Expanded list [Methods model input; Estimated]</v>
      </c>
      <c r="H34" s="471" t="str">
        <f>DataArrange!H85</f>
        <v>Cement</v>
      </c>
      <c r="I34" s="475">
        <f>DataArrange!J85*1000000</f>
        <v>4215000000</v>
      </c>
      <c r="J34" s="475">
        <f>DataArrange!K85*1000000</f>
        <v>4215000000</v>
      </c>
      <c r="K34" s="475">
        <f>DataArrange!L85*1000000</f>
        <v>4215000000</v>
      </c>
      <c r="L34" s="475">
        <f>DataArrange!M85*1000000</f>
        <v>4215000000</v>
      </c>
      <c r="M34" s="475">
        <f>DataArrange!N85*1000000</f>
        <v>4215000000</v>
      </c>
      <c r="N34" s="475">
        <f>DataArrange!O85*1000000</f>
        <v>4215000000</v>
      </c>
      <c r="O34" s="475">
        <f>DataArrange!P85*1000000</f>
        <v>4054000000</v>
      </c>
      <c r="P34" s="475">
        <f>DataArrange!Q85*1000000</f>
        <v>4222818181.818182</v>
      </c>
      <c r="Q34" s="475">
        <f>DataArrange!R85*1000000</f>
        <v>4226727272.727273</v>
      </c>
      <c r="R34" s="475">
        <f>DataArrange!S85*1000000</f>
        <v>4230636363.636364</v>
      </c>
      <c r="S34" s="475">
        <f>DataArrange!T85*1000000</f>
        <v>4234545454.545455</v>
      </c>
      <c r="T34" s="475">
        <f>DataArrange!U85*1000000</f>
        <v>4238454545.454545</v>
      </c>
      <c r="U34" s="475">
        <f>DataArrange!V85*1000000</f>
        <v>4242363636.363636</v>
      </c>
      <c r="V34" s="475">
        <f>DataArrange!W85*1000000</f>
        <v>4246272727.272727</v>
      </c>
      <c r="W34" s="475">
        <f>DataArrange!X85*1000000</f>
        <v>4250181818.181818</v>
      </c>
      <c r="X34" s="475">
        <f>DataArrange!Y85*1000000</f>
        <v>4254090909.090909</v>
      </c>
      <c r="Y34" s="475">
        <f>DataArrange!Z85*1000000</f>
        <v>4258000000</v>
      </c>
      <c r="Z34" s="475">
        <f>DataArrange!AA85*1000000</f>
        <v>4245100000.0000005</v>
      </c>
      <c r="AA34" s="475">
        <f>DataArrange!AB85*1000000</f>
        <v>4232200000</v>
      </c>
      <c r="AB34" s="475">
        <f>DataArrange!AC85*1000000</f>
        <v>4219300000</v>
      </c>
      <c r="AC34" s="475">
        <f>DataArrange!AD85*1000000</f>
        <v>4206399999.9999995</v>
      </c>
      <c r="AD34" s="475">
        <f>DataArrange!AE85*1000000</f>
        <v>4193500000</v>
      </c>
      <c r="AE34" s="475">
        <f>DataArrange!AF85*1000000</f>
        <v>4180600000.0000005</v>
      </c>
      <c r="AF34" s="475">
        <f>DataArrange!AG85*1000000</f>
        <v>4167700000</v>
      </c>
      <c r="AG34" s="475">
        <f>DataArrange!AH85*1000000</f>
        <v>4154800000</v>
      </c>
      <c r="AH34" s="475">
        <f>DataArrange!AI85*1000000</f>
        <v>4141899999.9999995</v>
      </c>
      <c r="AI34" s="475">
        <f>DataArrange!AJ85*1000000</f>
        <v>4129000000</v>
      </c>
      <c r="AJ34" s="475">
        <f>DataArrange!AK85*1000000</f>
        <v>4119300000</v>
      </c>
      <c r="AK34" s="475">
        <f>DataArrange!AL85*1000000</f>
        <v>4109600000.0000005</v>
      </c>
      <c r="AL34" s="475">
        <f>DataArrange!AM85*1000000</f>
        <v>4099899999.9999995</v>
      </c>
      <c r="AM34" s="475">
        <f>DataArrange!AN85*1000000</f>
        <v>4090200000</v>
      </c>
      <c r="AN34" s="475">
        <f>DataArrange!AO85*1000000</f>
        <v>4080500000</v>
      </c>
      <c r="AO34" s="475">
        <f>DataArrange!AP85*1000000</f>
        <v>4070800000</v>
      </c>
      <c r="AP34" s="475">
        <f>DataArrange!AQ85*1000000</f>
        <v>4061100000</v>
      </c>
      <c r="AQ34" s="475">
        <f>DataArrange!AR85*1000000</f>
        <v>4051400000</v>
      </c>
      <c r="AR34" s="475">
        <f>DataArrange!AS85*1000000</f>
        <v>4041700000</v>
      </c>
      <c r="AS34" s="475">
        <f>DataArrange!AT85*1000000</f>
        <v>4032000000</v>
      </c>
      <c r="AT34" s="475"/>
      <c r="AU34" s="475"/>
      <c r="AV34" s="475"/>
      <c r="AW34" s="475"/>
      <c r="AX34" s="475"/>
      <c r="AY34" s="475"/>
      <c r="AZ34" s="475"/>
      <c r="BA34" s="475"/>
      <c r="BB34" s="475"/>
      <c r="BC34" s="475"/>
    </row>
    <row r="35" spans="1:55" s="471" customFormat="1" ht="21.75" customHeight="1" x14ac:dyDescent="0.15">
      <c r="A35" s="478" t="s">
        <v>41</v>
      </c>
      <c r="B35" s="478" t="str">
        <f>DataArrange!B86</f>
        <v>SBTi 1.5C</v>
      </c>
      <c r="C35" s="478" t="str">
        <f>DataArrange!C86</f>
        <v>WORLD</v>
      </c>
      <c r="D35" s="478" t="str">
        <f>DataArrange!D86</f>
        <v>World</v>
      </c>
      <c r="E35" s="478" t="str">
        <f>DataArrange!E86</f>
        <v>Emissions</v>
      </c>
      <c r="F35" s="478" t="str">
        <f>DataArrange!F86</f>
        <v>MtCO2</v>
      </c>
      <c r="G35" s="471" t="str">
        <f>+G3</f>
        <v>Sub-sector CO2 emissions (MtCO2) Expanded list [Methods model input; Estimated]</v>
      </c>
      <c r="H35" s="471" t="str">
        <f>DataArrange!H86</f>
        <v>Iron and steel</v>
      </c>
      <c r="I35" s="475">
        <f>DataArrange!J86</f>
        <v>2507</v>
      </c>
      <c r="J35" s="475">
        <f>DataArrange!K86</f>
        <v>2507</v>
      </c>
      <c r="K35" s="475">
        <f>DataArrange!L86</f>
        <v>2507</v>
      </c>
      <c r="L35" s="475">
        <f>DataArrange!M86</f>
        <v>2507</v>
      </c>
      <c r="M35" s="475">
        <f>DataArrange!N86</f>
        <v>2507</v>
      </c>
      <c r="N35" s="475">
        <f>DataArrange!O86</f>
        <v>2507</v>
      </c>
      <c r="O35" s="475">
        <f>DataArrange!P86</f>
        <v>2349</v>
      </c>
      <c r="P35" s="475">
        <f>DataArrange!Q86</f>
        <v>2374.6363636363635</v>
      </c>
      <c r="Q35" s="475">
        <f>DataArrange!R86</f>
        <v>2308.4545454545455</v>
      </c>
      <c r="R35" s="475">
        <f>DataArrange!S86</f>
        <v>2242.272727272727</v>
      </c>
      <c r="S35" s="475">
        <f>DataArrange!T86</f>
        <v>2176.090909090909</v>
      </c>
      <c r="T35" s="475">
        <f>DataArrange!U86</f>
        <v>2109.909090909091</v>
      </c>
      <c r="U35" s="475">
        <f>DataArrange!V86</f>
        <v>2043.7272727272727</v>
      </c>
      <c r="V35" s="475">
        <f>DataArrange!W86</f>
        <v>1977.5454545454545</v>
      </c>
      <c r="W35" s="475">
        <f>DataArrange!X86</f>
        <v>1911.3636363636365</v>
      </c>
      <c r="X35" s="475">
        <f>DataArrange!Y86</f>
        <v>1845.181818181818</v>
      </c>
      <c r="Y35" s="475">
        <f>DataArrange!Z86</f>
        <v>1779</v>
      </c>
      <c r="Z35" s="475">
        <f>DataArrange!AA86</f>
        <v>1687</v>
      </c>
      <c r="AA35" s="475">
        <f>DataArrange!AB86</f>
        <v>1595</v>
      </c>
      <c r="AB35" s="475">
        <f>DataArrange!AC86</f>
        <v>1503</v>
      </c>
      <c r="AC35" s="475">
        <f>DataArrange!AD86</f>
        <v>1411</v>
      </c>
      <c r="AD35" s="475">
        <f>DataArrange!AE86</f>
        <v>1319</v>
      </c>
      <c r="AE35" s="475">
        <f>DataArrange!AF86</f>
        <v>1227</v>
      </c>
      <c r="AF35" s="475">
        <f>DataArrange!AG86</f>
        <v>1135</v>
      </c>
      <c r="AG35" s="475">
        <f>DataArrange!AH86</f>
        <v>1043</v>
      </c>
      <c r="AH35" s="475">
        <f>DataArrange!AI86</f>
        <v>951</v>
      </c>
      <c r="AI35" s="475">
        <f>DataArrange!AJ86</f>
        <v>859</v>
      </c>
      <c r="AJ35" s="475">
        <f>DataArrange!AK86</f>
        <v>795.1</v>
      </c>
      <c r="AK35" s="475">
        <f>DataArrange!AL86</f>
        <v>731.2</v>
      </c>
      <c r="AL35" s="475">
        <f>DataArrange!AM86</f>
        <v>667.3</v>
      </c>
      <c r="AM35" s="475">
        <f>DataArrange!AN86</f>
        <v>603.4</v>
      </c>
      <c r="AN35" s="475">
        <f>DataArrange!AO86</f>
        <v>539.5</v>
      </c>
      <c r="AO35" s="475">
        <f>DataArrange!AP86</f>
        <v>475.6</v>
      </c>
      <c r="AP35" s="475">
        <f>DataArrange!AQ86</f>
        <v>411.7</v>
      </c>
      <c r="AQ35" s="475">
        <f>DataArrange!AR86</f>
        <v>347.8</v>
      </c>
      <c r="AR35" s="475">
        <f>DataArrange!AS86</f>
        <v>283.89999999999998</v>
      </c>
      <c r="AS35" s="475">
        <f>DataArrange!AT86</f>
        <v>220</v>
      </c>
      <c r="AT35" s="475"/>
      <c r="AU35" s="475"/>
      <c r="AV35" s="475"/>
      <c r="AW35" s="475"/>
      <c r="AX35" s="475"/>
      <c r="AY35" s="475"/>
      <c r="AZ35" s="475"/>
      <c r="BA35" s="475"/>
      <c r="BB35" s="475"/>
      <c r="BC35" s="475"/>
    </row>
    <row r="36" spans="1:55" s="471" customFormat="1" x14ac:dyDescent="0.15">
      <c r="A36" s="478" t="s">
        <v>47</v>
      </c>
      <c r="B36" s="478" t="str">
        <f>DataArrange!B87</f>
        <v>SBTi 1.5C</v>
      </c>
      <c r="C36" s="478" t="str">
        <f>DataArrange!C87</f>
        <v>WORLD</v>
      </c>
      <c r="D36" s="478" t="str">
        <f>DataArrange!D87</f>
        <v>World</v>
      </c>
      <c r="E36" s="478" t="str">
        <f>DataArrange!E87</f>
        <v>Electricity</v>
      </c>
      <c r="F36" s="479" t="str">
        <f>DataArrange!F87</f>
        <v>PJ</v>
      </c>
      <c r="G36" s="113" t="str">
        <f>+G11</f>
        <v>Sub-sector Electricity demand (PJ) Expanded list [Methods model input; Estimated]</v>
      </c>
      <c r="H36" s="471" t="str">
        <f>DataArrange!H87</f>
        <v>Iron and steel</v>
      </c>
      <c r="I36" s="475">
        <f>DataArrange!J87</f>
        <v>4850.1064217312432</v>
      </c>
      <c r="J36" s="475">
        <f>DataArrange!K87</f>
        <v>4850.1064217312432</v>
      </c>
      <c r="K36" s="475">
        <f>DataArrange!L87</f>
        <v>4850.1064217312432</v>
      </c>
      <c r="L36" s="475">
        <f>DataArrange!M87</f>
        <v>4850.1064217312432</v>
      </c>
      <c r="M36" s="475">
        <f>DataArrange!N87</f>
        <v>4850.1064217312432</v>
      </c>
      <c r="N36" s="475">
        <f>DataArrange!O87</f>
        <v>4850.1064217312432</v>
      </c>
      <c r="O36" s="475">
        <f>DataArrange!P87</f>
        <v>4632.6389297592459</v>
      </c>
      <c r="P36" s="475">
        <f>DataArrange!Q87</f>
        <v>4905.2019603023291</v>
      </c>
      <c r="Q36" s="475">
        <f>DataArrange!R87</f>
        <v>4932.8538108572293</v>
      </c>
      <c r="R36" s="475">
        <f>DataArrange!S87</f>
        <v>4960.5749741178779</v>
      </c>
      <c r="S36" s="475">
        <f>DataArrange!T87</f>
        <v>4988.3653940544946</v>
      </c>
      <c r="T36" s="475">
        <f>DataArrange!U87</f>
        <v>5016.2250146976776</v>
      </c>
      <c r="U36" s="475">
        <f>DataArrange!V87</f>
        <v>5082.6805010999187</v>
      </c>
      <c r="V36" s="475">
        <f>DataArrange!W87</f>
        <v>5149.6074743288827</v>
      </c>
      <c r="W36" s="475">
        <f>DataArrange!X87</f>
        <v>5217.0080023493574</v>
      </c>
      <c r="X36" s="475">
        <f>DataArrange!Y87</f>
        <v>5284.8841652374358</v>
      </c>
      <c r="Y36" s="475">
        <f>DataArrange!Z87</f>
        <v>5353.2380552693066</v>
      </c>
      <c r="Z36" s="475">
        <f>DataArrange!AA87</f>
        <v>5363.1384191783609</v>
      </c>
      <c r="AA36" s="475">
        <f>DataArrange!AB87</f>
        <v>5373.0036330141065</v>
      </c>
      <c r="AB36" s="475">
        <f>DataArrange!AC87</f>
        <v>5382.8342597344736</v>
      </c>
      <c r="AC36" s="475">
        <f>DataArrange!AD87</f>
        <v>5392.6308503395785</v>
      </c>
      <c r="AD36" s="475">
        <f>DataArrange!AE87</f>
        <v>5402.3939441875309</v>
      </c>
      <c r="AE36" s="475">
        <f>DataArrange!AF87</f>
        <v>5433.7580086138978</v>
      </c>
      <c r="AF36" s="475">
        <f>DataArrange!AG87</f>
        <v>5464.8138111641474</v>
      </c>
      <c r="AG36" s="475">
        <f>DataArrange!AH87</f>
        <v>5495.5678758102576</v>
      </c>
      <c r="AH36" s="475">
        <f>DataArrange!AI87</f>
        <v>5526.0265437183689</v>
      </c>
      <c r="AI36" s="475">
        <f>DataArrange!AJ87</f>
        <v>5556.1959796071396</v>
      </c>
      <c r="AJ36" s="475">
        <f>DataArrange!AK87</f>
        <v>5595.0825042100996</v>
      </c>
      <c r="AK36" s="475">
        <f>DataArrange!AL87</f>
        <v>5633.9946759631493</v>
      </c>
      <c r="AL36" s="475">
        <f>DataArrange!AM87</f>
        <v>5672.9324134670642</v>
      </c>
      <c r="AM36" s="475">
        <f>DataArrange!AN87</f>
        <v>5711.895635666715</v>
      </c>
      <c r="AN36" s="475">
        <f>DataArrange!AO87</f>
        <v>5750.8842618492563</v>
      </c>
      <c r="AO36" s="475">
        <f>DataArrange!AP87</f>
        <v>5771.24864890972</v>
      </c>
      <c r="AP36" s="475">
        <f>DataArrange!AQ87</f>
        <v>5791.5246001016903</v>
      </c>
      <c r="AQ36" s="475">
        <f>DataArrange!AR87</f>
        <v>5811.7134808872133</v>
      </c>
      <c r="AR36" s="475">
        <f>DataArrange!AS87</f>
        <v>5831.8166287617078</v>
      </c>
      <c r="AS36" s="475">
        <f>DataArrange!AT87</f>
        <v>5851.8353539663103</v>
      </c>
      <c r="AT36" s="475"/>
      <c r="AU36" s="475"/>
      <c r="AV36" s="475"/>
      <c r="AW36" s="475"/>
      <c r="AX36" s="475"/>
      <c r="AY36" s="475"/>
      <c r="AZ36" s="475"/>
      <c r="BA36" s="475"/>
      <c r="BB36" s="475"/>
      <c r="BC36" s="475"/>
    </row>
    <row r="37" spans="1:55" s="471" customFormat="1" x14ac:dyDescent="0.15">
      <c r="A37" s="478" t="s">
        <v>42</v>
      </c>
      <c r="B37" s="478" t="str">
        <f>DataArrange!B88</f>
        <v>SBTi 1.5C</v>
      </c>
      <c r="C37" s="478" t="str">
        <f>DataArrange!C88</f>
        <v>WORLD</v>
      </c>
      <c r="D37" s="478" t="str">
        <f>DataArrange!D88</f>
        <v>World</v>
      </c>
      <c r="E37" s="478" t="str">
        <f>DataArrange!E88</f>
        <v>Output</v>
      </c>
      <c r="F37" s="478" t="s">
        <v>210</v>
      </c>
      <c r="G37" s="471" t="str">
        <f>+G18</f>
        <v>Sub-sector material production (Mt) Expanded list [Methods model input; Estimated]</v>
      </c>
      <c r="H37" s="471" t="str">
        <f>DataArrange!H88</f>
        <v>Iron and steel - core boundary</v>
      </c>
      <c r="I37" s="475">
        <f>DataArrange!J88*1000000</f>
        <v>1869000000</v>
      </c>
      <c r="J37" s="475">
        <f>DataArrange!K88*1000000</f>
        <v>1869000000</v>
      </c>
      <c r="K37" s="475">
        <f>DataArrange!L88*1000000</f>
        <v>1869000000</v>
      </c>
      <c r="L37" s="475">
        <f>DataArrange!M88*1000000</f>
        <v>1869000000</v>
      </c>
      <c r="M37" s="475">
        <f>DataArrange!N88*1000000</f>
        <v>1869000000</v>
      </c>
      <c r="N37" s="475">
        <f>DataArrange!O88*1000000</f>
        <v>1869000000</v>
      </c>
      <c r="O37" s="475">
        <f>DataArrange!P88*1000000</f>
        <v>1781000000</v>
      </c>
      <c r="P37" s="475">
        <f>DataArrange!Q88*1000000</f>
        <v>1881363636.3636363</v>
      </c>
      <c r="Q37" s="475">
        <f>DataArrange!R88*1000000</f>
        <v>1887545454.5454545</v>
      </c>
      <c r="R37" s="475">
        <f>DataArrange!S88*1000000</f>
        <v>1893727272.7272727</v>
      </c>
      <c r="S37" s="475">
        <f>DataArrange!T88*1000000</f>
        <v>1899909090.909091</v>
      </c>
      <c r="T37" s="475">
        <f>DataArrange!U88*1000000</f>
        <v>1906090909.090909</v>
      </c>
      <c r="U37" s="475">
        <f>DataArrange!V88*1000000</f>
        <v>1912272727.2727273</v>
      </c>
      <c r="V37" s="475">
        <f>DataArrange!W88*1000000</f>
        <v>1918454545.4545455</v>
      </c>
      <c r="W37" s="475">
        <f>DataArrange!X88*1000000</f>
        <v>1924636363.6363637</v>
      </c>
      <c r="X37" s="475">
        <f>DataArrange!Y88*1000000</f>
        <v>1930818181.8181818</v>
      </c>
      <c r="Y37" s="475">
        <f>DataArrange!Z88*1000000</f>
        <v>1937000000</v>
      </c>
      <c r="Z37" s="475">
        <f>DataArrange!AA88*1000000</f>
        <v>1939100000</v>
      </c>
      <c r="AA37" s="475">
        <f>DataArrange!AB88*1000000</f>
        <v>1941200000</v>
      </c>
      <c r="AB37" s="475">
        <f>DataArrange!AC88*1000000</f>
        <v>1943300000</v>
      </c>
      <c r="AC37" s="475">
        <f>DataArrange!AD88*1000000</f>
        <v>1945400000</v>
      </c>
      <c r="AD37" s="475">
        <f>DataArrange!AE88*1000000</f>
        <v>1947500000</v>
      </c>
      <c r="AE37" s="475">
        <f>DataArrange!AF88*1000000</f>
        <v>1949600000</v>
      </c>
      <c r="AF37" s="475">
        <f>DataArrange!AG88*1000000</f>
        <v>1951700000</v>
      </c>
      <c r="AG37" s="475">
        <f>DataArrange!AH88*1000000</f>
        <v>1953800000</v>
      </c>
      <c r="AH37" s="475">
        <f>DataArrange!AI88*1000000</f>
        <v>1955900000</v>
      </c>
      <c r="AI37" s="475">
        <f>DataArrange!AJ88*1000000</f>
        <v>1958000000</v>
      </c>
      <c r="AJ37" s="475">
        <f>DataArrange!AK88*1000000</f>
        <v>1960900000</v>
      </c>
      <c r="AK37" s="475">
        <f>DataArrange!AL88*1000000</f>
        <v>1963800000</v>
      </c>
      <c r="AL37" s="475">
        <f>DataArrange!AM88*1000000</f>
        <v>1966700000</v>
      </c>
      <c r="AM37" s="475">
        <f>DataArrange!AN88*1000000</f>
        <v>1969600000</v>
      </c>
      <c r="AN37" s="475">
        <f>DataArrange!AO88*1000000</f>
        <v>1972500000</v>
      </c>
      <c r="AO37" s="475">
        <f>DataArrange!AP88*1000000</f>
        <v>1975400000</v>
      </c>
      <c r="AP37" s="475">
        <f>DataArrange!AQ88*1000000</f>
        <v>1978300000</v>
      </c>
      <c r="AQ37" s="475">
        <f>DataArrange!AR88*1000000</f>
        <v>1981200000</v>
      </c>
      <c r="AR37" s="475">
        <f>DataArrange!AS88*1000000</f>
        <v>1984100000</v>
      </c>
      <c r="AS37" s="475">
        <f>DataArrange!AT88*1000000</f>
        <v>1987000000</v>
      </c>
      <c r="AT37" s="475"/>
      <c r="AU37" s="475"/>
      <c r="AV37" s="475"/>
      <c r="AW37" s="475"/>
      <c r="AX37" s="475"/>
      <c r="AY37" s="475"/>
      <c r="AZ37" s="475"/>
      <c r="BA37" s="475"/>
      <c r="BB37" s="475"/>
      <c r="BC37" s="475"/>
    </row>
    <row r="38" spans="1:55" s="471" customFormat="1" ht="21.75" customHeight="1" x14ac:dyDescent="0.15">
      <c r="A38" s="478" t="s">
        <v>41</v>
      </c>
      <c r="B38" s="478" t="s">
        <v>261</v>
      </c>
      <c r="C38" s="478" t="s">
        <v>22</v>
      </c>
      <c r="D38" s="478" t="s">
        <v>18</v>
      </c>
      <c r="E38" s="478" t="s">
        <v>24</v>
      </c>
      <c r="F38" s="479" t="s">
        <v>432</v>
      </c>
      <c r="G38" s="113" t="str">
        <f>+G28</f>
        <v>Sub-sector CO2 emissions (KtCO2) Expanded list [Methods model input; Estimated]</v>
      </c>
      <c r="H38" s="471" t="s">
        <v>49</v>
      </c>
      <c r="I38" s="475">
        <f>DataArrange!J89*1000</f>
        <v>918895.57394509739</v>
      </c>
      <c r="J38" s="475">
        <f>DataArrange!K89*1000</f>
        <v>930516.45915607782</v>
      </c>
      <c r="K38" s="475">
        <f>DataArrange!L89*1000</f>
        <v>942137.34436705837</v>
      </c>
      <c r="L38" s="475">
        <f>DataArrange!M89*1000</f>
        <v>953758.22957803891</v>
      </c>
      <c r="M38" s="475">
        <f>DataArrange!N89*1000</f>
        <v>965379.11478901946</v>
      </c>
      <c r="N38" s="475">
        <f>DataArrange!O89*1000</f>
        <v>977000</v>
      </c>
      <c r="O38" s="475">
        <f>DataArrange!P89*1000</f>
        <v>892000</v>
      </c>
      <c r="P38" s="475">
        <f>DataArrange!Q89*1000</f>
        <v>877909.09090909082</v>
      </c>
      <c r="Q38" s="475">
        <f>DataArrange!R89*1000</f>
        <v>828363.63636363635</v>
      </c>
      <c r="R38" s="475">
        <f>DataArrange!S89*1000</f>
        <v>778818.18181818177</v>
      </c>
      <c r="S38" s="475">
        <f>DataArrange!T89*1000</f>
        <v>729272.72727272729</v>
      </c>
      <c r="T38" s="475">
        <f>DataArrange!U89*1000</f>
        <v>679727.27272727271</v>
      </c>
      <c r="U38" s="475">
        <f>DataArrange!V89*1000</f>
        <v>630181.81818181823</v>
      </c>
      <c r="V38" s="475">
        <f>DataArrange!W89*1000</f>
        <v>580636.36363636365</v>
      </c>
      <c r="W38" s="475">
        <f>DataArrange!X89*1000</f>
        <v>531090.90909090906</v>
      </c>
      <c r="X38" s="475">
        <f>DataArrange!Y89*1000</f>
        <v>481545.45454545459</v>
      </c>
      <c r="Y38" s="475">
        <f>DataArrange!Z89*1000</f>
        <v>432000</v>
      </c>
      <c r="Z38" s="475">
        <f>DataArrange!AA89*1000</f>
        <v>403200</v>
      </c>
      <c r="AA38" s="475">
        <f>DataArrange!AB89*1000</f>
        <v>374400</v>
      </c>
      <c r="AB38" s="475">
        <f>DataArrange!AC89*1000</f>
        <v>345600</v>
      </c>
      <c r="AC38" s="475">
        <f>DataArrange!AD89*1000</f>
        <v>316800</v>
      </c>
      <c r="AD38" s="475">
        <f>DataArrange!AE89*1000</f>
        <v>288000</v>
      </c>
      <c r="AE38" s="475">
        <f>DataArrange!AF89*1000</f>
        <v>259200</v>
      </c>
      <c r="AF38" s="475">
        <f>DataArrange!AG89*1000</f>
        <v>230400</v>
      </c>
      <c r="AG38" s="475">
        <f>DataArrange!AH89*1000</f>
        <v>201600</v>
      </c>
      <c r="AH38" s="475">
        <f>DataArrange!AI89*1000</f>
        <v>172800</v>
      </c>
      <c r="AI38" s="475">
        <f>DataArrange!AJ89*1000</f>
        <v>144000</v>
      </c>
      <c r="AJ38" s="475">
        <f>DataArrange!AK89*1000</f>
        <v>131000</v>
      </c>
      <c r="AK38" s="475">
        <f>DataArrange!AL89*1000</f>
        <v>118000</v>
      </c>
      <c r="AL38" s="475">
        <f>DataArrange!AM89*1000</f>
        <v>105000</v>
      </c>
      <c r="AM38" s="475">
        <f>DataArrange!AN89*1000</f>
        <v>92000</v>
      </c>
      <c r="AN38" s="475">
        <f>DataArrange!AO89*1000</f>
        <v>79000</v>
      </c>
      <c r="AO38" s="475">
        <f>DataArrange!AP89*1000</f>
        <v>66000</v>
      </c>
      <c r="AP38" s="475">
        <f>DataArrange!AQ89*1000</f>
        <v>53000</v>
      </c>
      <c r="AQ38" s="475">
        <f>DataArrange!AR89*1000</f>
        <v>40000</v>
      </c>
      <c r="AR38" s="475">
        <f>DataArrange!AS89*1000</f>
        <v>27000</v>
      </c>
      <c r="AS38" s="475">
        <f>DataArrange!AT89*1000</f>
        <v>14000</v>
      </c>
      <c r="AT38" s="475"/>
      <c r="AU38" s="475"/>
      <c r="AV38" s="475"/>
      <c r="AW38" s="475"/>
      <c r="AX38" s="475"/>
      <c r="AY38" s="475"/>
      <c r="AZ38" s="475"/>
      <c r="BA38" s="475"/>
      <c r="BB38" s="475"/>
      <c r="BC38" s="475"/>
    </row>
    <row r="39" spans="1:55" s="471" customFormat="1" ht="21.75" customHeight="1" x14ac:dyDescent="0.15">
      <c r="A39" s="478" t="s">
        <v>47</v>
      </c>
      <c r="B39" s="478" t="s">
        <v>261</v>
      </c>
      <c r="C39" s="478" t="s">
        <v>22</v>
      </c>
      <c r="D39" s="478" t="s">
        <v>18</v>
      </c>
      <c r="E39" s="478" t="s">
        <v>37</v>
      </c>
      <c r="F39" s="478" t="s">
        <v>30</v>
      </c>
      <c r="G39" s="113" t="str">
        <f>+G29</f>
        <v>Sub-sector Electricity demand (PJ) Expanded list [Methods model input; Estimated]</v>
      </c>
      <c r="H39" s="471" t="s">
        <v>49</v>
      </c>
      <c r="I39" s="475">
        <f>DataArrange!J90</f>
        <v>17800.654137950361</v>
      </c>
      <c r="J39" s="475">
        <f>DataArrange!K90</f>
        <v>18100.68225768991</v>
      </c>
      <c r="K39" s="475">
        <f>DataArrange!L90</f>
        <v>18400.710377429463</v>
      </c>
      <c r="L39" s="475">
        <f>DataArrange!M90</f>
        <v>18700.738497169012</v>
      </c>
      <c r="M39" s="475">
        <f>DataArrange!N90</f>
        <v>19000.766616908564</v>
      </c>
      <c r="N39" s="475">
        <f>DataArrange!O90</f>
        <v>19300.794736648113</v>
      </c>
      <c r="O39" s="475">
        <f>DataArrange!P90</f>
        <v>18725.34344171048</v>
      </c>
      <c r="P39" s="475">
        <f>DataArrange!Q90</f>
        <v>19206.998117105726</v>
      </c>
      <c r="Q39" s="475">
        <f>DataArrange!R90</f>
        <v>19164.884328128217</v>
      </c>
      <c r="R39" s="475">
        <f>DataArrange!S90</f>
        <v>19125.752698858039</v>
      </c>
      <c r="S39" s="475">
        <f>DataArrange!T90</f>
        <v>19089.460043585288</v>
      </c>
      <c r="T39" s="475">
        <f>DataArrange!U90</f>
        <v>19055.872198779856</v>
      </c>
      <c r="U39" s="475">
        <f>DataArrange!V90</f>
        <v>18917.222358874034</v>
      </c>
      <c r="V39" s="475">
        <f>DataArrange!W90</f>
        <v>18784.306478901221</v>
      </c>
      <c r="W39" s="475">
        <f>DataArrange!X90</f>
        <v>18656.833126653877</v>
      </c>
      <c r="X39" s="475">
        <f>DataArrange!Y90</f>
        <v>18534.530290542276</v>
      </c>
      <c r="Y39" s="475">
        <f>DataArrange!Z90</f>
        <v>18417.143788401074</v>
      </c>
      <c r="Z39" s="475">
        <f>DataArrange!AA90</f>
        <v>18493.827317069859</v>
      </c>
      <c r="AA39" s="475">
        <f>DataArrange!AB90</f>
        <v>18571.753687846271</v>
      </c>
      <c r="AB39" s="475">
        <f>DataArrange!AC90</f>
        <v>18650.861949590719</v>
      </c>
      <c r="AC39" s="475">
        <f>DataArrange!AD90</f>
        <v>18731.095072592325</v>
      </c>
      <c r="AD39" s="475">
        <f>DataArrange!AE90</f>
        <v>18812.399638193641</v>
      </c>
      <c r="AE39" s="475">
        <f>DataArrange!AF90</f>
        <v>18888.919968102269</v>
      </c>
      <c r="AF39" s="475">
        <f>DataArrange!AG90</f>
        <v>18965.91001671696</v>
      </c>
      <c r="AG39" s="475">
        <f>DataArrange!AH90</f>
        <v>19043.350797694446</v>
      </c>
      <c r="AH39" s="475">
        <f>DataArrange!AI90</f>
        <v>19121.224334342074</v>
      </c>
      <c r="AI39" s="475">
        <f>DataArrange!AJ90</f>
        <v>19199.51359338469</v>
      </c>
      <c r="AJ39" s="475">
        <f>DataArrange!AK90</f>
        <v>19279.673567410111</v>
      </c>
      <c r="AK39" s="475">
        <f>DataArrange!AL90</f>
        <v>19359.669065435253</v>
      </c>
      <c r="AL39" s="475">
        <f>DataArrange!AM90</f>
        <v>19439.505425393985</v>
      </c>
      <c r="AM39" s="475">
        <f>DataArrange!AN90</f>
        <v>19519.187756707877</v>
      </c>
      <c r="AN39" s="475">
        <f>DataArrange!AO90</f>
        <v>19598.720952384734</v>
      </c>
      <c r="AO39" s="475">
        <f>DataArrange!AP90</f>
        <v>19679.828078368751</v>
      </c>
      <c r="AP39" s="475">
        <f>DataArrange!AQ90</f>
        <v>19760.323962404535</v>
      </c>
      <c r="AQ39" s="475">
        <f>DataArrange!AR90</f>
        <v>19840.224343631511</v>
      </c>
      <c r="AR39" s="475">
        <f>DataArrange!AS90</f>
        <v>19919.54442542226</v>
      </c>
      <c r="AS39" s="475">
        <f>DataArrange!AT90</f>
        <v>19998.298897987283</v>
      </c>
      <c r="AT39" s="475"/>
      <c r="AU39" s="475"/>
      <c r="AV39" s="475"/>
      <c r="AW39" s="475"/>
      <c r="AX39" s="475"/>
      <c r="AY39" s="475"/>
      <c r="AZ39" s="475"/>
      <c r="BA39" s="475"/>
      <c r="BB39" s="475"/>
      <c r="BC39" s="475"/>
    </row>
    <row r="40" spans="1:55" s="471" customFormat="1" ht="21.75" customHeight="1" x14ac:dyDescent="0.15">
      <c r="A40" s="478" t="s">
        <v>42</v>
      </c>
      <c r="B40" s="478" t="s">
        <v>261</v>
      </c>
      <c r="C40" s="478" t="s">
        <v>22</v>
      </c>
      <c r="D40" s="478" t="s">
        <v>18</v>
      </c>
      <c r="E40" s="478" t="s">
        <v>31</v>
      </c>
      <c r="F40" s="479" t="s">
        <v>211</v>
      </c>
      <c r="G40" s="113" t="str">
        <f>+G30</f>
        <v>Sub-sector activity output (m2) Expanded list [Methods model input; Estimated]</v>
      </c>
      <c r="H40" s="471" t="s">
        <v>49</v>
      </c>
      <c r="I40" s="475">
        <f>DataArrange!J91*1000000</f>
        <v>40143000000</v>
      </c>
      <c r="J40" s="475">
        <f>DataArrange!K91*1000000</f>
        <v>42048400000</v>
      </c>
      <c r="K40" s="475">
        <f>DataArrange!L91*1000000</f>
        <v>43953800000</v>
      </c>
      <c r="L40" s="475">
        <f>DataArrange!M91*1000000</f>
        <v>45859200000</v>
      </c>
      <c r="M40" s="475">
        <f>DataArrange!N91*1000000</f>
        <v>47764600000</v>
      </c>
      <c r="N40" s="475">
        <f>DataArrange!O91*1000000</f>
        <v>49670000000</v>
      </c>
      <c r="O40" s="475">
        <f>DataArrange!P91*1000000</f>
        <v>49825000000</v>
      </c>
      <c r="P40" s="475">
        <f>DataArrange!Q91*1000000</f>
        <v>51342181818.181816</v>
      </c>
      <c r="Q40" s="475">
        <f>DataArrange!R91*1000000</f>
        <v>52178272727.272728</v>
      </c>
      <c r="R40" s="475">
        <f>DataArrange!S91*1000000</f>
        <v>53014363636.36364</v>
      </c>
      <c r="S40" s="475">
        <f>DataArrange!T91*1000000</f>
        <v>53850454545.454544</v>
      </c>
      <c r="T40" s="475">
        <f>DataArrange!U91*1000000</f>
        <v>54686545454.545456</v>
      </c>
      <c r="U40" s="475">
        <f>DataArrange!V91*1000000</f>
        <v>55522636363.636368</v>
      </c>
      <c r="V40" s="475">
        <f>DataArrange!W91*1000000</f>
        <v>56358727272.727272</v>
      </c>
      <c r="W40" s="475">
        <f>DataArrange!X91*1000000</f>
        <v>57194818181.818184</v>
      </c>
      <c r="X40" s="475">
        <f>DataArrange!Y91*1000000</f>
        <v>58030909090.909088</v>
      </c>
      <c r="Y40" s="475">
        <f>DataArrange!Z91*1000000</f>
        <v>58867000000</v>
      </c>
      <c r="Z40" s="475">
        <f>DataArrange!AA91*1000000</f>
        <v>59837900000</v>
      </c>
      <c r="AA40" s="475">
        <f>DataArrange!AB91*1000000</f>
        <v>60808800000</v>
      </c>
      <c r="AB40" s="475">
        <f>DataArrange!AC91*1000000</f>
        <v>61779700000</v>
      </c>
      <c r="AC40" s="475">
        <f>DataArrange!AD91*1000000</f>
        <v>62750600000</v>
      </c>
      <c r="AD40" s="475">
        <f>DataArrange!AE91*1000000</f>
        <v>63721500000</v>
      </c>
      <c r="AE40" s="475">
        <f>DataArrange!AF91*1000000</f>
        <v>64692400000</v>
      </c>
      <c r="AF40" s="475">
        <f>DataArrange!AG91*1000000</f>
        <v>65663300000</v>
      </c>
      <c r="AG40" s="475">
        <f>DataArrange!AH91*1000000</f>
        <v>66634200000</v>
      </c>
      <c r="AH40" s="475">
        <f>DataArrange!AI91*1000000</f>
        <v>67605100000.000008</v>
      </c>
      <c r="AI40" s="475">
        <f>DataArrange!AJ91*1000000</f>
        <v>68576000000</v>
      </c>
      <c r="AJ40" s="475">
        <f>DataArrange!AK91*1000000</f>
        <v>69534100000</v>
      </c>
      <c r="AK40" s="475">
        <f>DataArrange!AL91*1000000</f>
        <v>70492200000</v>
      </c>
      <c r="AL40" s="475">
        <f>DataArrange!AM91*1000000</f>
        <v>71450300000</v>
      </c>
      <c r="AM40" s="475">
        <f>DataArrange!AN91*1000000</f>
        <v>72408400000</v>
      </c>
      <c r="AN40" s="475">
        <f>DataArrange!AO91*1000000</f>
        <v>73366500000</v>
      </c>
      <c r="AO40" s="475">
        <f>DataArrange!AP91*1000000</f>
        <v>74324600000</v>
      </c>
      <c r="AP40" s="475">
        <f>DataArrange!AQ91*1000000</f>
        <v>75282700000</v>
      </c>
      <c r="AQ40" s="475">
        <f>DataArrange!AR91*1000000</f>
        <v>76240800000</v>
      </c>
      <c r="AR40" s="475">
        <f>DataArrange!AS91*1000000</f>
        <v>77198900000</v>
      </c>
      <c r="AS40" s="475">
        <f>DataArrange!AT91*1000000</f>
        <v>78157000000</v>
      </c>
      <c r="AT40" s="475"/>
      <c r="AU40" s="475"/>
      <c r="AV40" s="475"/>
      <c r="AW40" s="475"/>
      <c r="AX40" s="475"/>
      <c r="AY40" s="475"/>
      <c r="AZ40" s="475"/>
      <c r="BA40" s="475"/>
      <c r="BB40" s="475"/>
      <c r="BC40" s="475"/>
    </row>
    <row r="41" spans="1:55" s="471" customFormat="1" ht="21.75" customHeight="1" x14ac:dyDescent="0.15">
      <c r="A41" s="478" t="s">
        <v>41</v>
      </c>
      <c r="B41" s="478" t="s">
        <v>261</v>
      </c>
      <c r="C41" s="478" t="s">
        <v>22</v>
      </c>
      <c r="D41" s="478" t="s">
        <v>18</v>
      </c>
      <c r="E41" s="478" t="s">
        <v>24</v>
      </c>
      <c r="F41" s="478" t="s">
        <v>432</v>
      </c>
      <c r="G41" s="471" t="str">
        <f>+G38</f>
        <v>Sub-sector CO2 emissions (KtCO2) Expanded list [Methods model input; Estimated]</v>
      </c>
      <c r="H41" s="471" t="s">
        <v>410</v>
      </c>
      <c r="I41" s="475">
        <f>DataArrange!J92*1000</f>
        <v>1971719.6040309963</v>
      </c>
      <c r="J41" s="475">
        <f>DataArrange!K92*1000</f>
        <v>1983375.683224797</v>
      </c>
      <c r="K41" s="475">
        <f>DataArrange!L92*1000</f>
        <v>1995031.7624185977</v>
      </c>
      <c r="L41" s="475">
        <f>DataArrange!M92*1000</f>
        <v>2006687.8416123986</v>
      </c>
      <c r="M41" s="475">
        <f>DataArrange!N92*1000</f>
        <v>2018343.9208061993</v>
      </c>
      <c r="N41" s="475">
        <f>DataArrange!O92*1000</f>
        <v>2030000</v>
      </c>
      <c r="O41" s="475">
        <f>DataArrange!P92*1000</f>
        <v>1968000</v>
      </c>
      <c r="P41" s="475">
        <f>DataArrange!Q92*1000</f>
        <v>1911272.7272727273</v>
      </c>
      <c r="Q41" s="475">
        <f>DataArrange!R92*1000</f>
        <v>1851909.0909090911</v>
      </c>
      <c r="R41" s="475">
        <f>DataArrange!S92*1000</f>
        <v>1792545.4545454546</v>
      </c>
      <c r="S41" s="475">
        <f>DataArrange!T92*1000</f>
        <v>1733181.8181818184</v>
      </c>
      <c r="T41" s="475">
        <f>DataArrange!U92*1000</f>
        <v>1673818.1818181816</v>
      </c>
      <c r="U41" s="475">
        <f>DataArrange!V92*1000</f>
        <v>1614454.5454545454</v>
      </c>
      <c r="V41" s="475">
        <f>DataArrange!W92*1000</f>
        <v>1555090.9090909089</v>
      </c>
      <c r="W41" s="475">
        <f>DataArrange!X92*1000</f>
        <v>1495727.2727272727</v>
      </c>
      <c r="X41" s="475">
        <f>DataArrange!Y92*1000</f>
        <v>1436363.6363636365</v>
      </c>
      <c r="Y41" s="475">
        <f>DataArrange!Z92*1000</f>
        <v>1377000</v>
      </c>
      <c r="Z41" s="475">
        <f>DataArrange!AA92*1000</f>
        <v>1293500</v>
      </c>
      <c r="AA41" s="475">
        <f>DataArrange!AB92*1000</f>
        <v>1210000</v>
      </c>
      <c r="AB41" s="475">
        <f>DataArrange!AC92*1000</f>
        <v>1126500</v>
      </c>
      <c r="AC41" s="475">
        <f>DataArrange!AD92*1000</f>
        <v>1043000</v>
      </c>
      <c r="AD41" s="475">
        <f>DataArrange!AE92*1000</f>
        <v>959500</v>
      </c>
      <c r="AE41" s="475">
        <f>DataArrange!AF92*1000</f>
        <v>876000</v>
      </c>
      <c r="AF41" s="475">
        <f>DataArrange!AG92*1000</f>
        <v>792500</v>
      </c>
      <c r="AG41" s="475">
        <f>DataArrange!AH92*1000</f>
        <v>709000</v>
      </c>
      <c r="AH41" s="475">
        <f>DataArrange!AI92*1000</f>
        <v>625500</v>
      </c>
      <c r="AI41" s="475">
        <f>DataArrange!AJ92*1000</f>
        <v>542000</v>
      </c>
      <c r="AJ41" s="475">
        <f>DataArrange!AK92*1000</f>
        <v>498600</v>
      </c>
      <c r="AK41" s="475">
        <f>DataArrange!AL92*1000</f>
        <v>455200</v>
      </c>
      <c r="AL41" s="475">
        <f>DataArrange!AM92*1000</f>
        <v>411800</v>
      </c>
      <c r="AM41" s="475">
        <f>DataArrange!AN92*1000</f>
        <v>368400</v>
      </c>
      <c r="AN41" s="475">
        <f>DataArrange!AO92*1000</f>
        <v>325000</v>
      </c>
      <c r="AO41" s="475">
        <f>DataArrange!AP92*1000</f>
        <v>281600</v>
      </c>
      <c r="AP41" s="475">
        <f>DataArrange!AQ92*1000</f>
        <v>238200</v>
      </c>
      <c r="AQ41" s="475">
        <f>DataArrange!AR92*1000</f>
        <v>194800</v>
      </c>
      <c r="AR41" s="475">
        <f>DataArrange!AS92*1000</f>
        <v>151400.00000000003</v>
      </c>
      <c r="AS41" s="475">
        <f>DataArrange!AT92*1000</f>
        <v>108000</v>
      </c>
      <c r="AT41" s="475"/>
      <c r="AU41" s="475"/>
      <c r="AV41" s="475"/>
      <c r="AW41" s="475"/>
      <c r="AX41" s="475"/>
      <c r="AY41" s="475"/>
      <c r="AZ41" s="475"/>
      <c r="BA41" s="475"/>
      <c r="BB41" s="475"/>
      <c r="BC41" s="475"/>
    </row>
    <row r="42" spans="1:55" s="471" customFormat="1" ht="21.75" customHeight="1" x14ac:dyDescent="0.15">
      <c r="A42" s="478" t="s">
        <v>47</v>
      </c>
      <c r="B42" s="478" t="s">
        <v>261</v>
      </c>
      <c r="C42" s="478" t="s">
        <v>22</v>
      </c>
      <c r="D42" s="478" t="s">
        <v>18</v>
      </c>
      <c r="E42" s="478" t="s">
        <v>37</v>
      </c>
      <c r="F42" s="479" t="s">
        <v>30</v>
      </c>
      <c r="G42" s="471" t="str">
        <f t="shared" ref="G42:G43" si="1">+G39</f>
        <v>Sub-sector Electricity demand (PJ) Expanded list [Methods model input; Estimated]</v>
      </c>
      <c r="H42" s="471" t="s">
        <v>410</v>
      </c>
      <c r="I42" s="475">
        <f>DataArrange!J93</f>
        <v>20426.919965419918</v>
      </c>
      <c r="J42" s="475">
        <f>DataArrange!K93</f>
        <v>21081.377025006313</v>
      </c>
      <c r="K42" s="475">
        <f>DataArrange!L93</f>
        <v>21735.834084592705</v>
      </c>
      <c r="L42" s="475">
        <f>DataArrange!M93</f>
        <v>22390.2911441791</v>
      </c>
      <c r="M42" s="475">
        <f>DataArrange!N93</f>
        <v>23044.748203765492</v>
      </c>
      <c r="N42" s="475">
        <f>DataArrange!O93</f>
        <v>23699.205263351887</v>
      </c>
      <c r="O42" s="475">
        <f>DataArrange!P93</f>
        <v>23274.656558289513</v>
      </c>
      <c r="P42" s="475">
        <f>DataArrange!Q93</f>
        <v>24156.638246530638</v>
      </c>
      <c r="Q42" s="475">
        <f>DataArrange!R93</f>
        <v>24380.570217326323</v>
      </c>
      <c r="R42" s="475">
        <f>DataArrange!S93</f>
        <v>24601.520028414692</v>
      </c>
      <c r="S42" s="475">
        <f>DataArrange!T93</f>
        <v>24819.63086550562</v>
      </c>
      <c r="T42" s="475">
        <f>DataArrange!U93</f>
        <v>25035.036892129236</v>
      </c>
      <c r="U42" s="475">
        <f>DataArrange!V93</f>
        <v>25355.504913853234</v>
      </c>
      <c r="V42" s="475">
        <f>DataArrange!W93</f>
        <v>25670.238975644239</v>
      </c>
      <c r="W42" s="475">
        <f>DataArrange!X93</f>
        <v>25979.530509709759</v>
      </c>
      <c r="X42" s="475">
        <f>DataArrange!Y93</f>
        <v>26283.651527639537</v>
      </c>
      <c r="Y42" s="475">
        <f>DataArrange!Z93</f>
        <v>26582.85621159893</v>
      </c>
      <c r="Z42" s="475">
        <f>DataArrange!AA93</f>
        <v>27106.172682930144</v>
      </c>
      <c r="AA42" s="475">
        <f>DataArrange!AB93</f>
        <v>27628.246312153729</v>
      </c>
      <c r="AB42" s="475">
        <f>DataArrange!AC93</f>
        <v>28149.138050409281</v>
      </c>
      <c r="AC42" s="475">
        <f>DataArrange!AD93</f>
        <v>28668.904927407675</v>
      </c>
      <c r="AD42" s="475">
        <f>DataArrange!AE93</f>
        <v>29187.600361806359</v>
      </c>
      <c r="AE42" s="475">
        <f>DataArrange!AF93</f>
        <v>29711.080031897727</v>
      </c>
      <c r="AF42" s="475">
        <f>DataArrange!AG93</f>
        <v>30234.08998328304</v>
      </c>
      <c r="AG42" s="475">
        <f>DataArrange!AH93</f>
        <v>30756.649202305554</v>
      </c>
      <c r="AH42" s="475">
        <f>DataArrange!AI93</f>
        <v>31278.775665657926</v>
      </c>
      <c r="AI42" s="475">
        <f>DataArrange!AJ93</f>
        <v>31800.486406615306</v>
      </c>
      <c r="AJ42" s="475">
        <f>DataArrange!AK93</f>
        <v>32320.326432589885</v>
      </c>
      <c r="AK42" s="475">
        <f>DataArrange!AL93</f>
        <v>32840.33093456475</v>
      </c>
      <c r="AL42" s="475">
        <f>DataArrange!AM93</f>
        <v>33360.494574606018</v>
      </c>
      <c r="AM42" s="475">
        <f>DataArrange!AN93</f>
        <v>33880.812243292123</v>
      </c>
      <c r="AN42" s="475">
        <f>DataArrange!AO93</f>
        <v>34401.279047615266</v>
      </c>
      <c r="AO42" s="475">
        <f>DataArrange!AP93</f>
        <v>34920.171921631249</v>
      </c>
      <c r="AP42" s="475">
        <f>DataArrange!AQ93</f>
        <v>35439.676037595462</v>
      </c>
      <c r="AQ42" s="475">
        <f>DataArrange!AR93</f>
        <v>35959.775656368482</v>
      </c>
      <c r="AR42" s="475">
        <f>DataArrange!AS93</f>
        <v>36480.45557457774</v>
      </c>
      <c r="AS42" s="475">
        <f>DataArrange!AT93</f>
        <v>37001.701102012717</v>
      </c>
      <c r="AT42" s="475"/>
      <c r="AU42" s="475"/>
      <c r="AV42" s="475"/>
      <c r="AW42" s="475"/>
      <c r="AX42" s="475"/>
      <c r="AY42" s="475"/>
      <c r="AZ42" s="475"/>
      <c r="BA42" s="475"/>
      <c r="BB42" s="475"/>
      <c r="BC42" s="475"/>
    </row>
    <row r="43" spans="1:55" s="471" customFormat="1" ht="21.75" customHeight="1" x14ac:dyDescent="0.15">
      <c r="A43" s="478" t="s">
        <v>42</v>
      </c>
      <c r="B43" s="478" t="s">
        <v>261</v>
      </c>
      <c r="C43" s="478" t="s">
        <v>22</v>
      </c>
      <c r="D43" s="478" t="s">
        <v>18</v>
      </c>
      <c r="E43" s="478" t="s">
        <v>31</v>
      </c>
      <c r="F43" s="478" t="s">
        <v>211</v>
      </c>
      <c r="G43" s="471" t="str">
        <f t="shared" si="1"/>
        <v>Sub-sector activity output (m2) Expanded list [Methods model input; Estimated]</v>
      </c>
      <c r="H43" s="471" t="s">
        <v>410</v>
      </c>
      <c r="I43" s="475">
        <f>DataArrange!J94*1000000</f>
        <v>177724222222.22223</v>
      </c>
      <c r="J43" s="475">
        <f>DataArrange!K94*1000000</f>
        <v>180191777777.77777</v>
      </c>
      <c r="K43" s="475">
        <f>DataArrange!L94*1000000</f>
        <v>182659333333.33334</v>
      </c>
      <c r="L43" s="475">
        <f>DataArrange!M94*1000000</f>
        <v>185126888888.88889</v>
      </c>
      <c r="M43" s="475">
        <f>DataArrange!N94*1000000</f>
        <v>187594444444.44443</v>
      </c>
      <c r="N43" s="475">
        <f>DataArrange!O94*1000000</f>
        <v>190062000000</v>
      </c>
      <c r="O43" s="475">
        <f>DataArrange!P94*1000000</f>
        <v>192558000000</v>
      </c>
      <c r="P43" s="475">
        <f>DataArrange!Q94*1000000</f>
        <v>198368000000</v>
      </c>
      <c r="Q43" s="475">
        <f>DataArrange!R94*1000000</f>
        <v>202521000000</v>
      </c>
      <c r="R43" s="475">
        <f>DataArrange!S94*1000000</f>
        <v>206674000000</v>
      </c>
      <c r="S43" s="475">
        <f>DataArrange!T94*1000000</f>
        <v>210827000000</v>
      </c>
      <c r="T43" s="475">
        <f>DataArrange!U94*1000000</f>
        <v>214980000000</v>
      </c>
      <c r="U43" s="475">
        <f>DataArrange!V94*1000000</f>
        <v>219133000000</v>
      </c>
      <c r="V43" s="475">
        <f>DataArrange!W94*1000000</f>
        <v>223286000000</v>
      </c>
      <c r="W43" s="475">
        <f>DataArrange!X94*1000000</f>
        <v>227439000000</v>
      </c>
      <c r="X43" s="475">
        <f>DataArrange!Y94*1000000</f>
        <v>231592000000</v>
      </c>
      <c r="Y43" s="475">
        <f>DataArrange!Z94*1000000</f>
        <v>235745000000</v>
      </c>
      <c r="Z43" s="475">
        <f>DataArrange!AA94*1000000</f>
        <v>241240100000</v>
      </c>
      <c r="AA43" s="475">
        <f>DataArrange!AB94*1000000</f>
        <v>246735200000</v>
      </c>
      <c r="AB43" s="475">
        <f>DataArrange!AC94*1000000</f>
        <v>252230300000</v>
      </c>
      <c r="AC43" s="475">
        <f>DataArrange!AD94*1000000</f>
        <v>257725400000</v>
      </c>
      <c r="AD43" s="475">
        <f>DataArrange!AE94*1000000</f>
        <v>263220500000</v>
      </c>
      <c r="AE43" s="475">
        <f>DataArrange!AF94*1000000</f>
        <v>268715599999.99997</v>
      </c>
      <c r="AF43" s="475">
        <f>DataArrange!AG94*1000000</f>
        <v>274210700000</v>
      </c>
      <c r="AG43" s="475">
        <f>DataArrange!AH94*1000000</f>
        <v>279705800000</v>
      </c>
      <c r="AH43" s="475">
        <f>DataArrange!AI94*1000000</f>
        <v>285200900000</v>
      </c>
      <c r="AI43" s="475">
        <f>DataArrange!AJ94*1000000</f>
        <v>290696000000</v>
      </c>
      <c r="AJ43" s="475">
        <f>DataArrange!AK94*1000000</f>
        <v>296144700000</v>
      </c>
      <c r="AK43" s="475">
        <f>DataArrange!AL94*1000000</f>
        <v>301593400000</v>
      </c>
      <c r="AL43" s="475">
        <f>DataArrange!AM94*1000000</f>
        <v>307042100000</v>
      </c>
      <c r="AM43" s="475">
        <f>DataArrange!AN94*1000000</f>
        <v>312490800000</v>
      </c>
      <c r="AN43" s="475">
        <f>DataArrange!AO94*1000000</f>
        <v>317939500000</v>
      </c>
      <c r="AO43" s="475">
        <f>DataArrange!AP94*1000000</f>
        <v>323388200000</v>
      </c>
      <c r="AP43" s="475">
        <f>DataArrange!AQ94*1000000</f>
        <v>328836900000</v>
      </c>
      <c r="AQ43" s="475">
        <f>DataArrange!AR94*1000000</f>
        <v>334285600000</v>
      </c>
      <c r="AR43" s="475">
        <f>DataArrange!AS94*1000000</f>
        <v>339734300000</v>
      </c>
      <c r="AS43" s="475">
        <f>DataArrange!AT94*1000000</f>
        <v>345183000000</v>
      </c>
      <c r="AT43" s="475"/>
      <c r="AU43" s="475"/>
      <c r="AV43" s="475"/>
      <c r="AW43" s="475"/>
      <c r="AX43" s="475"/>
      <c r="AY43" s="475"/>
      <c r="AZ43" s="475"/>
      <c r="BA43" s="475"/>
      <c r="BB43" s="475"/>
      <c r="BC43" s="475"/>
    </row>
    <row r="44" spans="1:55" s="534" customFormat="1" x14ac:dyDescent="0.15">
      <c r="A44" s="532" t="str">
        <f>DataArrange!A96</f>
        <v>SE</v>
      </c>
      <c r="B44" s="532" t="str">
        <f>DataArrange!B96</f>
        <v>SBTi 1.5C</v>
      </c>
      <c r="C44" s="532" t="str">
        <f>DataArrange!C96</f>
        <v>WORLD</v>
      </c>
      <c r="D44" s="532" t="str">
        <f>DataArrange!D96</f>
        <v>World</v>
      </c>
      <c r="E44" s="532" t="str">
        <f>DataArrange!E96</f>
        <v>Emissions</v>
      </c>
      <c r="F44" s="532" t="str">
        <f>DataArrange!F96</f>
        <v>MtCO2</v>
      </c>
      <c r="G44" s="535" t="str">
        <f>DataArrange!G96</f>
        <v>Total emissions from the steel core boundary</v>
      </c>
      <c r="H44" s="535" t="str">
        <f>DataArrange!H96</f>
        <v>Iron and steel - core boundary</v>
      </c>
      <c r="I44" s="536">
        <f>DataArrange!J96</f>
        <v>3519.0886528101346</v>
      </c>
      <c r="J44" s="536">
        <f>DataArrange!K96</f>
        <v>3519.0886528101346</v>
      </c>
      <c r="K44" s="536">
        <f>DataArrange!L96</f>
        <v>3519.0886528101346</v>
      </c>
      <c r="L44" s="536">
        <f>DataArrange!M96</f>
        <v>3519.0886528101346</v>
      </c>
      <c r="M44" s="536">
        <f>DataArrange!N96</f>
        <v>3519.4657579772156</v>
      </c>
      <c r="N44" s="536">
        <f>DataArrange!O96</f>
        <v>3519.0886528101346</v>
      </c>
      <c r="O44" s="536">
        <f>DataArrange!P96</f>
        <v>3219.6710209068819</v>
      </c>
      <c r="P44" s="536">
        <f>DataArrange!Q96</f>
        <v>3210.7754604904781</v>
      </c>
      <c r="Q44" s="536">
        <f>DataArrange!R96</f>
        <v>3112.7439591503644</v>
      </c>
      <c r="R44" s="536">
        <f>DataArrange!S96</f>
        <v>3014.6892759920693</v>
      </c>
      <c r="S44" s="536">
        <f>DataArrange!T96</f>
        <v>2916.6114110155927</v>
      </c>
      <c r="T44" s="536">
        <f>DataArrange!U96</f>
        <v>2818.5103642209342</v>
      </c>
      <c r="U44" s="536">
        <f>DataArrange!V96</f>
        <v>2720.3861356080938</v>
      </c>
      <c r="V44" s="536">
        <f>DataArrange!W96</f>
        <v>2622.2387251770715</v>
      </c>
      <c r="W44" s="536">
        <f>DataArrange!X96</f>
        <v>2524.0681329278673</v>
      </c>
      <c r="X44" s="536">
        <f>DataArrange!Y96</f>
        <v>2425.8743588604812</v>
      </c>
      <c r="Y44" s="536">
        <f>DataArrange!Z96</f>
        <v>2327.6574029749131</v>
      </c>
      <c r="Z44" s="536">
        <f>DataArrange!AA96</f>
        <v>2201.686700601289</v>
      </c>
      <c r="AA44" s="536">
        <f>DataArrange!AB96</f>
        <v>2075.7123494776642</v>
      </c>
      <c r="AB44" s="536">
        <f>DataArrange!AC96</f>
        <v>1949.7343496040398</v>
      </c>
      <c r="AC44" s="536">
        <f>DataArrange!AD96</f>
        <v>1823.7527009804153</v>
      </c>
      <c r="AD44" s="536">
        <f>DataArrange!AE96</f>
        <v>1697.767403606791</v>
      </c>
      <c r="AE44" s="536">
        <f>DataArrange!AF96</f>
        <v>1571.7784574831667</v>
      </c>
      <c r="AF44" s="536">
        <f>DataArrange!AG96</f>
        <v>1445.7858626095419</v>
      </c>
      <c r="AG44" s="536">
        <f>DataArrange!AH96</f>
        <v>1319.7896189859175</v>
      </c>
      <c r="AH44" s="536">
        <f>DataArrange!AI96</f>
        <v>1193.7897266122932</v>
      </c>
      <c r="AI44" s="536">
        <f>DataArrange!AJ96</f>
        <v>1067.7861854886687</v>
      </c>
      <c r="AJ44" s="536">
        <f>DataArrange!AK96</f>
        <v>982.72435331584961</v>
      </c>
      <c r="AK44" s="536">
        <f>DataArrange!AL96</f>
        <v>897.66237614303054</v>
      </c>
      <c r="AL44" s="536">
        <f>DataArrange!AM96</f>
        <v>812.60025397021138</v>
      </c>
      <c r="AM44" s="536">
        <f>DataArrange!AN96</f>
        <v>727.53798679739225</v>
      </c>
      <c r="AN44" s="536">
        <f>DataArrange!AO96</f>
        <v>642.47557462457314</v>
      </c>
      <c r="AO44" s="536">
        <f>DataArrange!AP96</f>
        <v>557.41301745175406</v>
      </c>
      <c r="AP44" s="536">
        <f>DataArrange!AQ96</f>
        <v>472.35031527893489</v>
      </c>
      <c r="AQ44" s="536">
        <f>DataArrange!AR96</f>
        <v>387.2874681061158</v>
      </c>
      <c r="AR44" s="536">
        <f>DataArrange!AS96</f>
        <v>302.22447593329667</v>
      </c>
      <c r="AS44" s="536">
        <f>DataArrange!AT96</f>
        <v>217.16133876047749</v>
      </c>
      <c r="AT44" s="533">
        <f>SUM(Table1[[#This Row],[2014]:[2050]])</f>
        <v>74375.155785184077</v>
      </c>
      <c r="AU44" s="533">
        <f>SUM(Table1[[#This Row],[2020]:[2050]])</f>
        <v>53260.246763156174</v>
      </c>
      <c r="AV44" s="533"/>
      <c r="AW44" s="533"/>
      <c r="AX44" s="533"/>
      <c r="AY44" s="533"/>
      <c r="AZ44" s="533"/>
      <c r="BA44" s="533"/>
      <c r="BB44" s="533"/>
      <c r="BC44" s="533"/>
    </row>
    <row r="45" spans="1:55" x14ac:dyDescent="0.15">
      <c r="A45" s="532" t="str">
        <f>DataArrange!A97</f>
        <v>SI</v>
      </c>
      <c r="B45" s="532" t="str">
        <f>DataArrange!B97</f>
        <v>SBTi 1.5C</v>
      </c>
      <c r="C45" s="532" t="str">
        <f>DataArrange!C97</f>
        <v>WORLD</v>
      </c>
      <c r="D45" s="532" t="str">
        <f>DataArrange!D97</f>
        <v>World</v>
      </c>
      <c r="E45" s="532" t="str">
        <f>DataArrange!E97</f>
        <v>Emissions intensity primary</v>
      </c>
      <c r="F45" s="532" t="str">
        <f>DataArrange!F97</f>
        <v>tCO2/t</v>
      </c>
      <c r="G45" s="535" t="str">
        <f>DataArrange!G97</f>
        <v>Primary intensity</v>
      </c>
      <c r="H45" s="535" t="str">
        <f>DataArrange!H97</f>
        <v>Iron and steel - core boundary</v>
      </c>
      <c r="I45" s="549">
        <f>DataArrange!J97</f>
        <v>2.3499430713587932</v>
      </c>
      <c r="J45" s="549">
        <f>DataArrange!K97</f>
        <v>2.4211073569206505</v>
      </c>
      <c r="K45" s="549">
        <f>DataArrange!L97</f>
        <v>2.4424018088262245</v>
      </c>
      <c r="L45" s="549">
        <f>DataArrange!M97</f>
        <v>2.4642862799622667</v>
      </c>
      <c r="M45" s="549">
        <f>DataArrange!N97</f>
        <v>2.487067690503419</v>
      </c>
      <c r="N45" s="549">
        <f>DataArrange!O97</f>
        <v>2.509887206142364</v>
      </c>
      <c r="O45" s="549">
        <f>DataArrange!P97</f>
        <v>2.4232181366275407</v>
      </c>
      <c r="P45" s="549">
        <f>DataArrange!Q97</f>
        <v>2.2970289089871687</v>
      </c>
      <c r="Q45" s="549">
        <f>DataArrange!R97</f>
        <v>2.2325564833920861</v>
      </c>
      <c r="R45" s="549">
        <f>DataArrange!S97</f>
        <v>2.169051892996543</v>
      </c>
      <c r="S45" s="549">
        <f>DataArrange!T97</f>
        <v>2.1051540203912005</v>
      </c>
      <c r="T45" s="549">
        <f>DataArrange!U97</f>
        <v>2.0408469220445022</v>
      </c>
      <c r="U45" s="549">
        <f>DataArrange!V97</f>
        <v>1.9761141242691576</v>
      </c>
      <c r="V45" s="549">
        <f>DataArrange!W97</f>
        <v>1.9109385972825268</v>
      </c>
      <c r="W45" s="549">
        <f>DataArrange!X97</f>
        <v>1.8442244064835336</v>
      </c>
      <c r="X45" s="549">
        <f>DataArrange!Y97</f>
        <v>1.778148479169098</v>
      </c>
      <c r="Y45" s="549">
        <f>DataArrange!Z97</f>
        <v>1.7115752810089702</v>
      </c>
      <c r="Z45" s="549">
        <f>DataArrange!AA97</f>
        <v>1.6209301110839105</v>
      </c>
      <c r="AA45" s="549">
        <f>DataArrange!AB97</f>
        <v>1.5294901639860059</v>
      </c>
      <c r="AB45" s="549">
        <f>DataArrange!AC97</f>
        <v>1.4372390699102373</v>
      </c>
      <c r="AC45" s="549">
        <f>DataArrange!AD97</f>
        <v>1.3441600282439394</v>
      </c>
      <c r="AD45" s="549">
        <f>DataArrange!AE97</f>
        <v>1.2494897361454405</v>
      </c>
      <c r="AE45" s="549">
        <f>DataArrange!AF97</f>
        <v>1.1547547560515972</v>
      </c>
      <c r="AF45" s="549">
        <f>DataArrange!AG97</f>
        <v>1.0591391672172181</v>
      </c>
      <c r="AG45" s="549">
        <f>DataArrange!AH97</f>
        <v>0.9626243068343302</v>
      </c>
      <c r="AH45" s="549">
        <f>DataArrange!AI97</f>
        <v>0.86519100363151391</v>
      </c>
      <c r="AI45" s="549">
        <f>DataArrange!AJ97</f>
        <v>0.76681956032604404</v>
      </c>
      <c r="AJ45" s="549">
        <f>DataArrange!AK97</f>
        <v>0.70331405454615814</v>
      </c>
      <c r="AK45" s="549">
        <f>DataArrange!AL97</f>
        <v>0.63933852504435629</v>
      </c>
      <c r="AL45" s="549">
        <f>DataArrange!AM97</f>
        <v>0.5748819543329472</v>
      </c>
      <c r="AM45" s="549">
        <f>DataArrange!AN97</f>
        <v>0.50993301904218591</v>
      </c>
      <c r="AN45" s="549">
        <f>DataArrange!AO97</f>
        <v>0.44448007894483826</v>
      </c>
      <c r="AO45" s="549">
        <f>DataArrange!AP97</f>
        <v>0.37876805614402503</v>
      </c>
      <c r="AP45" s="549">
        <f>DataArrange!AQ97</f>
        <v>0.31223257140038119</v>
      </c>
      <c r="AQ45" s="549">
        <f>DataArrange!AR97</f>
        <v>0.24515582753873061</v>
      </c>
      <c r="AR45" s="549">
        <f>DataArrange!AS97</f>
        <v>0.17752478868938304</v>
      </c>
      <c r="AS45" s="549">
        <f>DataArrange!AT97</f>
        <v>0.10932603940472095</v>
      </c>
      <c r="AT45" s="550">
        <f>SUM(Table1[[#This Row],[2014]:[2050]])</f>
        <v>53.248343484883982</v>
      </c>
      <c r="AU45" s="550">
        <f>SUM(Table1[[#This Row],[2020]:[2050]])</f>
        <v>38.573650071170285</v>
      </c>
      <c r="AV45" s="4"/>
      <c r="AW45" s="4"/>
      <c r="AX45" s="4"/>
      <c r="AY45" s="4"/>
      <c r="AZ45" s="4"/>
      <c r="BA45" s="4"/>
      <c r="BB45" s="4"/>
      <c r="BC45" s="4"/>
    </row>
    <row r="46" spans="1:55" x14ac:dyDescent="0.15">
      <c r="A46" s="532" t="str">
        <f>DataArrange!A98</f>
        <v>SI2</v>
      </c>
      <c r="B46" s="532" t="str">
        <f>DataArrange!B98</f>
        <v>SBTi 1.5C</v>
      </c>
      <c r="C46" s="532" t="str">
        <f>DataArrange!C98</f>
        <v>WORLD</v>
      </c>
      <c r="D46" s="532" t="str">
        <f>DataArrange!D98</f>
        <v>World</v>
      </c>
      <c r="E46" s="532" t="str">
        <f>DataArrange!E98</f>
        <v>Emissions intensity secondary</v>
      </c>
      <c r="F46" s="532" t="str">
        <f>DataArrange!F98</f>
        <v>tCO2/t</v>
      </c>
      <c r="G46" s="535" t="str">
        <f>DataArrange!G98</f>
        <v>Secondary intensity</v>
      </c>
      <c r="H46" s="535" t="str">
        <f>DataArrange!H98</f>
        <v>Iron and steel - core boundary</v>
      </c>
      <c r="I46" s="549">
        <f>DataArrange!J98</f>
        <v>0.55209999999999992</v>
      </c>
      <c r="J46" s="549">
        <f>DataArrange!K98</f>
        <v>0.56512499999999988</v>
      </c>
      <c r="K46" s="549">
        <f>DataArrange!L98</f>
        <v>0.55209999999999992</v>
      </c>
      <c r="L46" s="549">
        <f>DataArrange!M98</f>
        <v>0.53907499999999997</v>
      </c>
      <c r="M46" s="549">
        <f>DataArrange!N98</f>
        <v>0.52604999999999991</v>
      </c>
      <c r="N46" s="549">
        <f>DataArrange!O98</f>
        <v>0.51302499999999995</v>
      </c>
      <c r="O46" s="549">
        <f>DataArrange!P98</f>
        <v>0.5</v>
      </c>
      <c r="P46" s="549">
        <f>DataArrange!Q98</f>
        <v>0.48697500000000005</v>
      </c>
      <c r="Q46" s="549">
        <f>DataArrange!R98</f>
        <v>0.47395000000000004</v>
      </c>
      <c r="R46" s="549">
        <f>DataArrange!S98</f>
        <v>0.46092500000000008</v>
      </c>
      <c r="S46" s="549">
        <f>DataArrange!T98</f>
        <v>0.44790000000000008</v>
      </c>
      <c r="T46" s="549">
        <f>DataArrange!U98</f>
        <v>0.43487500000000012</v>
      </c>
      <c r="U46" s="549">
        <f>DataArrange!V98</f>
        <v>0.42185000000000011</v>
      </c>
      <c r="V46" s="549">
        <f>DataArrange!W98</f>
        <v>0.40882500000000016</v>
      </c>
      <c r="W46" s="549">
        <f>DataArrange!X98</f>
        <v>0.39580000000000021</v>
      </c>
      <c r="X46" s="549">
        <f>DataArrange!Y98</f>
        <v>0.3827750000000002</v>
      </c>
      <c r="Y46" s="549">
        <f>DataArrange!Z98</f>
        <v>0.36975000000000025</v>
      </c>
      <c r="Z46" s="549">
        <f>DataArrange!AA98</f>
        <v>0.35672500000000024</v>
      </c>
      <c r="AA46" s="549">
        <f>DataArrange!AB98</f>
        <v>0.34370000000000028</v>
      </c>
      <c r="AB46" s="549">
        <f>DataArrange!AC98</f>
        <v>0.33067500000000027</v>
      </c>
      <c r="AC46" s="549">
        <f>DataArrange!AD98</f>
        <v>0.31765000000000032</v>
      </c>
      <c r="AD46" s="549">
        <f>DataArrange!AE98</f>
        <v>0.30462500000000037</v>
      </c>
      <c r="AE46" s="549">
        <f>DataArrange!AF98</f>
        <v>0.29160000000000036</v>
      </c>
      <c r="AF46" s="549">
        <f>DataArrange!AG98</f>
        <v>0.27857500000000041</v>
      </c>
      <c r="AG46" s="549">
        <f>DataArrange!AH98</f>
        <v>0.2655500000000004</v>
      </c>
      <c r="AH46" s="549">
        <f>DataArrange!AI98</f>
        <v>0.25252500000000039</v>
      </c>
      <c r="AI46" s="549">
        <f>DataArrange!AJ98</f>
        <v>0.23950000000000041</v>
      </c>
      <c r="AJ46" s="549">
        <f>DataArrange!AK98</f>
        <v>0.2264750000000004</v>
      </c>
      <c r="AK46" s="549">
        <f>DataArrange!AL98</f>
        <v>0.21345000000000039</v>
      </c>
      <c r="AL46" s="549">
        <f>DataArrange!AM98</f>
        <v>0.20042500000000038</v>
      </c>
      <c r="AM46" s="549">
        <f>DataArrange!AN98</f>
        <v>0.18740000000000037</v>
      </c>
      <c r="AN46" s="549">
        <f>DataArrange!AO98</f>
        <v>0.17437500000000036</v>
      </c>
      <c r="AO46" s="549">
        <f>DataArrange!AP98</f>
        <v>0.16135000000000035</v>
      </c>
      <c r="AP46" s="549">
        <f>DataArrange!AQ98</f>
        <v>0.14832500000000035</v>
      </c>
      <c r="AQ46" s="549">
        <f>DataArrange!AR98</f>
        <v>0.13530000000000036</v>
      </c>
      <c r="AR46" s="549">
        <f>DataArrange!AS98</f>
        <v>0.12227500000000034</v>
      </c>
      <c r="AS46" s="549">
        <f>DataArrange!AT98</f>
        <v>0.10925</v>
      </c>
      <c r="AT46" s="550">
        <f>SUM(Table1[[#This Row],[2014]:[2050]])</f>
        <v>12.690850000000008</v>
      </c>
      <c r="AU46" s="550">
        <f>SUM(Table1[[#This Row],[2020]:[2050]])</f>
        <v>9.4433750000000085</v>
      </c>
      <c r="AV46" s="4"/>
      <c r="AW46" s="4"/>
      <c r="AX46" s="4"/>
      <c r="AY46" s="4"/>
      <c r="AZ46" s="4"/>
      <c r="BA46" s="4"/>
      <c r="BB46" s="4"/>
      <c r="BC46" s="4"/>
    </row>
    <row r="47" spans="1:55" x14ac:dyDescent="0.15">
      <c r="A47" s="545"/>
      <c r="B47" s="546"/>
      <c r="C47" s="546"/>
      <c r="D47" s="546"/>
      <c r="E47" s="481" t="str">
        <f>DataArrange!E92</f>
        <v>Emissions</v>
      </c>
      <c r="F47" s="481" t="str">
        <f>DataArrange!F92</f>
        <v>MtCO2</v>
      </c>
      <c r="G47" s="154">
        <f>DataArrange!G92</f>
        <v>0</v>
      </c>
      <c r="H47" s="154" t="str">
        <f>DataArrange!H92</f>
        <v>Residential Buildings</v>
      </c>
    </row>
    <row r="48" spans="1:55" ht="20" x14ac:dyDescent="0.2">
      <c r="A48" s="545"/>
      <c r="B48" s="546"/>
      <c r="C48" s="546"/>
      <c r="D48" s="546"/>
      <c r="F48" s="555"/>
      <c r="G48" s="5"/>
      <c r="O48" s="551"/>
      <c r="P48" s="551"/>
      <c r="Q48" s="551"/>
      <c r="R48" s="551"/>
      <c r="S48" s="551"/>
      <c r="T48" s="551"/>
      <c r="U48" s="551"/>
      <c r="V48" s="551"/>
      <c r="W48" s="551"/>
      <c r="X48" s="551"/>
      <c r="Y48" s="551"/>
      <c r="Z48" s="551"/>
      <c r="AA48" s="551"/>
      <c r="AB48" s="551"/>
      <c r="AC48" s="551"/>
      <c r="AD48" s="551"/>
      <c r="AE48" s="551"/>
      <c r="AF48" s="551"/>
      <c r="AG48" s="551"/>
      <c r="AH48" s="551"/>
      <c r="AI48" s="551"/>
      <c r="AJ48" s="551"/>
      <c r="AK48" s="551"/>
      <c r="AL48" s="551"/>
      <c r="AM48" s="551"/>
      <c r="AN48" s="551"/>
      <c r="AO48" s="551"/>
      <c r="AP48" s="551"/>
      <c r="AQ48" s="551"/>
      <c r="AR48" s="551"/>
      <c r="AS48" s="551"/>
      <c r="AT48" s="552"/>
    </row>
    <row r="49" spans="1:95" x14ac:dyDescent="0.15">
      <c r="A49" s="482" t="str">
        <f>+H2</f>
        <v>Primary energy demand and industry</v>
      </c>
      <c r="B49" s="155">
        <f>1-AD2/O2</f>
        <v>0.4378070889830904</v>
      </c>
      <c r="C49" s="155">
        <f>1-BC2/I2</f>
        <v>1.0010681955848704</v>
      </c>
      <c r="D49" s="484"/>
      <c r="F49" s="483"/>
      <c r="G49" s="5"/>
      <c r="Q49" s="3">
        <v>0.47439999999999999</v>
      </c>
      <c r="R49" s="3">
        <v>0.46159999999999995</v>
      </c>
    </row>
    <row r="50" spans="1:95" x14ac:dyDescent="0.15">
      <c r="A50" s="482" t="str">
        <f>+H3</f>
        <v>Iron and steel</v>
      </c>
      <c r="B50" s="155">
        <f>1-AD3/O3</f>
        <v>0.52106082502916695</v>
      </c>
      <c r="C50" s="155">
        <f>1-BC3/I3</f>
        <v>0.91108227062941372</v>
      </c>
      <c r="D50" s="484"/>
      <c r="F50" s="483"/>
      <c r="G50" s="5"/>
    </row>
    <row r="51" spans="1:95" x14ac:dyDescent="0.15">
      <c r="A51" s="482" t="str">
        <f>+H4</f>
        <v>Cement</v>
      </c>
      <c r="B51" s="155">
        <f>1-AD4/O4</f>
        <v>0.25631783251184648</v>
      </c>
      <c r="C51" s="155">
        <f>1-BC4/I4</f>
        <v>0.7823885431841151</v>
      </c>
      <c r="D51" s="484"/>
      <c r="F51" s="483"/>
      <c r="G51" s="5"/>
    </row>
    <row r="52" spans="1:95" x14ac:dyDescent="0.15">
      <c r="A52" s="482" t="str">
        <f t="shared" ref="A52:A57" si="2">+H5</f>
        <v>Aluminium</v>
      </c>
      <c r="B52" s="155">
        <f t="shared" ref="B52:B57" si="3">1-AD5/O5</f>
        <v>4.3882517431588441E-2</v>
      </c>
      <c r="C52" s="155">
        <f t="shared" ref="C52:C57" si="4">1-BC5/I5</f>
        <v>0.51879152583924881</v>
      </c>
      <c r="D52" s="484"/>
      <c r="F52" s="483"/>
      <c r="G52" s="5"/>
    </row>
    <row r="53" spans="1:95" x14ac:dyDescent="0.15">
      <c r="A53" s="482" t="str">
        <f t="shared" si="2"/>
        <v>Pulp and paper</v>
      </c>
      <c r="B53" s="155">
        <f t="shared" si="3"/>
        <v>0.388338596647263</v>
      </c>
      <c r="C53" s="155">
        <f t="shared" si="4"/>
        <v>0.88301453960071408</v>
      </c>
      <c r="D53" s="484"/>
      <c r="F53" s="483"/>
      <c r="G53" s="5"/>
    </row>
    <row r="54" spans="1:95" x14ac:dyDescent="0.15">
      <c r="A54" s="482" t="str">
        <f t="shared" si="2"/>
        <v>Other industry</v>
      </c>
      <c r="B54" s="155">
        <f t="shared" si="3"/>
        <v>0.26453577488974378</v>
      </c>
      <c r="C54" s="155">
        <f t="shared" si="4"/>
        <v>0.6030477357853814</v>
      </c>
      <c r="D54" s="484"/>
      <c r="F54" s="483"/>
      <c r="G54" s="5"/>
      <c r="CJ54" s="3" t="s">
        <v>32</v>
      </c>
      <c r="CK54" s="3" t="s">
        <v>32</v>
      </c>
      <c r="CL54" s="3" t="s">
        <v>32</v>
      </c>
      <c r="CM54" s="3" t="s">
        <v>32</v>
      </c>
      <c r="CN54" s="3" t="s">
        <v>32</v>
      </c>
      <c r="CO54" s="3" t="s">
        <v>32</v>
      </c>
      <c r="CP54" s="3" t="s">
        <v>32</v>
      </c>
      <c r="CQ54" s="3" t="s">
        <v>32</v>
      </c>
    </row>
    <row r="55" spans="1:95" x14ac:dyDescent="0.15">
      <c r="A55" s="482" t="str">
        <f t="shared" si="2"/>
        <v>Services - Buildings</v>
      </c>
      <c r="B55" s="155">
        <f t="shared" si="3"/>
        <v>0.55614500443787773</v>
      </c>
      <c r="C55" s="155">
        <f t="shared" si="4"/>
        <v>0.88767464073400171</v>
      </c>
      <c r="D55" s="484"/>
      <c r="F55" s="483"/>
      <c r="G55" s="5"/>
      <c r="CJ55" s="3" t="s">
        <v>32</v>
      </c>
      <c r="CK55" s="3" t="s">
        <v>32</v>
      </c>
      <c r="CL55" s="3" t="s">
        <v>32</v>
      </c>
      <c r="CM55" s="3" t="s">
        <v>32</v>
      </c>
      <c r="CN55" s="3" t="s">
        <v>32</v>
      </c>
      <c r="CO55" s="3" t="s">
        <v>32</v>
      </c>
      <c r="CP55" s="3" t="s">
        <v>32</v>
      </c>
      <c r="CQ55" s="3" t="s">
        <v>32</v>
      </c>
    </row>
    <row r="56" spans="1:95" x14ac:dyDescent="0.15">
      <c r="A56" s="482" t="str">
        <f t="shared" si="2"/>
        <v>Power</v>
      </c>
      <c r="B56" s="155">
        <f t="shared" si="3"/>
        <v>0.57902164899107311</v>
      </c>
      <c r="C56" s="155">
        <f t="shared" si="4"/>
        <v>1.1279879450920782</v>
      </c>
      <c r="D56" s="484"/>
      <c r="F56" s="483"/>
      <c r="G56" s="5"/>
      <c r="CJ56" s="3" t="s">
        <v>32</v>
      </c>
      <c r="CK56" s="3" t="s">
        <v>32</v>
      </c>
      <c r="CL56" s="3" t="s">
        <v>32</v>
      </c>
      <c r="CM56" s="3" t="s">
        <v>32</v>
      </c>
      <c r="CN56" s="3" t="s">
        <v>32</v>
      </c>
      <c r="CO56" s="3" t="s">
        <v>32</v>
      </c>
      <c r="CP56" s="3" t="s">
        <v>32</v>
      </c>
      <c r="CQ56" s="3" t="s">
        <v>32</v>
      </c>
    </row>
    <row r="57" spans="1:95" x14ac:dyDescent="0.15">
      <c r="A57" s="482" t="str">
        <f t="shared" si="2"/>
        <v>Power</v>
      </c>
      <c r="B57" s="155">
        <f t="shared" si="3"/>
        <v>0.82930069662944095</v>
      </c>
      <c r="C57" s="155">
        <f t="shared" si="4"/>
        <v>0.99974026715246134</v>
      </c>
      <c r="D57" s="484"/>
      <c r="F57" s="483"/>
      <c r="G57" s="5"/>
      <c r="CJ57" s="3" t="s">
        <v>32</v>
      </c>
      <c r="CK57" s="3" t="s">
        <v>32</v>
      </c>
      <c r="CL57" s="3" t="s">
        <v>32</v>
      </c>
      <c r="CM57" s="3" t="s">
        <v>32</v>
      </c>
      <c r="CN57" s="3" t="s">
        <v>32</v>
      </c>
      <c r="CO57" s="3" t="s">
        <v>32</v>
      </c>
      <c r="CP57" s="3" t="s">
        <v>32</v>
      </c>
      <c r="CQ57" s="3" t="s">
        <v>32</v>
      </c>
    </row>
    <row r="58" spans="1:95" x14ac:dyDescent="0.15">
      <c r="F58" s="483"/>
      <c r="G58" s="5"/>
      <c r="H58" s="158"/>
      <c r="I58" s="67"/>
      <c r="J58" s="67"/>
      <c r="K58" s="78"/>
      <c r="CJ58" s="3" t="s">
        <v>32</v>
      </c>
      <c r="CK58" s="3" t="s">
        <v>32</v>
      </c>
      <c r="CL58" s="3" t="s">
        <v>32</v>
      </c>
      <c r="CM58" s="3" t="s">
        <v>32</v>
      </c>
      <c r="CN58" s="3" t="s">
        <v>32</v>
      </c>
      <c r="CO58" s="3" t="s">
        <v>32</v>
      </c>
      <c r="CP58" s="3" t="s">
        <v>32</v>
      </c>
      <c r="CQ58" s="3" t="s">
        <v>32</v>
      </c>
    </row>
    <row r="59" spans="1:95" x14ac:dyDescent="0.15">
      <c r="F59" s="483"/>
      <c r="G59" s="5"/>
      <c r="H59" s="159"/>
      <c r="CJ59" s="3" t="s">
        <v>32</v>
      </c>
      <c r="CK59" s="3" t="s">
        <v>32</v>
      </c>
      <c r="CL59" s="3" t="s">
        <v>32</v>
      </c>
      <c r="CM59" s="3" t="s">
        <v>32</v>
      </c>
      <c r="CN59" s="3" t="s">
        <v>32</v>
      </c>
      <c r="CO59" s="3" t="s">
        <v>32</v>
      </c>
      <c r="CP59" s="3" t="s">
        <v>32</v>
      </c>
      <c r="CQ59" s="3" t="s">
        <v>32</v>
      </c>
    </row>
    <row r="60" spans="1:95" x14ac:dyDescent="0.15">
      <c r="F60" s="483"/>
      <c r="G60" s="5"/>
      <c r="H60" s="159"/>
      <c r="CJ60" s="3" t="s">
        <v>32</v>
      </c>
      <c r="CK60" s="3" t="s">
        <v>32</v>
      </c>
      <c r="CL60" s="3" t="s">
        <v>32</v>
      </c>
      <c r="CM60" s="3" t="s">
        <v>32</v>
      </c>
      <c r="CN60" s="3" t="s">
        <v>32</v>
      </c>
      <c r="CO60" s="3" t="s">
        <v>32</v>
      </c>
      <c r="CP60" s="3" t="s">
        <v>32</v>
      </c>
      <c r="CQ60" s="3" t="s">
        <v>32</v>
      </c>
    </row>
    <row r="61" spans="1:95" x14ac:dyDescent="0.15">
      <c r="F61" s="480"/>
      <c r="G61" s="5"/>
      <c r="H61" s="159"/>
      <c r="CJ61" s="3" t="s">
        <v>32</v>
      </c>
      <c r="CK61" s="3" t="s">
        <v>32</v>
      </c>
      <c r="CL61" s="3" t="s">
        <v>32</v>
      </c>
      <c r="CM61" s="3" t="s">
        <v>32</v>
      </c>
      <c r="CN61" s="3" t="s">
        <v>32</v>
      </c>
      <c r="CO61" s="3" t="s">
        <v>32</v>
      </c>
      <c r="CP61" s="3" t="s">
        <v>32</v>
      </c>
      <c r="CQ61" s="3" t="s">
        <v>32</v>
      </c>
    </row>
    <row r="62" spans="1:95" x14ac:dyDescent="0.15">
      <c r="F62" s="480"/>
      <c r="G62" s="5"/>
      <c r="H62" s="159"/>
      <c r="CJ62" s="3" t="s">
        <v>32</v>
      </c>
      <c r="CK62" s="3" t="s">
        <v>32</v>
      </c>
      <c r="CL62" s="3" t="s">
        <v>32</v>
      </c>
      <c r="CM62" s="3" t="s">
        <v>32</v>
      </c>
      <c r="CN62" s="3" t="s">
        <v>32</v>
      </c>
      <c r="CO62" s="3" t="s">
        <v>32</v>
      </c>
      <c r="CP62" s="3" t="s">
        <v>32</v>
      </c>
      <c r="CQ62" s="3" t="s">
        <v>32</v>
      </c>
    </row>
    <row r="63" spans="1:95" x14ac:dyDescent="0.15">
      <c r="F63" s="483"/>
      <c r="G63" s="5"/>
      <c r="H63" s="159"/>
      <c r="CJ63" s="3" t="s">
        <v>32</v>
      </c>
      <c r="CK63" s="3" t="s">
        <v>32</v>
      </c>
      <c r="CL63" s="3" t="s">
        <v>32</v>
      </c>
      <c r="CM63" s="3" t="s">
        <v>32</v>
      </c>
      <c r="CN63" s="3" t="s">
        <v>32</v>
      </c>
      <c r="CO63" s="3" t="s">
        <v>32</v>
      </c>
      <c r="CP63" s="3" t="s">
        <v>32</v>
      </c>
      <c r="CQ63" s="3" t="s">
        <v>32</v>
      </c>
    </row>
    <row r="64" spans="1:95" x14ac:dyDescent="0.15">
      <c r="F64" s="483"/>
      <c r="G64" s="5"/>
      <c r="H64" s="159"/>
      <c r="CJ64" s="3" t="s">
        <v>32</v>
      </c>
      <c r="CK64" s="3" t="s">
        <v>32</v>
      </c>
      <c r="CL64" s="3" t="s">
        <v>32</v>
      </c>
      <c r="CM64" s="3" t="s">
        <v>32</v>
      </c>
      <c r="CN64" s="3" t="s">
        <v>32</v>
      </c>
      <c r="CO64" s="3" t="s">
        <v>32</v>
      </c>
      <c r="CP64" s="3" t="s">
        <v>32</v>
      </c>
      <c r="CQ64" s="3" t="s">
        <v>32</v>
      </c>
    </row>
    <row r="65" spans="6:95" x14ac:dyDescent="0.15">
      <c r="F65" s="480"/>
      <c r="G65" s="5"/>
      <c r="H65" s="160"/>
      <c r="CJ65" s="3" t="s">
        <v>32</v>
      </c>
      <c r="CK65" s="3" t="s">
        <v>32</v>
      </c>
      <c r="CL65" s="3" t="s">
        <v>32</v>
      </c>
      <c r="CM65" s="3" t="s">
        <v>32</v>
      </c>
      <c r="CN65" s="3" t="s">
        <v>32</v>
      </c>
      <c r="CO65" s="3" t="s">
        <v>32</v>
      </c>
      <c r="CP65" s="3" t="s">
        <v>32</v>
      </c>
      <c r="CQ65" s="3" t="s">
        <v>32</v>
      </c>
    </row>
    <row r="66" spans="6:95" x14ac:dyDescent="0.15">
      <c r="F66" s="483"/>
      <c r="G66" s="5"/>
      <c r="H66" s="159"/>
      <c r="CJ66" s="3" t="s">
        <v>32</v>
      </c>
      <c r="CK66" s="3" t="s">
        <v>32</v>
      </c>
      <c r="CL66" s="3" t="s">
        <v>32</v>
      </c>
      <c r="CM66" s="3" t="s">
        <v>32</v>
      </c>
      <c r="CN66" s="3" t="s">
        <v>32</v>
      </c>
      <c r="CO66" s="3" t="s">
        <v>32</v>
      </c>
      <c r="CP66" s="3" t="s">
        <v>32</v>
      </c>
      <c r="CQ66" s="3" t="s">
        <v>32</v>
      </c>
    </row>
    <row r="67" spans="6:95" x14ac:dyDescent="0.15">
      <c r="F67" s="483"/>
      <c r="G67" s="5"/>
      <c r="H67" s="159"/>
      <c r="CJ67" s="3" t="s">
        <v>32</v>
      </c>
      <c r="CK67" s="3" t="s">
        <v>32</v>
      </c>
      <c r="CL67" s="3" t="s">
        <v>32</v>
      </c>
      <c r="CM67" s="3" t="s">
        <v>32</v>
      </c>
      <c r="CN67" s="3" t="s">
        <v>32</v>
      </c>
      <c r="CO67" s="3" t="s">
        <v>32</v>
      </c>
      <c r="CP67" s="3" t="s">
        <v>32</v>
      </c>
      <c r="CQ67" s="3" t="s">
        <v>32</v>
      </c>
    </row>
    <row r="68" spans="6:95" x14ac:dyDescent="0.15">
      <c r="F68" s="485"/>
      <c r="G68" s="5"/>
      <c r="H68" s="159"/>
      <c r="CJ68" s="3" t="s">
        <v>32</v>
      </c>
      <c r="CK68" s="3" t="s">
        <v>32</v>
      </c>
      <c r="CL68" s="3" t="s">
        <v>32</v>
      </c>
      <c r="CM68" s="3" t="s">
        <v>32</v>
      </c>
      <c r="CN68" s="3" t="s">
        <v>32</v>
      </c>
      <c r="CO68" s="3" t="s">
        <v>32</v>
      </c>
      <c r="CP68" s="3" t="s">
        <v>32</v>
      </c>
      <c r="CQ68" s="3" t="s">
        <v>32</v>
      </c>
    </row>
    <row r="69" spans="6:95" x14ac:dyDescent="0.15">
      <c r="F69" s="483"/>
      <c r="G69" s="5"/>
      <c r="H69" s="159"/>
      <c r="CJ69" s="3" t="s">
        <v>32</v>
      </c>
      <c r="CK69" s="3" t="s">
        <v>32</v>
      </c>
      <c r="CL69" s="3" t="s">
        <v>32</v>
      </c>
      <c r="CM69" s="3" t="s">
        <v>32</v>
      </c>
      <c r="CN69" s="3" t="s">
        <v>32</v>
      </c>
      <c r="CO69" s="3" t="s">
        <v>32</v>
      </c>
      <c r="CP69" s="3" t="s">
        <v>32</v>
      </c>
      <c r="CQ69" s="3" t="s">
        <v>32</v>
      </c>
    </row>
    <row r="70" spans="6:95" x14ac:dyDescent="0.15">
      <c r="F70" s="483"/>
      <c r="G70" s="5"/>
      <c r="H70" s="160"/>
      <c r="CJ70" s="3" t="s">
        <v>32</v>
      </c>
      <c r="CK70" s="3" t="s">
        <v>32</v>
      </c>
      <c r="CL70" s="3" t="s">
        <v>32</v>
      </c>
      <c r="CM70" s="3" t="s">
        <v>32</v>
      </c>
      <c r="CN70" s="3" t="s">
        <v>32</v>
      </c>
      <c r="CO70" s="3" t="s">
        <v>32</v>
      </c>
      <c r="CP70" s="3" t="s">
        <v>32</v>
      </c>
      <c r="CQ70" s="3" t="s">
        <v>32</v>
      </c>
    </row>
    <row r="71" spans="6:95" x14ac:dyDescent="0.15">
      <c r="F71" s="483"/>
      <c r="G71" s="5"/>
      <c r="H71" s="159"/>
      <c r="CJ71" s="3" t="s">
        <v>32</v>
      </c>
      <c r="CK71" s="3" t="s">
        <v>32</v>
      </c>
      <c r="CL71" s="3" t="s">
        <v>32</v>
      </c>
      <c r="CM71" s="3" t="s">
        <v>32</v>
      </c>
      <c r="CN71" s="3" t="s">
        <v>32</v>
      </c>
      <c r="CO71" s="3" t="s">
        <v>32</v>
      </c>
      <c r="CP71" s="3" t="s">
        <v>32</v>
      </c>
      <c r="CQ71" s="3" t="s">
        <v>32</v>
      </c>
    </row>
    <row r="72" spans="6:95" x14ac:dyDescent="0.15">
      <c r="F72" s="483"/>
      <c r="G72" s="5"/>
      <c r="H72" s="159"/>
      <c r="CJ72" s="3" t="s">
        <v>32</v>
      </c>
      <c r="CK72" s="3" t="s">
        <v>32</v>
      </c>
      <c r="CL72" s="3" t="s">
        <v>32</v>
      </c>
      <c r="CM72" s="3" t="s">
        <v>32</v>
      </c>
      <c r="CN72" s="3" t="s">
        <v>32</v>
      </c>
      <c r="CO72" s="3" t="s">
        <v>32</v>
      </c>
      <c r="CP72" s="3" t="s">
        <v>32</v>
      </c>
      <c r="CQ72" s="3" t="s">
        <v>32</v>
      </c>
    </row>
    <row r="73" spans="6:95" x14ac:dyDescent="0.15">
      <c r="F73" s="483"/>
      <c r="G73" s="5"/>
      <c r="H73" s="159"/>
      <c r="CJ73" s="3" t="s">
        <v>32</v>
      </c>
      <c r="CK73" s="3" t="s">
        <v>32</v>
      </c>
      <c r="CL73" s="3" t="s">
        <v>32</v>
      </c>
      <c r="CM73" s="3" t="s">
        <v>32</v>
      </c>
      <c r="CN73" s="3" t="s">
        <v>32</v>
      </c>
      <c r="CO73" s="3" t="s">
        <v>32</v>
      </c>
      <c r="CP73" s="3" t="s">
        <v>32</v>
      </c>
      <c r="CQ73" s="3" t="s">
        <v>32</v>
      </c>
    </row>
    <row r="74" spans="6:95" x14ac:dyDescent="0.15">
      <c r="F74" s="483"/>
      <c r="G74" s="5"/>
      <c r="H74" s="159"/>
      <c r="CJ74" s="3" t="s">
        <v>32</v>
      </c>
      <c r="CK74" s="3" t="s">
        <v>32</v>
      </c>
      <c r="CL74" s="3" t="s">
        <v>32</v>
      </c>
      <c r="CM74" s="3" t="s">
        <v>32</v>
      </c>
      <c r="CN74" s="3" t="s">
        <v>32</v>
      </c>
      <c r="CO74" s="3" t="s">
        <v>32</v>
      </c>
      <c r="CP74" s="3" t="s">
        <v>32</v>
      </c>
      <c r="CQ74" s="3" t="s">
        <v>32</v>
      </c>
    </row>
    <row r="75" spans="6:95" x14ac:dyDescent="0.15">
      <c r="F75" s="483"/>
      <c r="G75" s="5"/>
      <c r="H75" s="159"/>
      <c r="CJ75" s="3" t="s">
        <v>32</v>
      </c>
      <c r="CK75" s="3" t="s">
        <v>32</v>
      </c>
      <c r="CL75" s="3" t="s">
        <v>32</v>
      </c>
      <c r="CM75" s="3" t="s">
        <v>32</v>
      </c>
      <c r="CN75" s="3" t="s">
        <v>32</v>
      </c>
      <c r="CO75" s="3" t="s">
        <v>32</v>
      </c>
      <c r="CP75" s="3" t="s">
        <v>32</v>
      </c>
      <c r="CQ75" s="3" t="s">
        <v>32</v>
      </c>
    </row>
    <row r="76" spans="6:95" x14ac:dyDescent="0.15">
      <c r="F76" s="483"/>
      <c r="G76" s="5"/>
      <c r="H76" s="159"/>
      <c r="CJ76" s="3" t="s">
        <v>32</v>
      </c>
      <c r="CK76" s="3" t="s">
        <v>32</v>
      </c>
      <c r="CL76" s="3" t="s">
        <v>32</v>
      </c>
      <c r="CM76" s="3" t="s">
        <v>32</v>
      </c>
      <c r="CN76" s="3" t="s">
        <v>32</v>
      </c>
      <c r="CO76" s="3" t="s">
        <v>32</v>
      </c>
      <c r="CP76" s="3" t="s">
        <v>32</v>
      </c>
      <c r="CQ76" s="3" t="s">
        <v>32</v>
      </c>
    </row>
    <row r="77" spans="6:95" x14ac:dyDescent="0.15">
      <c r="F77" s="483"/>
      <c r="G77" s="5"/>
      <c r="H77" s="159"/>
      <c r="CJ77" s="3" t="s">
        <v>32</v>
      </c>
      <c r="CK77" s="3" t="s">
        <v>32</v>
      </c>
      <c r="CL77" s="3" t="s">
        <v>32</v>
      </c>
      <c r="CM77" s="3" t="s">
        <v>32</v>
      </c>
      <c r="CN77" s="3" t="s">
        <v>32</v>
      </c>
      <c r="CO77" s="3" t="s">
        <v>32</v>
      </c>
      <c r="CP77" s="3" t="s">
        <v>32</v>
      </c>
      <c r="CQ77" s="3" t="s">
        <v>32</v>
      </c>
    </row>
    <row r="78" spans="6:95" x14ac:dyDescent="0.15">
      <c r="F78" s="483"/>
      <c r="G78" s="5"/>
      <c r="H78" s="159"/>
      <c r="CJ78" s="3" t="s">
        <v>32</v>
      </c>
      <c r="CK78" s="3" t="s">
        <v>32</v>
      </c>
      <c r="CL78" s="3" t="s">
        <v>32</v>
      </c>
      <c r="CM78" s="3" t="s">
        <v>32</v>
      </c>
      <c r="CN78" s="3" t="s">
        <v>32</v>
      </c>
      <c r="CO78" s="3" t="s">
        <v>32</v>
      </c>
      <c r="CP78" s="3" t="s">
        <v>32</v>
      </c>
      <c r="CQ78" s="3" t="s">
        <v>32</v>
      </c>
    </row>
    <row r="79" spans="6:95" x14ac:dyDescent="0.15">
      <c r="F79" s="483"/>
      <c r="G79" s="5"/>
      <c r="H79" s="159"/>
      <c r="CJ79" s="3" t="s">
        <v>32</v>
      </c>
      <c r="CK79" s="3" t="s">
        <v>32</v>
      </c>
      <c r="CL79" s="3" t="s">
        <v>32</v>
      </c>
      <c r="CM79" s="3" t="s">
        <v>32</v>
      </c>
      <c r="CN79" s="3" t="s">
        <v>32</v>
      </c>
      <c r="CO79" s="3" t="s">
        <v>32</v>
      </c>
      <c r="CP79" s="3" t="s">
        <v>32</v>
      </c>
      <c r="CQ79" s="3" t="s">
        <v>32</v>
      </c>
    </row>
    <row r="80" spans="6:95" x14ac:dyDescent="0.15">
      <c r="F80" s="483"/>
      <c r="G80" s="5"/>
      <c r="H80" s="159"/>
      <c r="CJ80" s="3" t="s">
        <v>32</v>
      </c>
      <c r="CK80" s="3" t="s">
        <v>32</v>
      </c>
      <c r="CL80" s="3" t="s">
        <v>32</v>
      </c>
      <c r="CM80" s="3" t="s">
        <v>32</v>
      </c>
      <c r="CN80" s="3" t="s">
        <v>32</v>
      </c>
      <c r="CO80" s="3" t="s">
        <v>32</v>
      </c>
      <c r="CP80" s="3" t="s">
        <v>32</v>
      </c>
      <c r="CQ80" s="3" t="s">
        <v>32</v>
      </c>
    </row>
    <row r="81" spans="6:95" x14ac:dyDescent="0.15">
      <c r="F81" s="480"/>
      <c r="G81" s="5"/>
      <c r="H81" s="159"/>
      <c r="CJ81" s="3" t="s">
        <v>32</v>
      </c>
      <c r="CK81" s="3" t="s">
        <v>32</v>
      </c>
      <c r="CL81" s="3" t="s">
        <v>32</v>
      </c>
      <c r="CM81" s="3" t="s">
        <v>32</v>
      </c>
      <c r="CN81" s="3" t="s">
        <v>32</v>
      </c>
      <c r="CO81" s="3" t="s">
        <v>32</v>
      </c>
      <c r="CP81" s="3" t="s">
        <v>32</v>
      </c>
      <c r="CQ81" s="3" t="s">
        <v>32</v>
      </c>
    </row>
    <row r="82" spans="6:95" x14ac:dyDescent="0.15">
      <c r="F82" s="485"/>
      <c r="G82" s="6"/>
      <c r="H82" s="159"/>
      <c r="CJ82" s="3" t="s">
        <v>32</v>
      </c>
      <c r="CK82" s="3" t="s">
        <v>32</v>
      </c>
      <c r="CL82" s="3" t="s">
        <v>32</v>
      </c>
      <c r="CM82" s="3" t="s">
        <v>32</v>
      </c>
      <c r="CN82" s="3" t="s">
        <v>32</v>
      </c>
      <c r="CO82" s="3" t="s">
        <v>32</v>
      </c>
      <c r="CP82" s="3" t="s">
        <v>32</v>
      </c>
      <c r="CQ82" s="3" t="s">
        <v>32</v>
      </c>
    </row>
    <row r="83" spans="6:95" x14ac:dyDescent="0.15">
      <c r="F83" s="483"/>
      <c r="G83" s="6"/>
      <c r="H83" s="159"/>
      <c r="CJ83" s="3" t="s">
        <v>32</v>
      </c>
      <c r="CK83" s="3" t="s">
        <v>32</v>
      </c>
      <c r="CL83" s="3" t="s">
        <v>32</v>
      </c>
      <c r="CM83" s="3" t="s">
        <v>32</v>
      </c>
      <c r="CN83" s="3" t="s">
        <v>32</v>
      </c>
      <c r="CO83" s="3" t="s">
        <v>32</v>
      </c>
      <c r="CP83" s="3" t="s">
        <v>32</v>
      </c>
      <c r="CQ83" s="3" t="s">
        <v>32</v>
      </c>
    </row>
    <row r="84" spans="6:95" x14ac:dyDescent="0.15">
      <c r="F84" s="483"/>
      <c r="G84" s="6"/>
      <c r="H84" s="160"/>
      <c r="CJ84" s="3" t="s">
        <v>32</v>
      </c>
      <c r="CK84" s="3" t="s">
        <v>32</v>
      </c>
      <c r="CL84" s="3" t="s">
        <v>32</v>
      </c>
      <c r="CM84" s="3" t="s">
        <v>32</v>
      </c>
      <c r="CN84" s="3" t="s">
        <v>32</v>
      </c>
      <c r="CO84" s="3" t="s">
        <v>32</v>
      </c>
      <c r="CP84" s="3" t="s">
        <v>32</v>
      </c>
      <c r="CQ84" s="3" t="s">
        <v>32</v>
      </c>
    </row>
    <row r="85" spans="6:95" x14ac:dyDescent="0.15">
      <c r="F85" s="483"/>
      <c r="G85" s="6"/>
      <c r="H85" s="159"/>
      <c r="CJ85" s="3" t="s">
        <v>32</v>
      </c>
      <c r="CK85" s="3" t="s">
        <v>32</v>
      </c>
      <c r="CL85" s="3" t="s">
        <v>32</v>
      </c>
      <c r="CM85" s="3" t="s">
        <v>32</v>
      </c>
      <c r="CN85" s="3" t="s">
        <v>32</v>
      </c>
      <c r="CO85" s="3" t="s">
        <v>32</v>
      </c>
      <c r="CP85" s="3" t="s">
        <v>32</v>
      </c>
      <c r="CQ85" s="3" t="s">
        <v>32</v>
      </c>
    </row>
    <row r="86" spans="6:95" x14ac:dyDescent="0.15">
      <c r="F86" s="483"/>
      <c r="G86" s="6"/>
      <c r="H86" s="159"/>
      <c r="CJ86" s="3" t="s">
        <v>32</v>
      </c>
      <c r="CK86" s="3" t="s">
        <v>32</v>
      </c>
      <c r="CL86" s="3" t="s">
        <v>32</v>
      </c>
      <c r="CM86" s="3" t="s">
        <v>32</v>
      </c>
      <c r="CN86" s="3" t="s">
        <v>32</v>
      </c>
      <c r="CO86" s="3" t="s">
        <v>32</v>
      </c>
      <c r="CP86" s="3" t="s">
        <v>32</v>
      </c>
      <c r="CQ86" s="3" t="s">
        <v>32</v>
      </c>
    </row>
    <row r="87" spans="6:95" x14ac:dyDescent="0.15">
      <c r="F87" s="483"/>
      <c r="G87" s="6"/>
      <c r="H87" s="159"/>
      <c r="CJ87" s="3" t="s">
        <v>32</v>
      </c>
      <c r="CK87" s="3" t="s">
        <v>32</v>
      </c>
      <c r="CL87" s="3" t="s">
        <v>32</v>
      </c>
      <c r="CM87" s="3" t="s">
        <v>32</v>
      </c>
      <c r="CN87" s="3" t="s">
        <v>32</v>
      </c>
      <c r="CO87" s="3" t="s">
        <v>32</v>
      </c>
      <c r="CP87" s="3" t="s">
        <v>32</v>
      </c>
      <c r="CQ87" s="3" t="s">
        <v>32</v>
      </c>
    </row>
    <row r="88" spans="6:95" x14ac:dyDescent="0.15">
      <c r="F88" s="483"/>
      <c r="G88" s="6"/>
      <c r="H88" s="159"/>
      <c r="CJ88" s="3" t="s">
        <v>32</v>
      </c>
      <c r="CK88" s="3" t="s">
        <v>32</v>
      </c>
      <c r="CL88" s="3" t="s">
        <v>32</v>
      </c>
      <c r="CM88" s="3" t="s">
        <v>32</v>
      </c>
      <c r="CN88" s="3" t="s">
        <v>32</v>
      </c>
      <c r="CO88" s="3" t="s">
        <v>32</v>
      </c>
      <c r="CP88" s="3" t="s">
        <v>32</v>
      </c>
      <c r="CQ88" s="3" t="s">
        <v>32</v>
      </c>
    </row>
    <row r="89" spans="6:95" x14ac:dyDescent="0.15">
      <c r="F89" s="485"/>
      <c r="G89" s="6"/>
      <c r="H89" s="159"/>
      <c r="CJ89" s="3" t="s">
        <v>32</v>
      </c>
      <c r="CK89" s="3" t="s">
        <v>32</v>
      </c>
      <c r="CL89" s="3" t="s">
        <v>32</v>
      </c>
      <c r="CM89" s="3" t="s">
        <v>32</v>
      </c>
      <c r="CN89" s="3" t="s">
        <v>32</v>
      </c>
      <c r="CO89" s="3" t="s">
        <v>32</v>
      </c>
      <c r="CP89" s="3" t="s">
        <v>32</v>
      </c>
      <c r="CQ89" s="3" t="s">
        <v>32</v>
      </c>
    </row>
    <row r="90" spans="6:95" x14ac:dyDescent="0.15">
      <c r="F90" s="483"/>
      <c r="G90" s="6"/>
      <c r="H90" s="159"/>
      <c r="CJ90" s="3" t="s">
        <v>32</v>
      </c>
      <c r="CK90" s="3" t="s">
        <v>32</v>
      </c>
      <c r="CL90" s="3" t="s">
        <v>32</v>
      </c>
      <c r="CM90" s="3" t="s">
        <v>32</v>
      </c>
      <c r="CN90" s="3" t="s">
        <v>32</v>
      </c>
      <c r="CO90" s="3" t="s">
        <v>32</v>
      </c>
      <c r="CP90" s="3" t="s">
        <v>32</v>
      </c>
      <c r="CQ90" s="3" t="s">
        <v>32</v>
      </c>
    </row>
    <row r="91" spans="6:95" x14ac:dyDescent="0.15">
      <c r="F91" s="483"/>
      <c r="G91" s="6"/>
      <c r="H91" s="159"/>
      <c r="CJ91" s="3" t="s">
        <v>32</v>
      </c>
      <c r="CK91" s="3" t="s">
        <v>32</v>
      </c>
      <c r="CL91" s="3" t="s">
        <v>32</v>
      </c>
      <c r="CM91" s="3" t="s">
        <v>32</v>
      </c>
      <c r="CN91" s="3" t="s">
        <v>32</v>
      </c>
      <c r="CO91" s="3" t="s">
        <v>32</v>
      </c>
      <c r="CP91" s="3" t="s">
        <v>32</v>
      </c>
      <c r="CQ91" s="3" t="s">
        <v>32</v>
      </c>
    </row>
    <row r="92" spans="6:95" x14ac:dyDescent="0.15">
      <c r="F92" s="483"/>
      <c r="G92" s="6"/>
      <c r="H92" s="159"/>
      <c r="CJ92" s="3" t="s">
        <v>32</v>
      </c>
      <c r="CK92" s="3" t="s">
        <v>32</v>
      </c>
      <c r="CL92" s="3" t="s">
        <v>32</v>
      </c>
      <c r="CM92" s="3" t="s">
        <v>32</v>
      </c>
      <c r="CN92" s="3" t="s">
        <v>32</v>
      </c>
      <c r="CO92" s="3" t="s">
        <v>32</v>
      </c>
      <c r="CP92" s="3" t="s">
        <v>32</v>
      </c>
      <c r="CQ92" s="3" t="s">
        <v>32</v>
      </c>
    </row>
    <row r="93" spans="6:95" x14ac:dyDescent="0.15">
      <c r="F93" s="483"/>
      <c r="G93" s="6"/>
      <c r="H93" s="159"/>
      <c r="CJ93" s="3" t="s">
        <v>32</v>
      </c>
      <c r="CK93" s="3" t="s">
        <v>32</v>
      </c>
      <c r="CL93" s="3" t="s">
        <v>32</v>
      </c>
      <c r="CM93" s="3" t="s">
        <v>32</v>
      </c>
      <c r="CN93" s="3" t="s">
        <v>32</v>
      </c>
      <c r="CO93" s="3" t="s">
        <v>32</v>
      </c>
      <c r="CP93" s="3" t="s">
        <v>32</v>
      </c>
      <c r="CQ93" s="3" t="s">
        <v>32</v>
      </c>
    </row>
    <row r="94" spans="6:95" x14ac:dyDescent="0.15">
      <c r="F94" s="483"/>
      <c r="G94" s="6"/>
      <c r="H94" s="159"/>
      <c r="CJ94" s="3" t="s">
        <v>32</v>
      </c>
      <c r="CK94" s="3" t="s">
        <v>32</v>
      </c>
      <c r="CL94" s="3" t="s">
        <v>32</v>
      </c>
      <c r="CM94" s="3" t="s">
        <v>32</v>
      </c>
      <c r="CN94" s="3" t="s">
        <v>32</v>
      </c>
      <c r="CO94" s="3" t="s">
        <v>32</v>
      </c>
      <c r="CP94" s="3" t="s">
        <v>32</v>
      </c>
      <c r="CQ94" s="3" t="s">
        <v>32</v>
      </c>
    </row>
    <row r="95" spans="6:95" x14ac:dyDescent="0.15">
      <c r="F95" s="483"/>
      <c r="G95" s="6"/>
      <c r="H95" s="159"/>
      <c r="CJ95" s="3" t="s">
        <v>32</v>
      </c>
      <c r="CK95" s="3" t="s">
        <v>32</v>
      </c>
      <c r="CL95" s="3" t="s">
        <v>32</v>
      </c>
      <c r="CM95" s="3" t="s">
        <v>32</v>
      </c>
      <c r="CN95" s="3" t="s">
        <v>32</v>
      </c>
      <c r="CO95" s="3" t="s">
        <v>32</v>
      </c>
      <c r="CP95" s="3" t="s">
        <v>32</v>
      </c>
      <c r="CQ95" s="3" t="s">
        <v>32</v>
      </c>
    </row>
    <row r="96" spans="6:95" x14ac:dyDescent="0.15">
      <c r="F96" s="485"/>
      <c r="G96" s="6"/>
      <c r="H96" s="159"/>
      <c r="CJ96" s="3" t="s">
        <v>32</v>
      </c>
      <c r="CK96" s="3" t="s">
        <v>32</v>
      </c>
      <c r="CL96" s="3" t="s">
        <v>32</v>
      </c>
      <c r="CM96" s="3" t="s">
        <v>32</v>
      </c>
      <c r="CN96" s="3" t="s">
        <v>32</v>
      </c>
      <c r="CO96" s="3" t="s">
        <v>32</v>
      </c>
      <c r="CP96" s="3" t="s">
        <v>32</v>
      </c>
      <c r="CQ96" s="3" t="s">
        <v>32</v>
      </c>
    </row>
    <row r="97" spans="1:95" x14ac:dyDescent="0.15">
      <c r="F97" s="483"/>
      <c r="G97" s="6"/>
      <c r="H97" s="159"/>
      <c r="CJ97" s="3" t="s">
        <v>32</v>
      </c>
      <c r="CK97" s="3" t="s">
        <v>32</v>
      </c>
      <c r="CL97" s="3" t="s">
        <v>32</v>
      </c>
      <c r="CM97" s="3" t="s">
        <v>32</v>
      </c>
      <c r="CN97" s="3" t="s">
        <v>32</v>
      </c>
      <c r="CO97" s="3" t="s">
        <v>32</v>
      </c>
      <c r="CP97" s="3" t="s">
        <v>32</v>
      </c>
      <c r="CQ97" s="3" t="s">
        <v>32</v>
      </c>
    </row>
    <row r="98" spans="1:95" x14ac:dyDescent="0.15">
      <c r="F98" s="483"/>
      <c r="G98" s="6"/>
      <c r="H98" s="159"/>
      <c r="CJ98" s="3" t="s">
        <v>32</v>
      </c>
      <c r="CK98" s="3" t="s">
        <v>32</v>
      </c>
      <c r="CL98" s="3" t="s">
        <v>32</v>
      </c>
      <c r="CM98" s="3" t="s">
        <v>32</v>
      </c>
      <c r="CN98" s="3" t="s">
        <v>32</v>
      </c>
      <c r="CO98" s="3" t="s">
        <v>32</v>
      </c>
      <c r="CP98" s="3" t="s">
        <v>32</v>
      </c>
      <c r="CQ98" s="3" t="s">
        <v>32</v>
      </c>
    </row>
    <row r="99" spans="1:95" x14ac:dyDescent="0.15">
      <c r="F99" s="483"/>
      <c r="G99" s="6"/>
      <c r="H99" s="159"/>
      <c r="CJ99" s="3" t="s">
        <v>32</v>
      </c>
      <c r="CK99" s="3" t="s">
        <v>32</v>
      </c>
      <c r="CL99" s="3" t="s">
        <v>32</v>
      </c>
      <c r="CM99" s="3" t="s">
        <v>32</v>
      </c>
      <c r="CN99" s="3" t="s">
        <v>32</v>
      </c>
      <c r="CO99" s="3" t="s">
        <v>32</v>
      </c>
      <c r="CP99" s="3" t="s">
        <v>32</v>
      </c>
      <c r="CQ99" s="3" t="s">
        <v>32</v>
      </c>
    </row>
    <row r="100" spans="1:95" x14ac:dyDescent="0.15">
      <c r="F100" s="483"/>
      <c r="G100" s="6"/>
      <c r="H100" s="159"/>
      <c r="CJ100" s="3" t="s">
        <v>32</v>
      </c>
      <c r="CK100" s="3" t="s">
        <v>32</v>
      </c>
      <c r="CL100" s="3" t="s">
        <v>32</v>
      </c>
      <c r="CM100" s="3" t="s">
        <v>32</v>
      </c>
      <c r="CN100" s="3" t="s">
        <v>32</v>
      </c>
      <c r="CO100" s="3" t="s">
        <v>32</v>
      </c>
      <c r="CP100" s="3" t="s">
        <v>32</v>
      </c>
      <c r="CQ100" s="3" t="s">
        <v>32</v>
      </c>
    </row>
    <row r="101" spans="1:95" x14ac:dyDescent="0.15">
      <c r="F101" s="483"/>
      <c r="G101" s="6"/>
      <c r="H101" s="159"/>
      <c r="CJ101" s="3" t="s">
        <v>32</v>
      </c>
      <c r="CK101" s="3" t="s">
        <v>32</v>
      </c>
      <c r="CL101" s="3" t="s">
        <v>32</v>
      </c>
      <c r="CM101" s="3" t="s">
        <v>32</v>
      </c>
      <c r="CN101" s="3" t="s">
        <v>32</v>
      </c>
      <c r="CO101" s="3" t="s">
        <v>32</v>
      </c>
      <c r="CP101" s="3" t="s">
        <v>32</v>
      </c>
      <c r="CQ101" s="3" t="s">
        <v>32</v>
      </c>
    </row>
    <row r="102" spans="1:95" x14ac:dyDescent="0.15">
      <c r="F102" s="483"/>
      <c r="G102" s="6"/>
      <c r="H102" s="159"/>
      <c r="CJ102" s="3" t="s">
        <v>32</v>
      </c>
      <c r="CK102" s="3" t="s">
        <v>32</v>
      </c>
      <c r="CL102" s="3" t="s">
        <v>32</v>
      </c>
      <c r="CM102" s="3" t="s">
        <v>32</v>
      </c>
      <c r="CN102" s="3" t="s">
        <v>32</v>
      </c>
      <c r="CO102" s="3" t="s">
        <v>32</v>
      </c>
      <c r="CP102" s="3" t="s">
        <v>32</v>
      </c>
      <c r="CQ102" s="3" t="s">
        <v>32</v>
      </c>
    </row>
    <row r="103" spans="1:95" x14ac:dyDescent="0.15">
      <c r="F103" s="483"/>
      <c r="G103" s="6"/>
      <c r="H103" s="159"/>
      <c r="CJ103" s="3" t="s">
        <v>32</v>
      </c>
      <c r="CK103" s="3" t="s">
        <v>32</v>
      </c>
      <c r="CL103" s="3" t="s">
        <v>32</v>
      </c>
      <c r="CM103" s="3" t="s">
        <v>32</v>
      </c>
      <c r="CN103" s="3" t="s">
        <v>32</v>
      </c>
      <c r="CO103" s="3" t="s">
        <v>32</v>
      </c>
      <c r="CP103" s="3" t="s">
        <v>32</v>
      </c>
      <c r="CQ103" s="3" t="s">
        <v>32</v>
      </c>
    </row>
    <row r="104" spans="1:95" x14ac:dyDescent="0.15">
      <c r="F104" s="485"/>
      <c r="G104" s="6"/>
      <c r="H104" s="159"/>
      <c r="CJ104" s="3" t="s">
        <v>32</v>
      </c>
      <c r="CK104" s="3" t="s">
        <v>32</v>
      </c>
      <c r="CL104" s="3" t="s">
        <v>32</v>
      </c>
      <c r="CM104" s="3" t="s">
        <v>32</v>
      </c>
      <c r="CN104" s="3" t="s">
        <v>32</v>
      </c>
      <c r="CO104" s="3" t="s">
        <v>32</v>
      </c>
      <c r="CP104" s="3" t="s">
        <v>32</v>
      </c>
      <c r="CQ104" s="3" t="s">
        <v>32</v>
      </c>
    </row>
    <row r="105" spans="1:95" x14ac:dyDescent="0.15">
      <c r="F105" s="485"/>
      <c r="G105" s="6"/>
      <c r="H105" s="159"/>
      <c r="CJ105" s="3" t="s">
        <v>32</v>
      </c>
      <c r="CK105" s="3" t="s">
        <v>32</v>
      </c>
      <c r="CL105" s="3" t="s">
        <v>32</v>
      </c>
      <c r="CM105" s="3" t="s">
        <v>32</v>
      </c>
      <c r="CN105" s="3" t="s">
        <v>32</v>
      </c>
      <c r="CO105" s="3" t="s">
        <v>32</v>
      </c>
      <c r="CP105" s="3" t="s">
        <v>32</v>
      </c>
      <c r="CQ105" s="3" t="s">
        <v>32</v>
      </c>
    </row>
    <row r="106" spans="1:95" x14ac:dyDescent="0.15">
      <c r="F106" s="485"/>
      <c r="G106" s="6"/>
      <c r="H106" s="159"/>
      <c r="CJ106" s="3" t="s">
        <v>32</v>
      </c>
      <c r="CK106" s="3" t="s">
        <v>32</v>
      </c>
      <c r="CL106" s="3" t="s">
        <v>32</v>
      </c>
      <c r="CM106" s="3" t="s">
        <v>32</v>
      </c>
      <c r="CN106" s="3" t="s">
        <v>32</v>
      </c>
      <c r="CO106" s="3" t="s">
        <v>32</v>
      </c>
      <c r="CP106" s="3" t="s">
        <v>32</v>
      </c>
      <c r="CQ106" s="3" t="s">
        <v>32</v>
      </c>
    </row>
    <row r="107" spans="1:95" x14ac:dyDescent="0.15">
      <c r="F107" s="483"/>
      <c r="G107" s="5"/>
      <c r="H107" s="159"/>
      <c r="CJ107" s="3" t="s">
        <v>32</v>
      </c>
      <c r="CK107" s="3" t="s">
        <v>32</v>
      </c>
      <c r="CL107" s="3" t="s">
        <v>32</v>
      </c>
      <c r="CM107" s="3" t="s">
        <v>32</v>
      </c>
      <c r="CN107" s="3" t="s">
        <v>32</v>
      </c>
      <c r="CO107" s="3" t="s">
        <v>32</v>
      </c>
      <c r="CP107" s="3" t="s">
        <v>32</v>
      </c>
      <c r="CQ107" s="3" t="s">
        <v>32</v>
      </c>
    </row>
    <row r="108" spans="1:95" x14ac:dyDescent="0.15">
      <c r="A108" s="161"/>
      <c r="D108" s="161"/>
      <c r="F108" s="483"/>
      <c r="G108" s="5"/>
      <c r="H108" s="159"/>
      <c r="CJ108" s="3" t="s">
        <v>32</v>
      </c>
      <c r="CK108" s="3" t="s">
        <v>32</v>
      </c>
      <c r="CL108" s="3" t="s">
        <v>32</v>
      </c>
      <c r="CM108" s="3" t="s">
        <v>32</v>
      </c>
      <c r="CN108" s="3" t="s">
        <v>32</v>
      </c>
      <c r="CO108" s="3" t="s">
        <v>32</v>
      </c>
      <c r="CP108" s="3" t="s">
        <v>32</v>
      </c>
      <c r="CQ108" s="3" t="s">
        <v>32</v>
      </c>
    </row>
    <row r="109" spans="1:95" x14ac:dyDescent="0.15">
      <c r="F109" s="483"/>
      <c r="G109" s="5"/>
      <c r="H109" s="159"/>
      <c r="CJ109" s="3" t="s">
        <v>32</v>
      </c>
      <c r="CK109" s="3" t="s">
        <v>32</v>
      </c>
      <c r="CL109" s="3" t="s">
        <v>32</v>
      </c>
      <c r="CM109" s="3" t="s">
        <v>32</v>
      </c>
      <c r="CN109" s="3" t="s">
        <v>32</v>
      </c>
      <c r="CO109" s="3" t="s">
        <v>32</v>
      </c>
      <c r="CP109" s="3" t="s">
        <v>32</v>
      </c>
      <c r="CQ109" s="3" t="s">
        <v>32</v>
      </c>
    </row>
    <row r="110" spans="1:95" x14ac:dyDescent="0.15">
      <c r="F110" s="483"/>
      <c r="G110" s="5"/>
      <c r="H110" s="159"/>
      <c r="CJ110" s="3" t="s">
        <v>32</v>
      </c>
      <c r="CK110" s="3" t="s">
        <v>32</v>
      </c>
      <c r="CL110" s="3" t="s">
        <v>32</v>
      </c>
      <c r="CM110" s="3" t="s">
        <v>32</v>
      </c>
      <c r="CN110" s="3" t="s">
        <v>32</v>
      </c>
      <c r="CO110" s="3" t="s">
        <v>32</v>
      </c>
      <c r="CP110" s="3" t="s">
        <v>32</v>
      </c>
      <c r="CQ110" s="3" t="s">
        <v>32</v>
      </c>
    </row>
    <row r="111" spans="1:95" x14ac:dyDescent="0.15">
      <c r="F111" s="483"/>
      <c r="G111" s="5"/>
      <c r="H111" s="159"/>
      <c r="CJ111" s="3" t="s">
        <v>32</v>
      </c>
      <c r="CK111" s="3" t="s">
        <v>32</v>
      </c>
      <c r="CL111" s="3" t="s">
        <v>32</v>
      </c>
      <c r="CM111" s="3" t="s">
        <v>32</v>
      </c>
      <c r="CN111" s="3" t="s">
        <v>32</v>
      </c>
      <c r="CO111" s="3" t="s">
        <v>32</v>
      </c>
      <c r="CP111" s="3" t="s">
        <v>32</v>
      </c>
      <c r="CQ111" s="3" t="s">
        <v>32</v>
      </c>
    </row>
    <row r="112" spans="1:95" x14ac:dyDescent="0.15">
      <c r="F112" s="483"/>
      <c r="G112" s="5"/>
      <c r="H112" s="159"/>
      <c r="CJ112" s="3" t="s">
        <v>32</v>
      </c>
      <c r="CK112" s="3" t="s">
        <v>32</v>
      </c>
      <c r="CL112" s="3" t="s">
        <v>32</v>
      </c>
      <c r="CM112" s="3" t="s">
        <v>32</v>
      </c>
      <c r="CN112" s="3" t="s">
        <v>32</v>
      </c>
      <c r="CO112" s="3" t="s">
        <v>32</v>
      </c>
      <c r="CP112" s="3" t="s">
        <v>32</v>
      </c>
      <c r="CQ112" s="3" t="s">
        <v>32</v>
      </c>
    </row>
    <row r="113" spans="1:95" x14ac:dyDescent="0.15">
      <c r="F113" s="483"/>
      <c r="G113" s="5"/>
      <c r="H113" s="159"/>
      <c r="CJ113" s="3" t="s">
        <v>32</v>
      </c>
      <c r="CK113" s="3" t="s">
        <v>32</v>
      </c>
      <c r="CL113" s="3" t="s">
        <v>32</v>
      </c>
      <c r="CM113" s="3" t="s">
        <v>32</v>
      </c>
      <c r="CN113" s="3" t="s">
        <v>32</v>
      </c>
      <c r="CO113" s="3" t="s">
        <v>32</v>
      </c>
      <c r="CP113" s="3" t="s">
        <v>32</v>
      </c>
      <c r="CQ113" s="3" t="s">
        <v>32</v>
      </c>
    </row>
    <row r="114" spans="1:95" x14ac:dyDescent="0.15">
      <c r="F114" s="483"/>
      <c r="G114" s="5"/>
      <c r="H114" s="159"/>
      <c r="CJ114" s="3" t="s">
        <v>32</v>
      </c>
      <c r="CK114" s="3" t="s">
        <v>32</v>
      </c>
      <c r="CL114" s="3" t="s">
        <v>32</v>
      </c>
      <c r="CM114" s="3" t="s">
        <v>32</v>
      </c>
      <c r="CN114" s="3" t="s">
        <v>32</v>
      </c>
      <c r="CO114" s="3" t="s">
        <v>32</v>
      </c>
      <c r="CP114" s="3" t="s">
        <v>32</v>
      </c>
      <c r="CQ114" s="3" t="s">
        <v>32</v>
      </c>
    </row>
    <row r="115" spans="1:95" x14ac:dyDescent="0.15">
      <c r="F115" s="483"/>
      <c r="G115" s="5"/>
      <c r="H115" s="159"/>
      <c r="CJ115" s="3" t="s">
        <v>32</v>
      </c>
      <c r="CK115" s="3" t="s">
        <v>32</v>
      </c>
      <c r="CL115" s="3" t="s">
        <v>32</v>
      </c>
      <c r="CM115" s="3" t="s">
        <v>32</v>
      </c>
      <c r="CN115" s="3" t="s">
        <v>32</v>
      </c>
      <c r="CO115" s="3" t="s">
        <v>32</v>
      </c>
      <c r="CP115" s="3" t="s">
        <v>32</v>
      </c>
      <c r="CQ115" s="3" t="s">
        <v>32</v>
      </c>
    </row>
    <row r="116" spans="1:95" x14ac:dyDescent="0.15">
      <c r="F116" s="483"/>
      <c r="G116" s="5"/>
      <c r="H116" s="159"/>
      <c r="CJ116" s="3" t="s">
        <v>32</v>
      </c>
      <c r="CK116" s="3" t="s">
        <v>32</v>
      </c>
      <c r="CL116" s="3" t="s">
        <v>32</v>
      </c>
      <c r="CM116" s="3" t="s">
        <v>32</v>
      </c>
      <c r="CN116" s="3" t="s">
        <v>32</v>
      </c>
      <c r="CO116" s="3" t="s">
        <v>32</v>
      </c>
      <c r="CP116" s="3" t="s">
        <v>32</v>
      </c>
      <c r="CQ116" s="3" t="s">
        <v>32</v>
      </c>
    </row>
    <row r="117" spans="1:95" x14ac:dyDescent="0.15">
      <c r="A117" s="161"/>
      <c r="F117" s="483"/>
      <c r="G117" s="5"/>
      <c r="H117" s="159"/>
      <c r="CJ117" s="3" t="s">
        <v>32</v>
      </c>
      <c r="CK117" s="3" t="s">
        <v>32</v>
      </c>
      <c r="CL117" s="3" t="s">
        <v>32</v>
      </c>
      <c r="CM117" s="3" t="s">
        <v>32</v>
      </c>
      <c r="CN117" s="3" t="s">
        <v>32</v>
      </c>
      <c r="CO117" s="3" t="s">
        <v>32</v>
      </c>
      <c r="CP117" s="3" t="s">
        <v>32</v>
      </c>
      <c r="CQ117" s="3" t="s">
        <v>32</v>
      </c>
    </row>
    <row r="118" spans="1:95" x14ac:dyDescent="0.15">
      <c r="F118" s="483"/>
      <c r="G118" s="5"/>
      <c r="H118" s="159"/>
      <c r="CJ118" s="3" t="s">
        <v>32</v>
      </c>
      <c r="CK118" s="3" t="s">
        <v>32</v>
      </c>
      <c r="CL118" s="3" t="s">
        <v>32</v>
      </c>
      <c r="CM118" s="3" t="s">
        <v>32</v>
      </c>
      <c r="CN118" s="3" t="s">
        <v>32</v>
      </c>
      <c r="CO118" s="3" t="s">
        <v>32</v>
      </c>
      <c r="CP118" s="3" t="s">
        <v>32</v>
      </c>
      <c r="CQ118" s="3" t="s">
        <v>32</v>
      </c>
    </row>
    <row r="119" spans="1:95" x14ac:dyDescent="0.15">
      <c r="F119" s="483"/>
      <c r="G119" s="5"/>
      <c r="H119" s="159"/>
      <c r="CJ119" s="3" t="s">
        <v>32</v>
      </c>
      <c r="CK119" s="3" t="s">
        <v>32</v>
      </c>
      <c r="CL119" s="3" t="s">
        <v>32</v>
      </c>
      <c r="CM119" s="3" t="s">
        <v>32</v>
      </c>
      <c r="CN119" s="3" t="s">
        <v>32</v>
      </c>
      <c r="CO119" s="3" t="s">
        <v>32</v>
      </c>
      <c r="CP119" s="3" t="s">
        <v>32</v>
      </c>
      <c r="CQ119" s="3" t="s">
        <v>32</v>
      </c>
    </row>
    <row r="120" spans="1:95" x14ac:dyDescent="0.15">
      <c r="F120" s="483"/>
      <c r="G120" s="5"/>
      <c r="H120" s="159"/>
      <c r="CJ120" s="3" t="s">
        <v>32</v>
      </c>
      <c r="CK120" s="3" t="s">
        <v>32</v>
      </c>
      <c r="CL120" s="3" t="s">
        <v>32</v>
      </c>
      <c r="CM120" s="3" t="s">
        <v>32</v>
      </c>
      <c r="CN120" s="3" t="s">
        <v>32</v>
      </c>
      <c r="CO120" s="3" t="s">
        <v>32</v>
      </c>
      <c r="CP120" s="3" t="s">
        <v>32</v>
      </c>
      <c r="CQ120" s="3" t="s">
        <v>32</v>
      </c>
    </row>
    <row r="121" spans="1:95" x14ac:dyDescent="0.15">
      <c r="F121" s="483"/>
      <c r="G121" s="5"/>
      <c r="H121" s="159"/>
      <c r="CJ121" s="3" t="s">
        <v>32</v>
      </c>
      <c r="CK121" s="3" t="s">
        <v>32</v>
      </c>
      <c r="CL121" s="3" t="s">
        <v>32</v>
      </c>
      <c r="CM121" s="3" t="s">
        <v>32</v>
      </c>
      <c r="CN121" s="3" t="s">
        <v>32</v>
      </c>
      <c r="CO121" s="3" t="s">
        <v>32</v>
      </c>
      <c r="CP121" s="3" t="s">
        <v>32</v>
      </c>
      <c r="CQ121" s="3" t="s">
        <v>32</v>
      </c>
    </row>
    <row r="122" spans="1:95" x14ac:dyDescent="0.15">
      <c r="F122" s="483"/>
      <c r="G122" s="5"/>
      <c r="H122" s="159"/>
      <c r="CJ122" s="3" t="s">
        <v>32</v>
      </c>
      <c r="CK122" s="3" t="s">
        <v>32</v>
      </c>
      <c r="CL122" s="3" t="s">
        <v>32</v>
      </c>
      <c r="CM122" s="3" t="s">
        <v>32</v>
      </c>
      <c r="CN122" s="3" t="s">
        <v>32</v>
      </c>
      <c r="CO122" s="3" t="s">
        <v>32</v>
      </c>
      <c r="CP122" s="3" t="s">
        <v>32</v>
      </c>
      <c r="CQ122" s="3" t="s">
        <v>32</v>
      </c>
    </row>
    <row r="123" spans="1:95" x14ac:dyDescent="0.15">
      <c r="F123" s="483"/>
      <c r="G123" s="5"/>
      <c r="H123" s="159"/>
      <c r="CJ123" s="3" t="s">
        <v>32</v>
      </c>
      <c r="CK123" s="3" t="s">
        <v>32</v>
      </c>
      <c r="CL123" s="3" t="s">
        <v>32</v>
      </c>
      <c r="CM123" s="3" t="s">
        <v>32</v>
      </c>
      <c r="CN123" s="3" t="s">
        <v>32</v>
      </c>
      <c r="CO123" s="3" t="s">
        <v>32</v>
      </c>
      <c r="CP123" s="3" t="s">
        <v>32</v>
      </c>
      <c r="CQ123" s="3" t="s">
        <v>32</v>
      </c>
    </row>
    <row r="124" spans="1:95" x14ac:dyDescent="0.15">
      <c r="F124" s="483"/>
      <c r="G124" s="5"/>
      <c r="H124" s="159"/>
      <c r="CJ124" s="3" t="s">
        <v>32</v>
      </c>
      <c r="CK124" s="3" t="s">
        <v>32</v>
      </c>
      <c r="CL124" s="3" t="s">
        <v>32</v>
      </c>
      <c r="CM124" s="3" t="s">
        <v>32</v>
      </c>
      <c r="CN124" s="3" t="s">
        <v>32</v>
      </c>
      <c r="CO124" s="3" t="s">
        <v>32</v>
      </c>
      <c r="CP124" s="3" t="s">
        <v>32</v>
      </c>
      <c r="CQ124" s="3" t="s">
        <v>32</v>
      </c>
    </row>
    <row r="125" spans="1:95" x14ac:dyDescent="0.15">
      <c r="F125" s="483"/>
      <c r="G125" s="5"/>
      <c r="H125" s="159"/>
      <c r="CJ125" s="3" t="s">
        <v>32</v>
      </c>
      <c r="CK125" s="3" t="s">
        <v>32</v>
      </c>
      <c r="CL125" s="3" t="s">
        <v>32</v>
      </c>
      <c r="CM125" s="3" t="s">
        <v>32</v>
      </c>
      <c r="CN125" s="3" t="s">
        <v>32</v>
      </c>
      <c r="CO125" s="3" t="s">
        <v>32</v>
      </c>
      <c r="CP125" s="3" t="s">
        <v>32</v>
      </c>
      <c r="CQ125" s="3" t="s">
        <v>32</v>
      </c>
    </row>
    <row r="126" spans="1:95" x14ac:dyDescent="0.15">
      <c r="F126" s="483"/>
      <c r="G126" s="5"/>
      <c r="H126" s="159"/>
      <c r="CJ126" s="3" t="s">
        <v>32</v>
      </c>
      <c r="CK126" s="3" t="s">
        <v>32</v>
      </c>
      <c r="CL126" s="3" t="s">
        <v>32</v>
      </c>
      <c r="CM126" s="3" t="s">
        <v>32</v>
      </c>
      <c r="CN126" s="3" t="s">
        <v>32</v>
      </c>
      <c r="CO126" s="3" t="s">
        <v>32</v>
      </c>
      <c r="CP126" s="3" t="s">
        <v>32</v>
      </c>
      <c r="CQ126" s="3" t="s">
        <v>32</v>
      </c>
    </row>
    <row r="127" spans="1:95" x14ac:dyDescent="0.15">
      <c r="F127" s="483"/>
      <c r="G127" s="5"/>
      <c r="H127" s="159"/>
      <c r="CJ127" s="3" t="s">
        <v>32</v>
      </c>
      <c r="CK127" s="3" t="s">
        <v>32</v>
      </c>
      <c r="CL127" s="3" t="s">
        <v>32</v>
      </c>
      <c r="CM127" s="3" t="s">
        <v>32</v>
      </c>
      <c r="CN127" s="3" t="s">
        <v>32</v>
      </c>
      <c r="CO127" s="3" t="s">
        <v>32</v>
      </c>
      <c r="CP127" s="3" t="s">
        <v>32</v>
      </c>
      <c r="CQ127" s="3" t="s">
        <v>32</v>
      </c>
    </row>
    <row r="128" spans="1:95" x14ac:dyDescent="0.15">
      <c r="F128" s="483"/>
      <c r="G128" s="5"/>
      <c r="H128" s="159"/>
      <c r="CJ128" s="3" t="s">
        <v>32</v>
      </c>
      <c r="CK128" s="3" t="s">
        <v>32</v>
      </c>
      <c r="CL128" s="3" t="s">
        <v>32</v>
      </c>
      <c r="CM128" s="3" t="s">
        <v>32</v>
      </c>
      <c r="CN128" s="3" t="s">
        <v>32</v>
      </c>
      <c r="CO128" s="3" t="s">
        <v>32</v>
      </c>
      <c r="CP128" s="3" t="s">
        <v>32</v>
      </c>
      <c r="CQ128" s="3" t="s">
        <v>32</v>
      </c>
    </row>
    <row r="129" spans="6:95" x14ac:dyDescent="0.15">
      <c r="F129" s="483"/>
      <c r="G129" s="5"/>
      <c r="H129" s="159"/>
      <c r="CJ129" s="3" t="s">
        <v>32</v>
      </c>
      <c r="CK129" s="3" t="s">
        <v>32</v>
      </c>
      <c r="CL129" s="3" t="s">
        <v>32</v>
      </c>
      <c r="CM129" s="3" t="s">
        <v>32</v>
      </c>
      <c r="CN129" s="3" t="s">
        <v>32</v>
      </c>
      <c r="CO129" s="3" t="s">
        <v>32</v>
      </c>
      <c r="CP129" s="3" t="s">
        <v>32</v>
      </c>
      <c r="CQ129" s="3" t="s">
        <v>32</v>
      </c>
    </row>
    <row r="130" spans="6:95" x14ac:dyDescent="0.15">
      <c r="F130" s="483"/>
      <c r="G130" s="5"/>
      <c r="H130" s="160"/>
      <c r="CJ130" s="3" t="s">
        <v>32</v>
      </c>
      <c r="CK130" s="3" t="s">
        <v>32</v>
      </c>
      <c r="CL130" s="3" t="s">
        <v>32</v>
      </c>
      <c r="CM130" s="3" t="s">
        <v>32</v>
      </c>
      <c r="CN130" s="3" t="s">
        <v>32</v>
      </c>
      <c r="CO130" s="3" t="s">
        <v>32</v>
      </c>
      <c r="CP130" s="3" t="s">
        <v>32</v>
      </c>
      <c r="CQ130" s="3" t="s">
        <v>32</v>
      </c>
    </row>
    <row r="131" spans="6:95" x14ac:dyDescent="0.15">
      <c r="F131" s="483"/>
      <c r="G131" s="5"/>
      <c r="H131" s="160"/>
      <c r="CJ131" s="3" t="s">
        <v>32</v>
      </c>
      <c r="CK131" s="3" t="s">
        <v>32</v>
      </c>
      <c r="CL131" s="3" t="s">
        <v>32</v>
      </c>
      <c r="CM131" s="3" t="s">
        <v>32</v>
      </c>
      <c r="CN131" s="3" t="s">
        <v>32</v>
      </c>
      <c r="CO131" s="3" t="s">
        <v>32</v>
      </c>
      <c r="CP131" s="3" t="s">
        <v>32</v>
      </c>
      <c r="CQ131" s="3" t="s">
        <v>32</v>
      </c>
    </row>
    <row r="132" spans="6:95" x14ac:dyDescent="0.15">
      <c r="F132" s="483"/>
      <c r="G132" s="5"/>
      <c r="H132" s="160"/>
      <c r="CJ132" s="3" t="s">
        <v>32</v>
      </c>
      <c r="CK132" s="3" t="s">
        <v>32</v>
      </c>
      <c r="CL132" s="3" t="s">
        <v>32</v>
      </c>
      <c r="CM132" s="3" t="s">
        <v>32</v>
      </c>
      <c r="CN132" s="3" t="s">
        <v>32</v>
      </c>
      <c r="CO132" s="3" t="s">
        <v>32</v>
      </c>
      <c r="CP132" s="3" t="s">
        <v>32</v>
      </c>
      <c r="CQ132" s="3" t="s">
        <v>32</v>
      </c>
    </row>
    <row r="133" spans="6:95" x14ac:dyDescent="0.15">
      <c r="F133" s="483"/>
      <c r="G133" s="5"/>
      <c r="H133" s="159"/>
      <c r="CJ133" s="3" t="s">
        <v>32</v>
      </c>
      <c r="CK133" s="3" t="s">
        <v>32</v>
      </c>
      <c r="CL133" s="3" t="s">
        <v>32</v>
      </c>
      <c r="CM133" s="3" t="s">
        <v>32</v>
      </c>
      <c r="CN133" s="3" t="s">
        <v>32</v>
      </c>
      <c r="CO133" s="3" t="s">
        <v>32</v>
      </c>
      <c r="CP133" s="3" t="s">
        <v>32</v>
      </c>
      <c r="CQ133" s="3" t="s">
        <v>32</v>
      </c>
    </row>
    <row r="134" spans="6:95" x14ac:dyDescent="0.15">
      <c r="F134" s="483"/>
      <c r="G134" s="5"/>
      <c r="H134" s="159"/>
      <c r="CJ134" s="3" t="s">
        <v>32</v>
      </c>
      <c r="CK134" s="3" t="s">
        <v>32</v>
      </c>
      <c r="CL134" s="3" t="s">
        <v>32</v>
      </c>
      <c r="CM134" s="3" t="s">
        <v>32</v>
      </c>
      <c r="CN134" s="3" t="s">
        <v>32</v>
      </c>
      <c r="CO134" s="3" t="s">
        <v>32</v>
      </c>
      <c r="CP134" s="3" t="s">
        <v>32</v>
      </c>
      <c r="CQ134" s="3" t="s">
        <v>32</v>
      </c>
    </row>
    <row r="135" spans="6:95" x14ac:dyDescent="0.15">
      <c r="F135" s="483"/>
      <c r="G135" s="5"/>
      <c r="H135" s="159"/>
      <c r="CJ135" s="3" t="s">
        <v>32</v>
      </c>
      <c r="CK135" s="3" t="s">
        <v>32</v>
      </c>
      <c r="CL135" s="3" t="s">
        <v>32</v>
      </c>
      <c r="CM135" s="3" t="s">
        <v>32</v>
      </c>
      <c r="CN135" s="3" t="s">
        <v>32</v>
      </c>
      <c r="CO135" s="3" t="s">
        <v>32</v>
      </c>
      <c r="CP135" s="3" t="s">
        <v>32</v>
      </c>
      <c r="CQ135" s="3" t="s">
        <v>32</v>
      </c>
    </row>
    <row r="136" spans="6:95" x14ac:dyDescent="0.15">
      <c r="F136" s="483"/>
      <c r="G136" s="5"/>
      <c r="H136" s="159"/>
      <c r="CJ136" s="3" t="s">
        <v>32</v>
      </c>
      <c r="CK136" s="3" t="s">
        <v>32</v>
      </c>
      <c r="CL136" s="3" t="s">
        <v>32</v>
      </c>
      <c r="CM136" s="3" t="s">
        <v>32</v>
      </c>
      <c r="CN136" s="3" t="s">
        <v>32</v>
      </c>
      <c r="CO136" s="3" t="s">
        <v>32</v>
      </c>
      <c r="CP136" s="3" t="s">
        <v>32</v>
      </c>
      <c r="CQ136" s="3" t="s">
        <v>32</v>
      </c>
    </row>
    <row r="137" spans="6:95" x14ac:dyDescent="0.15">
      <c r="F137" s="483"/>
      <c r="G137" s="5"/>
      <c r="H137" s="159"/>
      <c r="CJ137" s="3" t="s">
        <v>32</v>
      </c>
      <c r="CK137" s="3" t="s">
        <v>32</v>
      </c>
      <c r="CL137" s="3" t="s">
        <v>32</v>
      </c>
      <c r="CM137" s="3" t="s">
        <v>32</v>
      </c>
      <c r="CN137" s="3" t="s">
        <v>32</v>
      </c>
      <c r="CO137" s="3" t="s">
        <v>32</v>
      </c>
      <c r="CP137" s="3" t="s">
        <v>32</v>
      </c>
      <c r="CQ137" s="3" t="s">
        <v>32</v>
      </c>
    </row>
    <row r="138" spans="6:95" x14ac:dyDescent="0.15">
      <c r="F138" s="483"/>
      <c r="G138" s="5"/>
      <c r="H138" s="159"/>
      <c r="CJ138" s="3" t="s">
        <v>32</v>
      </c>
      <c r="CK138" s="3" t="s">
        <v>32</v>
      </c>
      <c r="CL138" s="3" t="s">
        <v>32</v>
      </c>
      <c r="CM138" s="3" t="s">
        <v>32</v>
      </c>
      <c r="CN138" s="3" t="s">
        <v>32</v>
      </c>
      <c r="CO138" s="3" t="s">
        <v>32</v>
      </c>
      <c r="CP138" s="3" t="s">
        <v>32</v>
      </c>
      <c r="CQ138" s="3" t="s">
        <v>32</v>
      </c>
    </row>
    <row r="139" spans="6:95" x14ac:dyDescent="0.15">
      <c r="F139" s="483"/>
      <c r="G139" s="5"/>
      <c r="H139" s="159"/>
      <c r="CJ139" s="3" t="s">
        <v>32</v>
      </c>
      <c r="CK139" s="3" t="s">
        <v>32</v>
      </c>
      <c r="CL139" s="3" t="s">
        <v>32</v>
      </c>
      <c r="CM139" s="3" t="s">
        <v>32</v>
      </c>
      <c r="CN139" s="3" t="s">
        <v>32</v>
      </c>
      <c r="CO139" s="3" t="s">
        <v>32</v>
      </c>
      <c r="CP139" s="3" t="s">
        <v>32</v>
      </c>
      <c r="CQ139" s="3" t="s">
        <v>32</v>
      </c>
    </row>
    <row r="140" spans="6:95" x14ac:dyDescent="0.15">
      <c r="F140" s="483"/>
      <c r="G140" s="5"/>
      <c r="H140" s="159"/>
      <c r="CJ140" s="3" t="s">
        <v>32</v>
      </c>
      <c r="CK140" s="3" t="s">
        <v>32</v>
      </c>
      <c r="CL140" s="3" t="s">
        <v>32</v>
      </c>
      <c r="CM140" s="3" t="s">
        <v>32</v>
      </c>
      <c r="CN140" s="3" t="s">
        <v>32</v>
      </c>
      <c r="CO140" s="3" t="s">
        <v>32</v>
      </c>
      <c r="CP140" s="3" t="s">
        <v>32</v>
      </c>
      <c r="CQ140" s="3" t="s">
        <v>32</v>
      </c>
    </row>
    <row r="141" spans="6:95" x14ac:dyDescent="0.15">
      <c r="F141" s="483"/>
      <c r="G141" s="5"/>
      <c r="H141" s="160"/>
      <c r="CJ141" s="3" t="s">
        <v>32</v>
      </c>
      <c r="CK141" s="3" t="s">
        <v>32</v>
      </c>
      <c r="CL141" s="3" t="s">
        <v>32</v>
      </c>
      <c r="CM141" s="3" t="s">
        <v>32</v>
      </c>
      <c r="CN141" s="3" t="s">
        <v>32</v>
      </c>
      <c r="CO141" s="3" t="s">
        <v>32</v>
      </c>
      <c r="CP141" s="3" t="s">
        <v>32</v>
      </c>
      <c r="CQ141" s="3" t="s">
        <v>32</v>
      </c>
    </row>
    <row r="142" spans="6:95" x14ac:dyDescent="0.15">
      <c r="F142" s="483"/>
      <c r="G142" s="5"/>
      <c r="H142" s="159"/>
      <c r="CJ142" s="3" t="s">
        <v>32</v>
      </c>
      <c r="CK142" s="3" t="s">
        <v>32</v>
      </c>
      <c r="CL142" s="3" t="s">
        <v>32</v>
      </c>
      <c r="CM142" s="3" t="s">
        <v>32</v>
      </c>
      <c r="CN142" s="3" t="s">
        <v>32</v>
      </c>
      <c r="CO142" s="3" t="s">
        <v>32</v>
      </c>
      <c r="CP142" s="3" t="s">
        <v>32</v>
      </c>
      <c r="CQ142" s="3" t="s">
        <v>32</v>
      </c>
    </row>
    <row r="143" spans="6:95" x14ac:dyDescent="0.15">
      <c r="F143" s="483"/>
      <c r="G143" s="5"/>
      <c r="H143" s="159"/>
    </row>
    <row r="144" spans="6:95" x14ac:dyDescent="0.15">
      <c r="F144" s="483"/>
      <c r="G144" s="5"/>
      <c r="H144" s="159"/>
    </row>
    <row r="145" spans="6:8" x14ac:dyDescent="0.15">
      <c r="F145" s="483"/>
      <c r="G145" s="5"/>
      <c r="H145" s="159"/>
    </row>
    <row r="146" spans="6:8" x14ac:dyDescent="0.15">
      <c r="F146" s="483"/>
      <c r="G146" s="5"/>
      <c r="H146" s="159"/>
    </row>
    <row r="147" spans="6:8" x14ac:dyDescent="0.15">
      <c r="F147" s="483"/>
      <c r="G147" s="5"/>
      <c r="H147" s="160"/>
    </row>
    <row r="148" spans="6:8" x14ac:dyDescent="0.15">
      <c r="F148" s="483"/>
      <c r="G148" s="5"/>
      <c r="H148" s="160"/>
    </row>
    <row r="149" spans="6:8" x14ac:dyDescent="0.15">
      <c r="F149" s="483"/>
      <c r="G149" s="5"/>
      <c r="H149" s="160"/>
    </row>
    <row r="150" spans="6:8" x14ac:dyDescent="0.15">
      <c r="F150" s="483"/>
      <c r="G150" s="5"/>
      <c r="H150" s="160"/>
    </row>
    <row r="151" spans="6:8" x14ac:dyDescent="0.15">
      <c r="F151" s="483"/>
      <c r="G151" s="5"/>
      <c r="H151" s="160"/>
    </row>
    <row r="152" spans="6:8" x14ac:dyDescent="0.15">
      <c r="F152" s="483"/>
      <c r="G152" s="5"/>
      <c r="H152" s="160"/>
    </row>
    <row r="153" spans="6:8" x14ac:dyDescent="0.15">
      <c r="F153" s="483"/>
      <c r="G153" s="5"/>
      <c r="H153" s="160"/>
    </row>
    <row r="154" spans="6:8" x14ac:dyDescent="0.15">
      <c r="F154" s="483"/>
      <c r="G154" s="5"/>
      <c r="H154" s="160"/>
    </row>
    <row r="155" spans="6:8" x14ac:dyDescent="0.15">
      <c r="F155" s="483"/>
      <c r="G155" s="5"/>
      <c r="H155" s="160"/>
    </row>
    <row r="156" spans="6:8" x14ac:dyDescent="0.15">
      <c r="F156" s="483"/>
      <c r="G156" s="5"/>
      <c r="H156" s="160"/>
    </row>
    <row r="157" spans="6:8" x14ac:dyDescent="0.15">
      <c r="F157" s="483"/>
      <c r="G157" s="5"/>
      <c r="H157" s="160"/>
    </row>
    <row r="158" spans="6:8" x14ac:dyDescent="0.15">
      <c r="F158" s="483"/>
      <c r="G158" s="5"/>
      <c r="H158" s="160"/>
    </row>
    <row r="159" spans="6:8" x14ac:dyDescent="0.15">
      <c r="F159" s="483"/>
      <c r="G159" s="5"/>
      <c r="H159" s="160"/>
    </row>
    <row r="160" spans="6:8" x14ac:dyDescent="0.15">
      <c r="F160" s="483"/>
      <c r="G160" s="5"/>
      <c r="H160" s="160"/>
    </row>
    <row r="161" spans="6:8" x14ac:dyDescent="0.15">
      <c r="F161" s="483"/>
      <c r="G161" s="5"/>
      <c r="H161" s="159"/>
    </row>
    <row r="162" spans="6:8" x14ac:dyDescent="0.15">
      <c r="F162" s="483"/>
      <c r="G162" s="5"/>
      <c r="H162" s="159"/>
    </row>
    <row r="163" spans="6:8" x14ac:dyDescent="0.15">
      <c r="F163" s="483"/>
      <c r="G163" s="5"/>
      <c r="H163" s="159"/>
    </row>
    <row r="164" spans="6:8" x14ac:dyDescent="0.15">
      <c r="F164" s="485"/>
      <c r="G164" s="5"/>
      <c r="H164" s="159"/>
    </row>
    <row r="165" spans="6:8" x14ac:dyDescent="0.15">
      <c r="F165" s="483"/>
      <c r="G165" s="5"/>
      <c r="H165" s="159"/>
    </row>
    <row r="166" spans="6:8" x14ac:dyDescent="0.15">
      <c r="F166" s="483"/>
      <c r="G166" s="5"/>
      <c r="H166" s="159"/>
    </row>
    <row r="167" spans="6:8" x14ac:dyDescent="0.15">
      <c r="F167" s="483"/>
      <c r="G167" s="5"/>
      <c r="H167" s="159"/>
    </row>
    <row r="168" spans="6:8" x14ac:dyDescent="0.15">
      <c r="F168" s="483"/>
      <c r="G168" s="5"/>
      <c r="H168" s="159"/>
    </row>
    <row r="169" spans="6:8" x14ac:dyDescent="0.15">
      <c r="F169" s="483"/>
      <c r="G169" s="5"/>
      <c r="H169" s="160"/>
    </row>
    <row r="170" spans="6:8" x14ac:dyDescent="0.15">
      <c r="F170" s="483"/>
      <c r="G170" s="5"/>
      <c r="H170" s="159"/>
    </row>
    <row r="171" spans="6:8" x14ac:dyDescent="0.15">
      <c r="F171" s="483"/>
      <c r="G171" s="5"/>
      <c r="H171" s="159"/>
    </row>
    <row r="172" spans="6:8" x14ac:dyDescent="0.15">
      <c r="F172" s="483"/>
      <c r="G172" s="5"/>
      <c r="H172" s="159"/>
    </row>
    <row r="173" spans="6:8" x14ac:dyDescent="0.15">
      <c r="F173" s="483"/>
      <c r="G173" s="5"/>
      <c r="H173" s="160"/>
    </row>
    <row r="174" spans="6:8" x14ac:dyDescent="0.15">
      <c r="F174" s="483"/>
      <c r="G174" s="5"/>
      <c r="H174" s="159"/>
    </row>
    <row r="175" spans="6:8" x14ac:dyDescent="0.15">
      <c r="F175" s="483"/>
      <c r="G175" s="5"/>
      <c r="H175" s="159"/>
    </row>
    <row r="176" spans="6:8" x14ac:dyDescent="0.15">
      <c r="F176" s="483"/>
      <c r="G176" s="5"/>
      <c r="H176" s="159"/>
    </row>
    <row r="177" spans="6:8" x14ac:dyDescent="0.15">
      <c r="F177" s="483"/>
      <c r="G177" s="5"/>
      <c r="H177" s="159"/>
    </row>
    <row r="178" spans="6:8" x14ac:dyDescent="0.15">
      <c r="F178" s="485"/>
      <c r="G178" s="6"/>
      <c r="H178" s="159"/>
    </row>
    <row r="179" spans="6:8" x14ac:dyDescent="0.15">
      <c r="F179" s="483"/>
      <c r="G179" s="6"/>
      <c r="H179" s="159"/>
    </row>
    <row r="180" spans="6:8" x14ac:dyDescent="0.15">
      <c r="F180" s="483"/>
      <c r="G180" s="6"/>
      <c r="H180" s="159"/>
    </row>
    <row r="181" spans="6:8" x14ac:dyDescent="0.15">
      <c r="F181" s="483"/>
      <c r="G181" s="6"/>
      <c r="H181" s="159"/>
    </row>
    <row r="182" spans="6:8" x14ac:dyDescent="0.15">
      <c r="F182" s="483"/>
      <c r="G182" s="6"/>
      <c r="H182" s="159"/>
    </row>
    <row r="183" spans="6:8" x14ac:dyDescent="0.15">
      <c r="F183" s="483"/>
      <c r="G183" s="6"/>
      <c r="H183" s="159"/>
    </row>
    <row r="184" spans="6:8" x14ac:dyDescent="0.15">
      <c r="F184" s="483"/>
      <c r="G184" s="6"/>
      <c r="H184" s="159"/>
    </row>
    <row r="185" spans="6:8" x14ac:dyDescent="0.15">
      <c r="F185" s="485"/>
      <c r="G185" s="6"/>
      <c r="H185" s="159"/>
    </row>
    <row r="186" spans="6:8" x14ac:dyDescent="0.15">
      <c r="F186" s="483"/>
      <c r="G186" s="6"/>
      <c r="H186" s="159"/>
    </row>
    <row r="187" spans="6:8" x14ac:dyDescent="0.15">
      <c r="F187" s="483"/>
      <c r="G187" s="6"/>
      <c r="H187" s="159"/>
    </row>
    <row r="188" spans="6:8" x14ac:dyDescent="0.15">
      <c r="F188" s="483"/>
      <c r="G188" s="6"/>
      <c r="H188" s="159"/>
    </row>
    <row r="189" spans="6:8" x14ac:dyDescent="0.15">
      <c r="F189" s="483"/>
      <c r="G189" s="6"/>
      <c r="H189" s="159"/>
    </row>
    <row r="190" spans="6:8" x14ac:dyDescent="0.15">
      <c r="F190" s="483"/>
      <c r="G190" s="6"/>
      <c r="H190" s="159"/>
    </row>
    <row r="191" spans="6:8" x14ac:dyDescent="0.15">
      <c r="F191" s="483"/>
      <c r="G191" s="6"/>
      <c r="H191" s="159"/>
    </row>
    <row r="192" spans="6:8" x14ac:dyDescent="0.15">
      <c r="F192" s="485"/>
      <c r="G192" s="6"/>
      <c r="H192" s="160"/>
    </row>
    <row r="193" spans="6:8" x14ac:dyDescent="0.15">
      <c r="F193" s="483"/>
      <c r="G193" s="6"/>
      <c r="H193" s="159"/>
    </row>
    <row r="194" spans="6:8" x14ac:dyDescent="0.15">
      <c r="F194" s="483"/>
      <c r="G194" s="6"/>
      <c r="H194" s="159"/>
    </row>
    <row r="195" spans="6:8" x14ac:dyDescent="0.15">
      <c r="F195" s="483"/>
      <c r="G195" s="6"/>
      <c r="H195" s="159"/>
    </row>
    <row r="196" spans="6:8" x14ac:dyDescent="0.15">
      <c r="F196" s="483"/>
      <c r="G196" s="6"/>
      <c r="H196" s="159"/>
    </row>
    <row r="197" spans="6:8" x14ac:dyDescent="0.15">
      <c r="F197" s="483"/>
      <c r="G197" s="6"/>
      <c r="H197" s="159"/>
    </row>
    <row r="198" spans="6:8" x14ac:dyDescent="0.15">
      <c r="F198" s="483"/>
      <c r="G198" s="6"/>
      <c r="H198" s="159"/>
    </row>
    <row r="199" spans="6:8" x14ac:dyDescent="0.15">
      <c r="F199" s="483"/>
      <c r="G199" s="6"/>
      <c r="H199" s="159"/>
    </row>
    <row r="200" spans="6:8" x14ac:dyDescent="0.15">
      <c r="F200" s="485"/>
      <c r="G200" s="6"/>
      <c r="H200" s="159"/>
    </row>
    <row r="201" spans="6:8" x14ac:dyDescent="0.15">
      <c r="F201" s="485"/>
      <c r="G201" s="6"/>
      <c r="H201" s="160"/>
    </row>
    <row r="202" spans="6:8" x14ac:dyDescent="0.15">
      <c r="F202" s="485"/>
      <c r="G202" s="6"/>
      <c r="H202" s="159"/>
    </row>
    <row r="220" spans="8:8" x14ac:dyDescent="0.15">
      <c r="H220" s="160"/>
    </row>
    <row r="252" spans="8:8" x14ac:dyDescent="0.15">
      <c r="H252" s="160"/>
    </row>
    <row r="253" spans="8:8" x14ac:dyDescent="0.15">
      <c r="H253" s="160"/>
    </row>
    <row r="254" spans="8:8" x14ac:dyDescent="0.15">
      <c r="H254" s="160"/>
    </row>
    <row r="261" spans="5:5" x14ac:dyDescent="0.15">
      <c r="E261" s="161"/>
    </row>
  </sheetData>
  <sheetProtection algorithmName="SHA-512" hashValue="7h/iZGk/8RVXOGfawzPsVe7k//+p9bKxHh1ndR0KXGz64WU5Af4FeRlEHw3eTUVbjsPV8MXosQl5lkAejSt7fw==" saltValue="ykXYuuntP14C7oza5a0BKQ==" spinCount="100000" sheet="1" objects="1" scenarios="1"/>
  <conditionalFormatting sqref="F49">
    <cfRule type="cellIs" dxfId="96" priority="39" operator="equal">
      <formula>0</formula>
    </cfRule>
    <cfRule type="cellIs" dxfId="95" priority="40" operator="greaterThanOrEqual">
      <formula>10</formula>
    </cfRule>
  </conditionalFormatting>
  <conditionalFormatting sqref="F107">
    <cfRule type="cellIs" dxfId="94" priority="35" operator="equal">
      <formula>0</formula>
    </cfRule>
    <cfRule type="cellIs" dxfId="93" priority="36" operator="greaterThanOrEqual">
      <formula>10</formula>
    </cfRule>
  </conditionalFormatting>
  <conditionalFormatting sqref="F126">
    <cfRule type="cellIs" dxfId="92" priority="33" operator="equal">
      <formula>0</formula>
    </cfRule>
    <cfRule type="cellIs" dxfId="91" priority="34" operator="greaterThanOrEqual">
      <formula>10</formula>
    </cfRule>
  </conditionalFormatting>
  <conditionalFormatting sqref="F145">
    <cfRule type="cellIs" dxfId="90" priority="31" operator="equal">
      <formula>0</formula>
    </cfRule>
    <cfRule type="cellIs" dxfId="89" priority="32" operator="greaterThanOrEqual">
      <formula>10</formula>
    </cfRule>
  </conditionalFormatting>
  <conditionalFormatting sqref="G48:G81">
    <cfRule type="cellIs" dxfId="88" priority="37" operator="equal">
      <formula>0</formula>
    </cfRule>
    <cfRule type="cellIs" dxfId="87" priority="38" operator="greaterThanOrEqual">
      <formula>10</formula>
    </cfRule>
  </conditionalFormatting>
  <conditionalFormatting sqref="G106:G177">
    <cfRule type="cellIs" dxfId="86" priority="47" operator="equal">
      <formula>0</formula>
    </cfRule>
    <cfRule type="cellIs" dxfId="85" priority="48" operator="greaterThanOrEqual">
      <formula>10</formula>
    </cfRule>
  </conditionalFormatting>
  <conditionalFormatting sqref="G202">
    <cfRule type="cellIs" dxfId="84" priority="29" operator="equal">
      <formula>0</formula>
    </cfRule>
    <cfRule type="cellIs" dxfId="83" priority="30" operator="greaterThanOrEqual">
      <formula>10</formula>
    </cfRule>
  </conditionalFormatting>
  <conditionalFormatting sqref="H59:H202">
    <cfRule type="cellIs" dxfId="82" priority="21" operator="equal">
      <formula>0</formula>
    </cfRule>
    <cfRule type="cellIs" dxfId="81" priority="22" operator="greaterThanOrEqual">
      <formula>10</formula>
    </cfRule>
  </conditionalFormatting>
  <conditionalFormatting sqref="H220">
    <cfRule type="cellIs" dxfId="80" priority="51" operator="equal">
      <formula>0</formula>
    </cfRule>
    <cfRule type="cellIs" dxfId="79" priority="52" operator="greaterThanOrEqual">
      <formula>10</formula>
    </cfRule>
  </conditionalFormatting>
  <conditionalFormatting sqref="H252:H254">
    <cfRule type="cellIs" dxfId="78" priority="23" operator="equal">
      <formula>0</formula>
    </cfRule>
    <cfRule type="cellIs" dxfId="77" priority="24" operator="greaterThanOrEqual">
      <formula>10</formula>
    </cfRule>
  </conditionalFormatting>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tabColor theme="1" tint="0.499984740745262"/>
  </sheetPr>
  <dimension ref="A1:CM111"/>
  <sheetViews>
    <sheetView showGridLines="0" workbookViewId="0">
      <pane xSplit="4" ySplit="1" topLeftCell="E2" activePane="bottomRight" state="frozen"/>
      <selection pane="topRight" activeCell="E1" sqref="E1"/>
      <selection pane="bottomLeft" activeCell="A2" sqref="A2"/>
      <selection pane="bottomRight" activeCell="R33" sqref="R33"/>
    </sheetView>
  </sheetViews>
  <sheetFormatPr baseColWidth="10" defaultColWidth="9.1640625" defaultRowHeight="13" x14ac:dyDescent="0.15"/>
  <cols>
    <col min="1" max="1" width="18.5" customWidth="1"/>
    <col min="2" max="2" width="40.83203125" customWidth="1"/>
    <col min="3" max="3" width="20.5" customWidth="1"/>
    <col min="4" max="4" width="18.5" style="2" customWidth="1"/>
    <col min="5" max="9" width="13.5" style="2" customWidth="1"/>
    <col min="10" max="10" width="19.5" style="2" customWidth="1"/>
    <col min="11" max="19" width="13.5" style="2" customWidth="1"/>
    <col min="20" max="20" width="17.5" style="2" bestFit="1" customWidth="1"/>
    <col min="21" max="24" width="13.5" style="2" customWidth="1"/>
    <col min="25" max="25" width="14.83203125" style="2" bestFit="1" customWidth="1"/>
    <col min="26" max="29" width="12.5" style="2" customWidth="1"/>
    <col min="30" max="40" width="13.1640625" style="2" customWidth="1"/>
    <col min="41" max="48" width="9.1640625" style="2" hidden="1" customWidth="1"/>
    <col min="49" max="49" width="5.5" style="2" hidden="1" customWidth="1"/>
    <col min="50" max="50" width="10.5" style="2" hidden="1" customWidth="1"/>
    <col min="51" max="51" width="14.1640625" style="2" customWidth="1"/>
    <col min="52" max="52" width="13.83203125" style="2" customWidth="1"/>
    <col min="53" max="90" width="11.5" style="2" customWidth="1"/>
    <col min="91" max="91" width="11.5" customWidth="1"/>
  </cols>
  <sheetData>
    <row r="1" spans="1:91" s="1" customFormat="1" x14ac:dyDescent="0.15">
      <c r="A1" s="1" t="s">
        <v>64</v>
      </c>
      <c r="B1" s="1" t="s">
        <v>78</v>
      </c>
      <c r="C1" s="1" t="s">
        <v>15</v>
      </c>
      <c r="D1" s="1">
        <v>2014</v>
      </c>
      <c r="E1" s="1">
        <v>2015</v>
      </c>
      <c r="F1" s="1">
        <v>2016</v>
      </c>
      <c r="G1" s="1">
        <v>2017</v>
      </c>
      <c r="H1" s="1">
        <v>2018</v>
      </c>
      <c r="I1" s="1">
        <v>2019</v>
      </c>
      <c r="J1" s="1">
        <v>2020</v>
      </c>
      <c r="K1" s="1">
        <v>2021</v>
      </c>
      <c r="L1" s="1">
        <v>2022</v>
      </c>
      <c r="M1" s="1">
        <v>2023</v>
      </c>
      <c r="N1" s="1">
        <v>2024</v>
      </c>
      <c r="O1" s="1">
        <v>2025</v>
      </c>
      <c r="P1" s="1">
        <v>2026</v>
      </c>
      <c r="Q1" s="1">
        <v>2027</v>
      </c>
      <c r="R1" s="1">
        <v>2028</v>
      </c>
      <c r="S1" s="1">
        <v>2029</v>
      </c>
      <c r="T1" s="1">
        <v>2030</v>
      </c>
      <c r="U1" s="1">
        <v>2031</v>
      </c>
      <c r="V1" s="1">
        <v>2032</v>
      </c>
      <c r="W1" s="1">
        <v>2033</v>
      </c>
      <c r="X1" s="1">
        <v>2034</v>
      </c>
      <c r="Y1" s="1">
        <v>2035</v>
      </c>
      <c r="Z1" s="1">
        <v>2036</v>
      </c>
      <c r="AA1" s="1">
        <v>2037</v>
      </c>
      <c r="AB1" s="1">
        <v>2038</v>
      </c>
      <c r="AC1" s="1">
        <v>2039</v>
      </c>
      <c r="AD1" s="1">
        <v>2040</v>
      </c>
      <c r="AE1" s="1">
        <v>2041</v>
      </c>
      <c r="AF1" s="1">
        <v>2042</v>
      </c>
      <c r="AG1" s="1">
        <v>2043</v>
      </c>
      <c r="AH1" s="1">
        <v>2044</v>
      </c>
      <c r="AI1" s="1">
        <v>2045</v>
      </c>
      <c r="AJ1" s="1">
        <v>2046</v>
      </c>
      <c r="AK1" s="1">
        <v>2047</v>
      </c>
      <c r="AL1" s="1">
        <v>2048</v>
      </c>
      <c r="AM1" s="1">
        <v>2049</v>
      </c>
      <c r="AN1" s="1">
        <v>2050</v>
      </c>
      <c r="AO1" s="1">
        <v>2051</v>
      </c>
      <c r="AP1" s="1">
        <v>2052</v>
      </c>
      <c r="AQ1" s="1">
        <v>2053</v>
      </c>
      <c r="AR1" s="1">
        <v>2054</v>
      </c>
      <c r="AS1" s="1">
        <v>2055</v>
      </c>
      <c r="AT1" s="1">
        <v>2056</v>
      </c>
      <c r="AU1" s="1">
        <v>2057</v>
      </c>
      <c r="AV1" s="1">
        <v>2058</v>
      </c>
      <c r="AW1" s="1">
        <v>2059</v>
      </c>
      <c r="AX1" s="1">
        <v>2060</v>
      </c>
      <c r="CM1" s="74"/>
    </row>
    <row r="2" spans="1:91" x14ac:dyDescent="0.15">
      <c r="A2" s="1"/>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row>
    <row r="3" spans="1:91" s="43" customFormat="1" ht="23" x14ac:dyDescent="0.25">
      <c r="A3" s="64" t="s">
        <v>250</v>
      </c>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row>
    <row r="4" spans="1:91" x14ac:dyDescent="0.15">
      <c r="A4" s="1" t="s">
        <v>653</v>
      </c>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row>
    <row r="5" spans="1:91" x14ac:dyDescent="0.15">
      <c r="A5" s="1"/>
      <c r="C5" s="65"/>
      <c r="D5"/>
      <c r="E5"/>
      <c r="F5"/>
      <c r="G5"/>
      <c r="H5"/>
      <c r="I5"/>
      <c r="J5"/>
      <c r="K5"/>
      <c r="L5"/>
      <c r="M5"/>
      <c r="N5"/>
      <c r="O5"/>
      <c r="P5"/>
      <c r="Q5"/>
      <c r="R5"/>
      <c r="S5"/>
      <c r="T5"/>
      <c r="U5"/>
      <c r="V5"/>
      <c r="W5"/>
      <c r="X5"/>
      <c r="Y5"/>
      <c r="Z5"/>
      <c r="AA5"/>
      <c r="AB5"/>
      <c r="AC5"/>
      <c r="AD5"/>
      <c r="AE5"/>
      <c r="AF5"/>
      <c r="AG5"/>
      <c r="AH5"/>
      <c r="AI5"/>
      <c r="AJ5"/>
      <c r="AK5"/>
      <c r="AL5"/>
      <c r="AM5"/>
      <c r="AN5"/>
      <c r="AO5" s="4"/>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row>
    <row r="6" spans="1:91" x14ac:dyDescent="0.15">
      <c r="A6" s="1" t="s">
        <v>63</v>
      </c>
      <c r="D6"/>
      <c r="E6"/>
      <c r="F6"/>
      <c r="G6"/>
      <c r="H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4"/>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row>
    <row r="7" spans="1:91" x14ac:dyDescent="0.15">
      <c r="A7" s="1"/>
      <c r="E7"/>
      <c r="F7"/>
      <c r="G7"/>
      <c r="H7"/>
      <c r="K7"/>
      <c r="L7"/>
      <c r="M7"/>
      <c r="N7"/>
      <c r="O7"/>
      <c r="P7"/>
      <c r="Q7"/>
      <c r="R7"/>
      <c r="S7"/>
      <c r="T7"/>
      <c r="AZ7"/>
      <c r="BA7"/>
      <c r="BB7"/>
      <c r="BC7"/>
      <c r="BD7"/>
      <c r="BE7"/>
      <c r="BF7"/>
      <c r="BG7"/>
      <c r="BH7"/>
      <c r="BI7"/>
      <c r="BJ7"/>
      <c r="BK7"/>
      <c r="BL7"/>
      <c r="BM7"/>
      <c r="BN7"/>
      <c r="BO7"/>
      <c r="BP7"/>
      <c r="BQ7"/>
      <c r="BR7"/>
      <c r="BS7"/>
      <c r="BT7"/>
      <c r="BU7"/>
      <c r="BV7"/>
      <c r="BW7"/>
      <c r="BX7"/>
      <c r="BY7"/>
      <c r="BZ7"/>
      <c r="CA7"/>
      <c r="CB7"/>
      <c r="CC7"/>
      <c r="CD7"/>
      <c r="CE7"/>
      <c r="CF7"/>
      <c r="CG7"/>
      <c r="CH7"/>
      <c r="CI7"/>
      <c r="CJ7"/>
      <c r="CK7"/>
      <c r="CL7"/>
    </row>
    <row r="8" spans="1:91" x14ac:dyDescent="0.15">
      <c r="A8" t="s">
        <v>42</v>
      </c>
      <c r="B8" t="s">
        <v>79</v>
      </c>
      <c r="C8" t="s">
        <v>210</v>
      </c>
      <c r="D8" s="2">
        <f t="array" ref="D8">INDEX(Database!I$2:I$59,MATCH('Iron &amp; Steelmaker Tool'!$D$14&amp;$A8&amp;'Iron &amp; Steelmaker Tool'!$D$15,Database!$B$2:$B$59&amp;Database!$A$2:$A$59&amp;Database!$H$2:$H$59,0))</f>
        <v>1869000000</v>
      </c>
      <c r="E8" s="2">
        <f t="array" ref="E8">INDEX(Database!J$2:J$59,MATCH('Iron &amp; Steelmaker Tool'!$D$14&amp;$A8&amp;'Iron &amp; Steelmaker Tool'!$D$15,Database!$B$2:$B$59&amp;Database!$A$2:$A$59&amp;Database!$H$2:$H$59,0))</f>
        <v>1869000000</v>
      </c>
      <c r="F8" s="2">
        <f t="array" ref="F8">INDEX(Database!K$2:K$59,MATCH('Iron &amp; Steelmaker Tool'!$D$14&amp;$A8&amp;'Iron &amp; Steelmaker Tool'!$D$15,Database!$B$2:$B$59&amp;Database!$A$2:$A$59&amp;Database!$H$2:$H$59,0))</f>
        <v>1869000000</v>
      </c>
      <c r="G8" s="2">
        <f t="array" ref="G8">INDEX(Database!L$2:L$59,MATCH('Iron &amp; Steelmaker Tool'!$D$14&amp;$A8&amp;'Iron &amp; Steelmaker Tool'!$D$15,Database!$B$2:$B$59&amp;Database!$A$2:$A$59&amp;Database!$H$2:$H$59,0))</f>
        <v>1869000000</v>
      </c>
      <c r="H8" s="2">
        <f t="array" ref="H8">INDEX(Database!M$2:M$59,MATCH('Iron &amp; Steelmaker Tool'!$D$14&amp;$A8&amp;'Iron &amp; Steelmaker Tool'!$D$15,Database!$B$2:$B$59&amp;Database!$A$2:$A$59&amp;Database!$H$2:$H$59,0))</f>
        <v>1869000000</v>
      </c>
      <c r="I8" s="2">
        <f t="array" ref="I8">INDEX(Database!N$2:N$59,MATCH('Iron &amp; Steelmaker Tool'!$D$14&amp;$A8&amp;'Iron &amp; Steelmaker Tool'!$D$15,Database!$B$2:$B$59&amp;Database!$A$2:$A$59&amp;Database!$H$2:$H$59,0))</f>
        <v>1869000000</v>
      </c>
      <c r="J8" s="2">
        <f t="array" ref="J8">INDEX(Database!O$2:O$59,MATCH('Iron &amp; Steelmaker Tool'!$D$14&amp;$A8&amp;'Iron &amp; Steelmaker Tool'!$D$15,Database!$B$2:$B$59&amp;Database!$A$2:$A$59&amp;Database!$H$2:$H$59,0))</f>
        <v>1781000000</v>
      </c>
      <c r="K8" s="2">
        <f t="array" ref="K8">INDEX(Database!P$2:P$59,MATCH('Iron &amp; Steelmaker Tool'!$D$14&amp;$A8&amp;'Iron &amp; Steelmaker Tool'!$D$15,Database!$B$2:$B$59&amp;Database!$A$2:$A$59&amp;Database!$H$2:$H$59,0))</f>
        <v>1881363636.3636363</v>
      </c>
      <c r="L8" s="2">
        <f t="array" ref="L8">INDEX(Database!Q$2:Q$59,MATCH('Iron &amp; Steelmaker Tool'!$D$14&amp;$A8&amp;'Iron &amp; Steelmaker Tool'!$D$15,Database!$B$2:$B$59&amp;Database!$A$2:$A$59&amp;Database!$H$2:$H$59,0))</f>
        <v>1887545454.5454545</v>
      </c>
      <c r="M8" s="2">
        <f t="array" ref="M8">INDEX(Database!R$2:R$59,MATCH('Iron &amp; Steelmaker Tool'!$D$14&amp;$A8&amp;'Iron &amp; Steelmaker Tool'!$D$15,Database!$B$2:$B$59&amp;Database!$A$2:$A$59&amp;Database!$H$2:$H$59,0))</f>
        <v>1893727272.7272727</v>
      </c>
      <c r="N8" s="2">
        <f t="array" ref="N8">INDEX(Database!S$2:S$59,MATCH('Iron &amp; Steelmaker Tool'!$D$14&amp;$A8&amp;'Iron &amp; Steelmaker Tool'!$D$15,Database!$B$2:$B$59&amp;Database!$A$2:$A$59&amp;Database!$H$2:$H$59,0))</f>
        <v>1899909090.909091</v>
      </c>
      <c r="O8" s="2">
        <f t="array" ref="O8">INDEX(Database!T$2:T$59,MATCH('Iron &amp; Steelmaker Tool'!$D$14&amp;$A8&amp;'Iron &amp; Steelmaker Tool'!$D$15,Database!$B$2:$B$59&amp;Database!$A$2:$A$59&amp;Database!$H$2:$H$59,0))</f>
        <v>1906090909.090909</v>
      </c>
      <c r="P8" s="2">
        <f t="array" ref="P8">INDEX(Database!U$2:U$59,MATCH('Iron &amp; Steelmaker Tool'!$D$14&amp;$A8&amp;'Iron &amp; Steelmaker Tool'!$D$15,Database!$B$2:$B$59&amp;Database!$A$2:$A$59&amp;Database!$H$2:$H$59,0))</f>
        <v>1912272727.2727273</v>
      </c>
      <c r="Q8" s="2">
        <f t="array" ref="Q8">INDEX(Database!V$2:V$59,MATCH('Iron &amp; Steelmaker Tool'!$D$14&amp;$A8&amp;'Iron &amp; Steelmaker Tool'!$D$15,Database!$B$2:$B$59&amp;Database!$A$2:$A$59&amp;Database!$H$2:$H$59,0))</f>
        <v>1918454545.4545455</v>
      </c>
      <c r="R8" s="2">
        <f t="array" ref="R8">INDEX(Database!W$2:W$59,MATCH('Iron &amp; Steelmaker Tool'!$D$14&amp;$A8&amp;'Iron &amp; Steelmaker Tool'!$D$15,Database!$B$2:$B$59&amp;Database!$A$2:$A$59&amp;Database!$H$2:$H$59,0))</f>
        <v>1924636363.6363637</v>
      </c>
      <c r="S8" s="2">
        <f t="array" ref="S8">INDEX(Database!X$2:X$59,MATCH('Iron &amp; Steelmaker Tool'!$D$14&amp;$A8&amp;'Iron &amp; Steelmaker Tool'!$D$15,Database!$B$2:$B$59&amp;Database!$A$2:$A$59&amp;Database!$H$2:$H$59,0))</f>
        <v>1930818181.8181818</v>
      </c>
      <c r="T8" s="2">
        <f t="array" ref="T8">INDEX(Database!Y$2:Y$59,MATCH('Iron &amp; Steelmaker Tool'!$D$14&amp;$A8&amp;'Iron &amp; Steelmaker Tool'!$D$15,Database!$B$2:$B$59&amp;Database!$A$2:$A$59&amp;Database!$H$2:$H$59,0))</f>
        <v>1937000000</v>
      </c>
      <c r="U8" s="2">
        <f t="array" ref="U8">INDEX(Database!Z$2:Z$59,MATCH('Iron &amp; Steelmaker Tool'!$D$14&amp;$A8&amp;'Iron &amp; Steelmaker Tool'!$D$15,Database!$B$2:$B$59&amp;Database!$A$2:$A$59&amp;Database!$H$2:$H$59,0))</f>
        <v>1939100000</v>
      </c>
      <c r="V8" s="2">
        <f t="array" ref="V8">INDEX(Database!AA$2:AA$59,MATCH('Iron &amp; Steelmaker Tool'!$D$14&amp;$A8&amp;'Iron &amp; Steelmaker Tool'!$D$15,Database!$B$2:$B$59&amp;Database!$A$2:$A$59&amp;Database!$H$2:$H$59,0))</f>
        <v>1941200000</v>
      </c>
      <c r="W8" s="2">
        <f t="array" ref="W8">INDEX(Database!AB$2:AB$59,MATCH('Iron &amp; Steelmaker Tool'!$D$14&amp;$A8&amp;'Iron &amp; Steelmaker Tool'!$D$15,Database!$B$2:$B$59&amp;Database!$A$2:$A$59&amp;Database!$H$2:$H$59,0))</f>
        <v>1943300000</v>
      </c>
      <c r="X8" s="2">
        <f t="array" ref="X8">INDEX(Database!AC$2:AC$59,MATCH('Iron &amp; Steelmaker Tool'!$D$14&amp;$A8&amp;'Iron &amp; Steelmaker Tool'!$D$15,Database!$B$2:$B$59&amp;Database!$A$2:$A$59&amp;Database!$H$2:$H$59,0))</f>
        <v>1945400000</v>
      </c>
      <c r="Y8" s="2">
        <f t="array" ref="Y8">INDEX(Database!AD$2:AD$59,MATCH('Iron &amp; Steelmaker Tool'!$D$14&amp;$A8&amp;'Iron &amp; Steelmaker Tool'!$D$15,Database!$B$2:$B$59&amp;Database!$A$2:$A$59&amp;Database!$H$2:$H$59,0))</f>
        <v>1947500000</v>
      </c>
      <c r="Z8" s="2">
        <f t="array" ref="Z8">INDEX(Database!AE$2:AE$59,MATCH('Iron &amp; Steelmaker Tool'!$D$14&amp;$A8&amp;'Iron &amp; Steelmaker Tool'!$D$15,Database!$B$2:$B$59&amp;Database!$A$2:$A$59&amp;Database!$H$2:$H$59,0))</f>
        <v>1949600000</v>
      </c>
      <c r="AA8" s="2">
        <f t="array" ref="AA8">INDEX(Database!AF$2:AF$59,MATCH('Iron &amp; Steelmaker Tool'!$D$14&amp;$A8&amp;'Iron &amp; Steelmaker Tool'!$D$15,Database!$B$2:$B$59&amp;Database!$A$2:$A$59&amp;Database!$H$2:$H$59,0))</f>
        <v>1951700000</v>
      </c>
      <c r="AB8" s="2">
        <f t="array" ref="AB8">INDEX(Database!AG$2:AG$59,MATCH('Iron &amp; Steelmaker Tool'!$D$14&amp;$A8&amp;'Iron &amp; Steelmaker Tool'!$D$15,Database!$B$2:$B$59&amp;Database!$A$2:$A$59&amp;Database!$H$2:$H$59,0))</f>
        <v>1953800000</v>
      </c>
      <c r="AC8" s="2">
        <f t="array" ref="AC8">INDEX(Database!AH$2:AH$59,MATCH('Iron &amp; Steelmaker Tool'!$D$14&amp;$A8&amp;'Iron &amp; Steelmaker Tool'!$D$15,Database!$B$2:$B$59&amp;Database!$A$2:$A$59&amp;Database!$H$2:$H$59,0))</f>
        <v>1955900000</v>
      </c>
      <c r="AD8" s="2">
        <f t="array" ref="AD8">INDEX(Database!AI$2:AI$59,MATCH('Iron &amp; Steelmaker Tool'!$D$14&amp;$A8&amp;'Iron &amp; Steelmaker Tool'!$D$15,Database!$B$2:$B$59&amp;Database!$A$2:$A$59&amp;Database!$H$2:$H$59,0))</f>
        <v>1958000000</v>
      </c>
      <c r="AE8" s="2">
        <f t="array" ref="AE8">INDEX(Database!AJ$2:AJ$59,MATCH('Iron &amp; Steelmaker Tool'!$D$14&amp;$A8&amp;'Iron &amp; Steelmaker Tool'!$D$15,Database!$B$2:$B$59&amp;Database!$A$2:$A$59&amp;Database!$H$2:$H$59,0))</f>
        <v>1960900000</v>
      </c>
      <c r="AF8" s="2">
        <f t="array" ref="AF8">INDEX(Database!AK$2:AK$59,MATCH('Iron &amp; Steelmaker Tool'!$D$14&amp;$A8&amp;'Iron &amp; Steelmaker Tool'!$D$15,Database!$B$2:$B$59&amp;Database!$A$2:$A$59&amp;Database!$H$2:$H$59,0))</f>
        <v>1963800000</v>
      </c>
      <c r="AG8" s="2">
        <f t="array" ref="AG8">INDEX(Database!AL$2:AL$59,MATCH('Iron &amp; Steelmaker Tool'!$D$14&amp;$A8&amp;'Iron &amp; Steelmaker Tool'!$D$15,Database!$B$2:$B$59&amp;Database!$A$2:$A$59&amp;Database!$H$2:$H$59,0))</f>
        <v>1966700000</v>
      </c>
      <c r="AH8" s="2">
        <f t="array" ref="AH8">INDEX(Database!AM$2:AM$59,MATCH('Iron &amp; Steelmaker Tool'!$D$14&amp;$A8&amp;'Iron &amp; Steelmaker Tool'!$D$15,Database!$B$2:$B$59&amp;Database!$A$2:$A$59&amp;Database!$H$2:$H$59,0))</f>
        <v>1969600000</v>
      </c>
      <c r="AI8" s="2">
        <f t="array" ref="AI8">INDEX(Database!AN$2:AN$59,MATCH('Iron &amp; Steelmaker Tool'!$D$14&amp;$A8&amp;'Iron &amp; Steelmaker Tool'!$D$15,Database!$B$2:$B$59&amp;Database!$A$2:$A$59&amp;Database!$H$2:$H$59,0))</f>
        <v>1972500000</v>
      </c>
      <c r="AJ8" s="2">
        <f t="array" ref="AJ8">INDEX(Database!AO$2:AO$59,MATCH('Iron &amp; Steelmaker Tool'!$D$14&amp;$A8&amp;'Iron &amp; Steelmaker Tool'!$D$15,Database!$B$2:$B$59&amp;Database!$A$2:$A$59&amp;Database!$H$2:$H$59,0))</f>
        <v>1975400000</v>
      </c>
      <c r="AK8" s="2">
        <f t="array" ref="AK8">INDEX(Database!AP$2:AP$59,MATCH('Iron &amp; Steelmaker Tool'!$D$14&amp;$A8&amp;'Iron &amp; Steelmaker Tool'!$D$15,Database!$B$2:$B$59&amp;Database!$A$2:$A$59&amp;Database!$H$2:$H$59,0))</f>
        <v>1978300000</v>
      </c>
      <c r="AL8" s="2">
        <f t="array" ref="AL8">INDEX(Database!AQ$2:AQ$59,MATCH('Iron &amp; Steelmaker Tool'!$D$14&amp;$A8&amp;'Iron &amp; Steelmaker Tool'!$D$15,Database!$B$2:$B$59&amp;Database!$A$2:$A$59&amp;Database!$H$2:$H$59,0))</f>
        <v>1981200000</v>
      </c>
      <c r="AM8" s="2">
        <f t="array" ref="AM8">INDEX(Database!AR$2:AR$59,MATCH('Iron &amp; Steelmaker Tool'!$D$14&amp;$A8&amp;'Iron &amp; Steelmaker Tool'!$D$15,Database!$B$2:$B$59&amp;Database!$A$2:$A$59&amp;Database!$H$2:$H$59,0))</f>
        <v>1984100000</v>
      </c>
      <c r="AN8" s="2">
        <f t="array" ref="AN8">INDEX(Database!AS$2:AS$59,MATCH('Iron &amp; Steelmaker Tool'!$D$14&amp;$A8&amp;'Iron &amp; Steelmaker Tool'!$D$15,Database!$B$2:$B$59&amp;Database!$A$2:$A$59&amp;Database!$H$2:$H$59,0))</f>
        <v>1987000000</v>
      </c>
      <c r="AO8" s="2">
        <f t="array" ref="AO8">INDEX(Database!AT$2:AT$59,MATCH('Iron &amp; Steelmaker Tool'!$D$14&amp;$A8&amp;'Iron &amp; Steelmaker Tool'!$D$15,Database!$B$2:$B$59&amp;Database!$A$2:$A$59&amp;Database!$H$2:$H$59,0))</f>
        <v>0</v>
      </c>
      <c r="AP8" s="2">
        <f t="array" ref="AP8">INDEX(Database!AU$2:AU$59,MATCH('Iron &amp; Steelmaker Tool'!$D$14&amp;$A8&amp;'Iron &amp; Steelmaker Tool'!$D$15,Database!$B$2:$B$59&amp;Database!$A$2:$A$59&amp;Database!$H$2:$H$59,0))</f>
        <v>0</v>
      </c>
      <c r="AQ8" s="2">
        <f t="array" ref="AQ8">INDEX(Database!AV$2:AV$59,MATCH('Iron &amp; Steelmaker Tool'!$D$14&amp;$A8&amp;'Iron &amp; Steelmaker Tool'!$D$15,Database!$B$2:$B$59&amp;Database!$A$2:$A$59&amp;Database!$H$2:$H$59,0))</f>
        <v>0</v>
      </c>
      <c r="AR8" s="2">
        <f t="array" ref="AR8">INDEX(Database!AW$2:AW$59,MATCH('Iron &amp; Steelmaker Tool'!$D$14&amp;$A8&amp;'Iron &amp; Steelmaker Tool'!$D$15,Database!$B$2:$B$59&amp;Database!$A$2:$A$59&amp;Database!$H$2:$H$59,0))</f>
        <v>0</v>
      </c>
      <c r="AS8" s="2">
        <f t="array" ref="AS8">INDEX(Database!AX$2:AX$59,MATCH('Iron &amp; Steelmaker Tool'!$D$14&amp;$A8&amp;'Iron &amp; Steelmaker Tool'!$D$15,Database!$B$2:$B$59&amp;Database!$A$2:$A$59&amp;Database!$H$2:$H$59,0))</f>
        <v>0</v>
      </c>
      <c r="AT8" s="2">
        <f t="array" ref="AT8">INDEX(Database!AY$2:AY$59,MATCH('Iron &amp; Steelmaker Tool'!$D$14&amp;$A8&amp;'Iron &amp; Steelmaker Tool'!$D$15,Database!$B$2:$B$59&amp;Database!$A$2:$A$59&amp;Database!$H$2:$H$59,0))</f>
        <v>0</v>
      </c>
      <c r="AU8" s="2">
        <f t="array" ref="AU8">INDEX(Database!AZ$2:AZ$59,MATCH('Iron &amp; Steelmaker Tool'!$D$14&amp;$A8&amp;'Iron &amp; Steelmaker Tool'!$D$15,Database!$B$2:$B$59&amp;Database!$A$2:$A$59&amp;Database!$H$2:$H$59,0))</f>
        <v>0</v>
      </c>
      <c r="AV8" s="2">
        <f t="array" ref="AV8">INDEX(Database!BA$2:BA$59,MATCH('Iron &amp; Steelmaker Tool'!$D$14&amp;$A8&amp;'Iron &amp; Steelmaker Tool'!$D$15,Database!$B$2:$B$59&amp;Database!$A$2:$A$59&amp;Database!$H$2:$H$59,0))</f>
        <v>0</v>
      </c>
      <c r="AW8" s="2">
        <f t="array" ref="AW8">INDEX(Database!BB$2:BB$59,MATCH('Iron &amp; Steelmaker Tool'!$D$14&amp;$A8&amp;'Iron &amp; Steelmaker Tool'!$D$15,Database!$B$2:$B$59&amp;Database!$A$2:$A$59&amp;Database!$H$2:$H$59,0))</f>
        <v>0</v>
      </c>
      <c r="AX8" s="2">
        <f t="array" ref="AX8">INDEX(Database!BC$2:BC$59,MATCH('Iron &amp; Steelmaker Tool'!$D$14&amp;$A8&amp;'Iron &amp; Steelmaker Tool'!$D$15,Database!$B$2:$B$59&amp;Database!$A$2:$A$59&amp;Database!$H$2:$H$59,0))</f>
        <v>0</v>
      </c>
    </row>
    <row r="9" spans="1:91" x14ac:dyDescent="0.15">
      <c r="A9" t="s">
        <v>47</v>
      </c>
      <c r="B9" t="s">
        <v>80</v>
      </c>
      <c r="C9" t="s">
        <v>30</v>
      </c>
      <c r="D9" s="2" t="e">
        <f t="array" ref="D9">INDEX(Database!I$2:I$59,MATCH('Iron &amp; Steelmaker Tool'!$D$14&amp;$A9&amp;'Iron &amp; Steelmaker Tool'!$D$15,Database!$B$2:$B$59&amp;Database!$A$2:$A$59&amp;Database!$H$2:$H$59,0))</f>
        <v>#N/A</v>
      </c>
      <c r="E9" s="2" t="e">
        <f t="array" ref="E9">INDEX(Database!J$2:J$59,MATCH('Iron &amp; Steelmaker Tool'!$D$14&amp;$A9&amp;'Iron &amp; Steelmaker Tool'!$D$15,Database!$B$2:$B$59&amp;Database!$A$2:$A$59&amp;Database!$H$2:$H$59,0))</f>
        <v>#N/A</v>
      </c>
      <c r="F9" s="2" t="e">
        <f t="array" ref="F9">INDEX(Database!K$2:K$59,MATCH('Iron &amp; Steelmaker Tool'!$D$14&amp;$A9&amp;'Iron &amp; Steelmaker Tool'!$D$15,Database!$B$2:$B$59&amp;Database!$A$2:$A$59&amp;Database!$H$2:$H$59,0))</f>
        <v>#N/A</v>
      </c>
      <c r="G9" s="2" t="e">
        <f t="array" ref="G9">INDEX(Database!L$2:L$59,MATCH('Iron &amp; Steelmaker Tool'!$D$14&amp;$A9&amp;'Iron &amp; Steelmaker Tool'!$D$15,Database!$B$2:$B$59&amp;Database!$A$2:$A$59&amp;Database!$H$2:$H$59,0))</f>
        <v>#N/A</v>
      </c>
      <c r="H9" s="2" t="e">
        <f t="array" ref="H9">INDEX(Database!M$2:M$59,MATCH('Iron &amp; Steelmaker Tool'!$D$14&amp;$A9&amp;'Iron &amp; Steelmaker Tool'!$D$15,Database!$B$2:$B$59&amp;Database!$A$2:$A$59&amp;Database!$H$2:$H$59,0))</f>
        <v>#N/A</v>
      </c>
      <c r="I9" s="2" t="e">
        <f t="array" ref="I9">INDEX(Database!N$2:N$59,MATCH('Iron &amp; Steelmaker Tool'!$D$14&amp;$A9&amp;'Iron &amp; Steelmaker Tool'!$D$15,Database!$B$2:$B$59&amp;Database!$A$2:$A$59&amp;Database!$H$2:$H$59,0))</f>
        <v>#N/A</v>
      </c>
      <c r="J9" s="2" t="e">
        <f t="array" ref="J9">INDEX(Database!O$2:O$59,MATCH('Iron &amp; Steelmaker Tool'!$D$14&amp;$A9&amp;'Iron &amp; Steelmaker Tool'!$D$15,Database!$B$2:$B$59&amp;Database!$A$2:$A$59&amp;Database!$H$2:$H$59,0))</f>
        <v>#N/A</v>
      </c>
      <c r="K9" s="2" t="e">
        <f t="array" ref="K9">INDEX(Database!P$2:P$59,MATCH('Iron &amp; Steelmaker Tool'!$D$14&amp;$A9&amp;'Iron &amp; Steelmaker Tool'!$D$15,Database!$B$2:$B$59&amp;Database!$A$2:$A$59&amp;Database!$H$2:$H$59,0))</f>
        <v>#N/A</v>
      </c>
      <c r="L9" s="2" t="e">
        <f t="array" ref="L9">INDEX(Database!Q$2:Q$59,MATCH('Iron &amp; Steelmaker Tool'!$D$14&amp;$A9&amp;'Iron &amp; Steelmaker Tool'!$D$15,Database!$B$2:$B$59&amp;Database!$A$2:$A$59&amp;Database!$H$2:$H$59,0))</f>
        <v>#N/A</v>
      </c>
      <c r="M9" s="2" t="e">
        <f t="array" ref="M9">INDEX(Database!R$2:R$59,MATCH('Iron &amp; Steelmaker Tool'!$D$14&amp;$A9&amp;'Iron &amp; Steelmaker Tool'!$D$15,Database!$B$2:$B$59&amp;Database!$A$2:$A$59&amp;Database!$H$2:$H$59,0))</f>
        <v>#N/A</v>
      </c>
      <c r="N9" s="2" t="e">
        <f t="array" ref="N9">INDEX(Database!S$2:S$59,MATCH('Iron &amp; Steelmaker Tool'!$D$14&amp;$A9&amp;'Iron &amp; Steelmaker Tool'!$D$15,Database!$B$2:$B$59&amp;Database!$A$2:$A$59&amp;Database!$H$2:$H$59,0))</f>
        <v>#N/A</v>
      </c>
      <c r="O9" s="2" t="e">
        <f t="array" ref="O9">INDEX(Database!T$2:T$59,MATCH('Iron &amp; Steelmaker Tool'!$D$14&amp;$A9&amp;'Iron &amp; Steelmaker Tool'!$D$15,Database!$B$2:$B$59&amp;Database!$A$2:$A$59&amp;Database!$H$2:$H$59,0))</f>
        <v>#N/A</v>
      </c>
      <c r="P9" s="2" t="e">
        <f t="array" ref="P9">INDEX(Database!U$2:U$59,MATCH('Iron &amp; Steelmaker Tool'!$D$14&amp;$A9&amp;'Iron &amp; Steelmaker Tool'!$D$15,Database!$B$2:$B$59&amp;Database!$A$2:$A$59&amp;Database!$H$2:$H$59,0))</f>
        <v>#N/A</v>
      </c>
      <c r="Q9" s="2" t="e">
        <f t="array" ref="Q9">INDEX(Database!V$2:V$59,MATCH('Iron &amp; Steelmaker Tool'!$D$14&amp;$A9&amp;'Iron &amp; Steelmaker Tool'!$D$15,Database!$B$2:$B$59&amp;Database!$A$2:$A$59&amp;Database!$H$2:$H$59,0))</f>
        <v>#N/A</v>
      </c>
      <c r="R9" s="2" t="e">
        <f t="array" ref="R9">INDEX(Database!W$2:W$59,MATCH('Iron &amp; Steelmaker Tool'!$D$14&amp;$A9&amp;'Iron &amp; Steelmaker Tool'!$D$15,Database!$B$2:$B$59&amp;Database!$A$2:$A$59&amp;Database!$H$2:$H$59,0))</f>
        <v>#N/A</v>
      </c>
      <c r="S9" s="2" t="e">
        <f t="array" ref="S9">INDEX(Database!X$2:X$59,MATCH('Iron &amp; Steelmaker Tool'!$D$14&amp;$A9&amp;'Iron &amp; Steelmaker Tool'!$D$15,Database!$B$2:$B$59&amp;Database!$A$2:$A$59&amp;Database!$H$2:$H$59,0))</f>
        <v>#N/A</v>
      </c>
      <c r="T9" s="2" t="e">
        <f t="array" ref="T9">INDEX(Database!Y$2:Y$59,MATCH('Iron &amp; Steelmaker Tool'!$D$14&amp;$A9&amp;'Iron &amp; Steelmaker Tool'!$D$15,Database!$B$2:$B$59&amp;Database!$A$2:$A$59&amp;Database!$H$2:$H$59,0))</f>
        <v>#N/A</v>
      </c>
      <c r="U9" s="2" t="e">
        <f t="array" ref="U9">INDEX(Database!Z$2:Z$59,MATCH('Iron &amp; Steelmaker Tool'!$D$14&amp;$A9&amp;'Iron &amp; Steelmaker Tool'!$D$15,Database!$B$2:$B$59&amp;Database!$A$2:$A$59&amp;Database!$H$2:$H$59,0))</f>
        <v>#N/A</v>
      </c>
      <c r="V9" s="2" t="e">
        <f t="array" ref="V9">INDEX(Database!AA$2:AA$59,MATCH('Iron &amp; Steelmaker Tool'!$D$14&amp;$A9&amp;'Iron &amp; Steelmaker Tool'!$D$15,Database!$B$2:$B$59&amp;Database!$A$2:$A$59&amp;Database!$H$2:$H$59,0))</f>
        <v>#N/A</v>
      </c>
      <c r="W9" s="2" t="e">
        <f t="array" ref="W9">INDEX(Database!AB$2:AB$59,MATCH('Iron &amp; Steelmaker Tool'!$D$14&amp;$A9&amp;'Iron &amp; Steelmaker Tool'!$D$15,Database!$B$2:$B$59&amp;Database!$A$2:$A$59&amp;Database!$H$2:$H$59,0))</f>
        <v>#N/A</v>
      </c>
      <c r="X9" s="2" t="e">
        <f t="array" ref="X9">INDEX(Database!AC$2:AC$59,MATCH('Iron &amp; Steelmaker Tool'!$D$14&amp;$A9&amp;'Iron &amp; Steelmaker Tool'!$D$15,Database!$B$2:$B$59&amp;Database!$A$2:$A$59&amp;Database!$H$2:$H$59,0))</f>
        <v>#N/A</v>
      </c>
      <c r="Y9" s="2" t="e">
        <f t="array" ref="Y9">INDEX(Database!AD$2:AD$59,MATCH('Iron &amp; Steelmaker Tool'!$D$14&amp;$A9&amp;'Iron &amp; Steelmaker Tool'!$D$15,Database!$B$2:$B$59&amp;Database!$A$2:$A$59&amp;Database!$H$2:$H$59,0))</f>
        <v>#N/A</v>
      </c>
      <c r="Z9" s="2" t="e">
        <f t="array" ref="Z9">INDEX(Database!AE$2:AE$59,MATCH('Iron &amp; Steelmaker Tool'!$D$14&amp;$A9&amp;'Iron &amp; Steelmaker Tool'!$D$15,Database!$B$2:$B$59&amp;Database!$A$2:$A$59&amp;Database!$H$2:$H$59,0))</f>
        <v>#N/A</v>
      </c>
      <c r="AA9" s="2" t="e">
        <f t="array" ref="AA9">INDEX(Database!AF$2:AF$59,MATCH('Iron &amp; Steelmaker Tool'!$D$14&amp;$A9&amp;'Iron &amp; Steelmaker Tool'!$D$15,Database!$B$2:$B$59&amp;Database!$A$2:$A$59&amp;Database!$H$2:$H$59,0))</f>
        <v>#N/A</v>
      </c>
      <c r="AB9" s="2" t="e">
        <f t="array" ref="AB9">INDEX(Database!AG$2:AG$59,MATCH('Iron &amp; Steelmaker Tool'!$D$14&amp;$A9&amp;'Iron &amp; Steelmaker Tool'!$D$15,Database!$B$2:$B$59&amp;Database!$A$2:$A$59&amp;Database!$H$2:$H$59,0))</f>
        <v>#N/A</v>
      </c>
      <c r="AC9" s="2" t="e">
        <f t="array" ref="AC9">INDEX(Database!AH$2:AH$59,MATCH('Iron &amp; Steelmaker Tool'!$D$14&amp;$A9&amp;'Iron &amp; Steelmaker Tool'!$D$15,Database!$B$2:$B$59&amp;Database!$A$2:$A$59&amp;Database!$H$2:$H$59,0))</f>
        <v>#N/A</v>
      </c>
      <c r="AD9" s="2" t="e">
        <f t="array" ref="AD9">INDEX(Database!AI$2:AI$59,MATCH('Iron &amp; Steelmaker Tool'!$D$14&amp;$A9&amp;'Iron &amp; Steelmaker Tool'!$D$15,Database!$B$2:$B$59&amp;Database!$A$2:$A$59&amp;Database!$H$2:$H$59,0))</f>
        <v>#N/A</v>
      </c>
      <c r="AE9" s="2" t="e">
        <f t="array" ref="AE9">INDEX(Database!AJ$2:AJ$59,MATCH('Iron &amp; Steelmaker Tool'!$D$14&amp;$A9&amp;'Iron &amp; Steelmaker Tool'!$D$15,Database!$B$2:$B$59&amp;Database!$A$2:$A$59&amp;Database!$H$2:$H$59,0))</f>
        <v>#N/A</v>
      </c>
      <c r="AF9" s="2" t="e">
        <f t="array" ref="AF9">INDEX(Database!AK$2:AK$59,MATCH('Iron &amp; Steelmaker Tool'!$D$14&amp;$A9&amp;'Iron &amp; Steelmaker Tool'!$D$15,Database!$B$2:$B$59&amp;Database!$A$2:$A$59&amp;Database!$H$2:$H$59,0))</f>
        <v>#N/A</v>
      </c>
      <c r="AG9" s="2" t="e">
        <f t="array" ref="AG9">INDEX(Database!AL$2:AL$59,MATCH('Iron &amp; Steelmaker Tool'!$D$14&amp;$A9&amp;'Iron &amp; Steelmaker Tool'!$D$15,Database!$B$2:$B$59&amp;Database!$A$2:$A$59&amp;Database!$H$2:$H$59,0))</f>
        <v>#N/A</v>
      </c>
      <c r="AH9" s="2" t="e">
        <f t="array" ref="AH9">INDEX(Database!AM$2:AM$59,MATCH('Iron &amp; Steelmaker Tool'!$D$14&amp;$A9&amp;'Iron &amp; Steelmaker Tool'!$D$15,Database!$B$2:$B$59&amp;Database!$A$2:$A$59&amp;Database!$H$2:$H$59,0))</f>
        <v>#N/A</v>
      </c>
      <c r="AI9" s="2" t="e">
        <f t="array" ref="AI9">INDEX(Database!AN$2:AN$59,MATCH('Iron &amp; Steelmaker Tool'!$D$14&amp;$A9&amp;'Iron &amp; Steelmaker Tool'!$D$15,Database!$B$2:$B$59&amp;Database!$A$2:$A$59&amp;Database!$H$2:$H$59,0))</f>
        <v>#N/A</v>
      </c>
      <c r="AJ9" s="2" t="e">
        <f t="array" ref="AJ9">INDEX(Database!AO$2:AO$59,MATCH('Iron &amp; Steelmaker Tool'!$D$14&amp;$A9&amp;'Iron &amp; Steelmaker Tool'!$D$15,Database!$B$2:$B$59&amp;Database!$A$2:$A$59&amp;Database!$H$2:$H$59,0))</f>
        <v>#N/A</v>
      </c>
      <c r="AK9" s="2" t="e">
        <f t="array" ref="AK9">INDEX(Database!AP$2:AP$59,MATCH('Iron &amp; Steelmaker Tool'!$D$14&amp;$A9&amp;'Iron &amp; Steelmaker Tool'!$D$15,Database!$B$2:$B$59&amp;Database!$A$2:$A$59&amp;Database!$H$2:$H$59,0))</f>
        <v>#N/A</v>
      </c>
      <c r="AL9" s="2" t="e">
        <f t="array" ref="AL9">INDEX(Database!AQ$2:AQ$59,MATCH('Iron &amp; Steelmaker Tool'!$D$14&amp;$A9&amp;'Iron &amp; Steelmaker Tool'!$D$15,Database!$B$2:$B$59&amp;Database!$A$2:$A$59&amp;Database!$H$2:$H$59,0))</f>
        <v>#N/A</v>
      </c>
      <c r="AM9" s="2" t="e">
        <f t="array" ref="AM9">INDEX(Database!AR$2:AR$59,MATCH('Iron &amp; Steelmaker Tool'!$D$14&amp;$A9&amp;'Iron &amp; Steelmaker Tool'!$D$15,Database!$B$2:$B$59&amp;Database!$A$2:$A$59&amp;Database!$H$2:$H$59,0))</f>
        <v>#N/A</v>
      </c>
      <c r="AN9" s="2" t="e">
        <f t="array" ref="AN9">INDEX(Database!AS$2:AS$59,MATCH('Iron &amp; Steelmaker Tool'!$D$14&amp;$A9&amp;'Iron &amp; Steelmaker Tool'!$D$15,Database!$B$2:$B$59&amp;Database!$A$2:$A$59&amp;Database!$H$2:$H$59,0))</f>
        <v>#N/A</v>
      </c>
      <c r="AO9" s="2" t="e">
        <f t="array" ref="AO9">INDEX(Database!AT$2:AT$59,MATCH('Iron &amp; Steelmaker Tool'!$D$14&amp;$A9&amp;'Iron &amp; Steelmaker Tool'!$D$15,Database!$B$2:$B$59&amp;Database!$A$2:$A$59&amp;Database!$H$2:$H$59,0))</f>
        <v>#N/A</v>
      </c>
      <c r="AP9" s="2" t="e">
        <f t="array" ref="AP9">INDEX(Database!AU$2:AU$59,MATCH('Iron &amp; Steelmaker Tool'!$D$14&amp;$A9&amp;'Iron &amp; Steelmaker Tool'!$D$15,Database!$B$2:$B$59&amp;Database!$A$2:$A$59&amp;Database!$H$2:$H$59,0))</f>
        <v>#N/A</v>
      </c>
      <c r="AQ9" s="2" t="e">
        <f t="array" ref="AQ9">INDEX(Database!AV$2:AV$59,MATCH('Iron &amp; Steelmaker Tool'!$D$14&amp;$A9&amp;'Iron &amp; Steelmaker Tool'!$D$15,Database!$B$2:$B$59&amp;Database!$A$2:$A$59&amp;Database!$H$2:$H$59,0))</f>
        <v>#N/A</v>
      </c>
      <c r="AR9" s="2" t="e">
        <f t="array" ref="AR9">INDEX(Database!AW$2:AW$59,MATCH('Iron &amp; Steelmaker Tool'!$D$14&amp;$A9&amp;'Iron &amp; Steelmaker Tool'!$D$15,Database!$B$2:$B$59&amp;Database!$A$2:$A$59&amp;Database!$H$2:$H$59,0))</f>
        <v>#N/A</v>
      </c>
      <c r="AS9" s="2" t="e">
        <f t="array" ref="AS9">INDEX(Database!AX$2:AX$59,MATCH('Iron &amp; Steelmaker Tool'!$D$14&amp;$A9&amp;'Iron &amp; Steelmaker Tool'!$D$15,Database!$B$2:$B$59&amp;Database!$A$2:$A$59&amp;Database!$H$2:$H$59,0))</f>
        <v>#N/A</v>
      </c>
      <c r="AT9" s="2" t="e">
        <f t="array" ref="AT9">INDEX(Database!AY$2:AY$59,MATCH('Iron &amp; Steelmaker Tool'!$D$14&amp;$A9&amp;'Iron &amp; Steelmaker Tool'!$D$15,Database!$B$2:$B$59&amp;Database!$A$2:$A$59&amp;Database!$H$2:$H$59,0))</f>
        <v>#N/A</v>
      </c>
      <c r="AU9" s="2" t="e">
        <f t="array" ref="AU9">INDEX(Database!AZ$2:AZ$59,MATCH('Iron &amp; Steelmaker Tool'!$D$14&amp;$A9&amp;'Iron &amp; Steelmaker Tool'!$D$15,Database!$B$2:$B$59&amp;Database!$A$2:$A$59&amp;Database!$H$2:$H$59,0))</f>
        <v>#N/A</v>
      </c>
      <c r="AV9" s="2" t="e">
        <f t="array" ref="AV9">INDEX(Database!BA$2:BA$59,MATCH('Iron &amp; Steelmaker Tool'!$D$14&amp;$A9&amp;'Iron &amp; Steelmaker Tool'!$D$15,Database!$B$2:$B$59&amp;Database!$A$2:$A$59&amp;Database!$H$2:$H$59,0))</f>
        <v>#N/A</v>
      </c>
      <c r="AW9" s="2" t="e">
        <f t="array" ref="AW9">INDEX(Database!BB$2:BB$59,MATCH('Iron &amp; Steelmaker Tool'!$D$14&amp;$A9&amp;'Iron &amp; Steelmaker Tool'!$D$15,Database!$B$2:$B$59&amp;Database!$A$2:$A$59&amp;Database!$H$2:$H$59,0))</f>
        <v>#N/A</v>
      </c>
      <c r="AX9" s="2" t="e">
        <f t="array" ref="AX9">INDEX(Database!BC$2:BC$59,MATCH('Iron &amp; Steelmaker Tool'!$D$14&amp;$A9&amp;'Iron &amp; Steelmaker Tool'!$D$15,Database!$B$2:$B$59&amp;Database!$A$2:$A$59&amp;Database!$H$2:$H$59,0))</f>
        <v>#N/A</v>
      </c>
    </row>
    <row r="10" spans="1:91" x14ac:dyDescent="0.15">
      <c r="A10" t="s">
        <v>41</v>
      </c>
      <c r="B10" t="s">
        <v>628</v>
      </c>
      <c r="C10" t="s">
        <v>25</v>
      </c>
      <c r="D10" s="2">
        <f t="array" ref="D10">INDEX(Database!I$2:I$59,MATCH('Iron &amp; Steelmaker Tool'!$D$14&amp;$A10&amp;'Iron &amp; Steelmaker Tool'!$D$15,Database!$B$2:$B$59&amp;Database!$A$2:$A$59&amp;Database!$H$2:$H$59,0))</f>
        <v>3519.0886528101346</v>
      </c>
      <c r="E10" s="2">
        <f t="array" ref="E10">INDEX(Database!J$2:J$59,MATCH('Iron &amp; Steelmaker Tool'!$D$14&amp;$A10&amp;'Iron &amp; Steelmaker Tool'!$D$15,Database!$B$2:$B$59&amp;Database!$A$2:$A$59&amp;Database!$H$2:$H$59,0))</f>
        <v>3519.0886528101346</v>
      </c>
      <c r="F10" s="2">
        <f t="array" ref="F10">INDEX(Database!K$2:K$59,MATCH('Iron &amp; Steelmaker Tool'!$D$14&amp;$A10&amp;'Iron &amp; Steelmaker Tool'!$D$15,Database!$B$2:$B$59&amp;Database!$A$2:$A$59&amp;Database!$H$2:$H$59,0))</f>
        <v>3519.0886528101346</v>
      </c>
      <c r="G10" s="2">
        <f t="array" ref="G10">INDEX(Database!L$2:L$59,MATCH('Iron &amp; Steelmaker Tool'!$D$14&amp;$A10&amp;'Iron &amp; Steelmaker Tool'!$D$15,Database!$B$2:$B$59&amp;Database!$A$2:$A$59&amp;Database!$H$2:$H$59,0))</f>
        <v>3519.0886528101346</v>
      </c>
      <c r="H10" s="2">
        <f t="array" ref="H10">INDEX(Database!M$2:M$59,MATCH('Iron &amp; Steelmaker Tool'!$D$14&amp;$A10&amp;'Iron &amp; Steelmaker Tool'!$D$15,Database!$B$2:$B$59&amp;Database!$A$2:$A$59&amp;Database!$H$2:$H$59,0))</f>
        <v>3519.4657579772156</v>
      </c>
      <c r="I10" s="2">
        <f t="array" ref="I10">INDEX(Database!N$2:N$59,MATCH('Iron &amp; Steelmaker Tool'!$D$14&amp;$A10&amp;'Iron &amp; Steelmaker Tool'!$D$15,Database!$B$2:$B$59&amp;Database!$A$2:$A$59&amp;Database!$H$2:$H$59,0))</f>
        <v>3519.0886528101346</v>
      </c>
      <c r="J10" s="2">
        <f t="array" ref="J10">INDEX(Database!O$2:O$59,MATCH('Iron &amp; Steelmaker Tool'!$D$14&amp;$A10&amp;'Iron &amp; Steelmaker Tool'!$D$15,Database!$B$2:$B$59&amp;Database!$A$2:$A$59&amp;Database!$H$2:$H$59,0))</f>
        <v>3219.6710209068819</v>
      </c>
      <c r="K10" s="2">
        <f t="array" ref="K10">INDEX(Database!P$2:P$59,MATCH('Iron &amp; Steelmaker Tool'!$D$14&amp;$A10&amp;'Iron &amp; Steelmaker Tool'!$D$15,Database!$B$2:$B$59&amp;Database!$A$2:$A$59&amp;Database!$H$2:$H$59,0))</f>
        <v>3210.7754604904781</v>
      </c>
      <c r="L10" s="2">
        <f t="array" ref="L10">INDEX(Database!Q$2:Q$59,MATCH('Iron &amp; Steelmaker Tool'!$D$14&amp;$A10&amp;'Iron &amp; Steelmaker Tool'!$D$15,Database!$B$2:$B$59&amp;Database!$A$2:$A$59&amp;Database!$H$2:$H$59,0))</f>
        <v>3112.7439591503644</v>
      </c>
      <c r="M10" s="2">
        <f t="array" ref="M10">INDEX(Database!R$2:R$59,MATCH('Iron &amp; Steelmaker Tool'!$D$14&amp;$A10&amp;'Iron &amp; Steelmaker Tool'!$D$15,Database!$B$2:$B$59&amp;Database!$A$2:$A$59&amp;Database!$H$2:$H$59,0))</f>
        <v>3014.6892759920693</v>
      </c>
      <c r="N10" s="2">
        <f t="array" ref="N10">INDEX(Database!S$2:S$59,MATCH('Iron &amp; Steelmaker Tool'!$D$14&amp;$A10&amp;'Iron &amp; Steelmaker Tool'!$D$15,Database!$B$2:$B$59&amp;Database!$A$2:$A$59&amp;Database!$H$2:$H$59,0))</f>
        <v>2916.6114110155927</v>
      </c>
      <c r="O10" s="2">
        <f t="array" ref="O10">INDEX(Database!T$2:T$59,MATCH('Iron &amp; Steelmaker Tool'!$D$14&amp;$A10&amp;'Iron &amp; Steelmaker Tool'!$D$15,Database!$B$2:$B$59&amp;Database!$A$2:$A$59&amp;Database!$H$2:$H$59,0))</f>
        <v>2818.5103642209342</v>
      </c>
      <c r="P10" s="2">
        <f t="array" ref="P10">INDEX(Database!U$2:U$59,MATCH('Iron &amp; Steelmaker Tool'!$D$14&amp;$A10&amp;'Iron &amp; Steelmaker Tool'!$D$15,Database!$B$2:$B$59&amp;Database!$A$2:$A$59&amp;Database!$H$2:$H$59,0))</f>
        <v>2720.3861356080938</v>
      </c>
      <c r="Q10" s="2">
        <f t="array" ref="Q10">INDEX(Database!V$2:V$59,MATCH('Iron &amp; Steelmaker Tool'!$D$14&amp;$A10&amp;'Iron &amp; Steelmaker Tool'!$D$15,Database!$B$2:$B$59&amp;Database!$A$2:$A$59&amp;Database!$H$2:$H$59,0))</f>
        <v>2622.2387251770715</v>
      </c>
      <c r="R10" s="2">
        <f t="array" ref="R10">INDEX(Database!W$2:W$59,MATCH('Iron &amp; Steelmaker Tool'!$D$14&amp;$A10&amp;'Iron &amp; Steelmaker Tool'!$D$15,Database!$B$2:$B$59&amp;Database!$A$2:$A$59&amp;Database!$H$2:$H$59,0))</f>
        <v>2524.0681329278673</v>
      </c>
      <c r="S10" s="2">
        <f t="array" ref="S10">INDEX(Database!X$2:X$59,MATCH('Iron &amp; Steelmaker Tool'!$D$14&amp;$A10&amp;'Iron &amp; Steelmaker Tool'!$D$15,Database!$B$2:$B$59&amp;Database!$A$2:$A$59&amp;Database!$H$2:$H$59,0))</f>
        <v>2425.8743588604812</v>
      </c>
      <c r="T10" s="2">
        <f t="array" ref="T10">INDEX(Database!Y$2:Y$59,MATCH('Iron &amp; Steelmaker Tool'!$D$14&amp;$A10&amp;'Iron &amp; Steelmaker Tool'!$D$15,Database!$B$2:$B$59&amp;Database!$A$2:$A$59&amp;Database!$H$2:$H$59,0))</f>
        <v>2327.6574029749131</v>
      </c>
      <c r="U10" s="2">
        <f t="array" ref="U10">INDEX(Database!Z$2:Z$59,MATCH('Iron &amp; Steelmaker Tool'!$D$14&amp;$A10&amp;'Iron &amp; Steelmaker Tool'!$D$15,Database!$B$2:$B$59&amp;Database!$A$2:$A$59&amp;Database!$H$2:$H$59,0))</f>
        <v>2201.686700601289</v>
      </c>
      <c r="V10" s="2">
        <f t="array" ref="V10">INDEX(Database!AA$2:AA$59,MATCH('Iron &amp; Steelmaker Tool'!$D$14&amp;$A10&amp;'Iron &amp; Steelmaker Tool'!$D$15,Database!$B$2:$B$59&amp;Database!$A$2:$A$59&amp;Database!$H$2:$H$59,0))</f>
        <v>2075.7123494776642</v>
      </c>
      <c r="W10" s="2">
        <f t="array" ref="W10">INDEX(Database!AB$2:AB$59,MATCH('Iron &amp; Steelmaker Tool'!$D$14&amp;$A10&amp;'Iron &amp; Steelmaker Tool'!$D$15,Database!$B$2:$B$59&amp;Database!$A$2:$A$59&amp;Database!$H$2:$H$59,0))</f>
        <v>1949.7343496040398</v>
      </c>
      <c r="X10" s="2">
        <f t="array" ref="X10">INDEX(Database!AC$2:AC$59,MATCH('Iron &amp; Steelmaker Tool'!$D$14&amp;$A10&amp;'Iron &amp; Steelmaker Tool'!$D$15,Database!$B$2:$B$59&amp;Database!$A$2:$A$59&amp;Database!$H$2:$H$59,0))</f>
        <v>1823.7527009804153</v>
      </c>
      <c r="Y10" s="2">
        <f t="array" ref="Y10">INDEX(Database!AD$2:AD$59,MATCH('Iron &amp; Steelmaker Tool'!$D$14&amp;$A10&amp;'Iron &amp; Steelmaker Tool'!$D$15,Database!$B$2:$B$59&amp;Database!$A$2:$A$59&amp;Database!$H$2:$H$59,0))</f>
        <v>1697.767403606791</v>
      </c>
      <c r="Z10" s="2">
        <f t="array" ref="Z10">INDEX(Database!AE$2:AE$59,MATCH('Iron &amp; Steelmaker Tool'!$D$14&amp;$A10&amp;'Iron &amp; Steelmaker Tool'!$D$15,Database!$B$2:$B$59&amp;Database!$A$2:$A$59&amp;Database!$H$2:$H$59,0))</f>
        <v>1571.7784574831667</v>
      </c>
      <c r="AA10" s="2">
        <f t="array" ref="AA10">INDEX(Database!AF$2:AF$59,MATCH('Iron &amp; Steelmaker Tool'!$D$14&amp;$A10&amp;'Iron &amp; Steelmaker Tool'!$D$15,Database!$B$2:$B$59&amp;Database!$A$2:$A$59&amp;Database!$H$2:$H$59,0))</f>
        <v>1445.7858626095419</v>
      </c>
      <c r="AB10" s="2">
        <f t="array" ref="AB10">INDEX(Database!AG$2:AG$59,MATCH('Iron &amp; Steelmaker Tool'!$D$14&amp;$A10&amp;'Iron &amp; Steelmaker Tool'!$D$15,Database!$B$2:$B$59&amp;Database!$A$2:$A$59&amp;Database!$H$2:$H$59,0))</f>
        <v>1319.7896189859175</v>
      </c>
      <c r="AC10" s="2">
        <f t="array" ref="AC10">INDEX(Database!AH$2:AH$59,MATCH('Iron &amp; Steelmaker Tool'!$D$14&amp;$A10&amp;'Iron &amp; Steelmaker Tool'!$D$15,Database!$B$2:$B$59&amp;Database!$A$2:$A$59&amp;Database!$H$2:$H$59,0))</f>
        <v>1193.7897266122932</v>
      </c>
      <c r="AD10" s="2">
        <f t="array" ref="AD10">INDEX(Database!AI$2:AI$59,MATCH('Iron &amp; Steelmaker Tool'!$D$14&amp;$A10&amp;'Iron &amp; Steelmaker Tool'!$D$15,Database!$B$2:$B$59&amp;Database!$A$2:$A$59&amp;Database!$H$2:$H$59,0))</f>
        <v>1067.7861854886687</v>
      </c>
      <c r="AE10" s="2">
        <f t="array" ref="AE10">INDEX(Database!AJ$2:AJ$59,MATCH('Iron &amp; Steelmaker Tool'!$D$14&amp;$A10&amp;'Iron &amp; Steelmaker Tool'!$D$15,Database!$B$2:$B$59&amp;Database!$A$2:$A$59&amp;Database!$H$2:$H$59,0))</f>
        <v>982.72435331584961</v>
      </c>
      <c r="AF10" s="2">
        <f t="array" ref="AF10">INDEX(Database!AK$2:AK$59,MATCH('Iron &amp; Steelmaker Tool'!$D$14&amp;$A10&amp;'Iron &amp; Steelmaker Tool'!$D$15,Database!$B$2:$B$59&amp;Database!$A$2:$A$59&amp;Database!$H$2:$H$59,0))</f>
        <v>897.66237614303054</v>
      </c>
      <c r="AG10" s="2">
        <f t="array" ref="AG10">INDEX(Database!AL$2:AL$59,MATCH('Iron &amp; Steelmaker Tool'!$D$14&amp;$A10&amp;'Iron &amp; Steelmaker Tool'!$D$15,Database!$B$2:$B$59&amp;Database!$A$2:$A$59&amp;Database!$H$2:$H$59,0))</f>
        <v>812.60025397021138</v>
      </c>
      <c r="AH10" s="2">
        <f t="array" ref="AH10">INDEX(Database!AM$2:AM$59,MATCH('Iron &amp; Steelmaker Tool'!$D$14&amp;$A10&amp;'Iron &amp; Steelmaker Tool'!$D$15,Database!$B$2:$B$59&amp;Database!$A$2:$A$59&amp;Database!$H$2:$H$59,0))</f>
        <v>727.53798679739225</v>
      </c>
      <c r="AI10" s="2">
        <f t="array" ref="AI10">INDEX(Database!AN$2:AN$59,MATCH('Iron &amp; Steelmaker Tool'!$D$14&amp;$A10&amp;'Iron &amp; Steelmaker Tool'!$D$15,Database!$B$2:$B$59&amp;Database!$A$2:$A$59&amp;Database!$H$2:$H$59,0))</f>
        <v>642.47557462457314</v>
      </c>
      <c r="AJ10" s="2">
        <f t="array" ref="AJ10">INDEX(Database!AO$2:AO$59,MATCH('Iron &amp; Steelmaker Tool'!$D$14&amp;$A10&amp;'Iron &amp; Steelmaker Tool'!$D$15,Database!$B$2:$B$59&amp;Database!$A$2:$A$59&amp;Database!$H$2:$H$59,0))</f>
        <v>557.41301745175406</v>
      </c>
      <c r="AK10" s="2">
        <f t="array" ref="AK10">INDEX(Database!AP$2:AP$59,MATCH('Iron &amp; Steelmaker Tool'!$D$14&amp;$A10&amp;'Iron &amp; Steelmaker Tool'!$D$15,Database!$B$2:$B$59&amp;Database!$A$2:$A$59&amp;Database!$H$2:$H$59,0))</f>
        <v>472.35031527893489</v>
      </c>
      <c r="AL10" s="2">
        <f t="array" ref="AL10">INDEX(Database!AQ$2:AQ$59,MATCH('Iron &amp; Steelmaker Tool'!$D$14&amp;$A10&amp;'Iron &amp; Steelmaker Tool'!$D$15,Database!$B$2:$B$59&amp;Database!$A$2:$A$59&amp;Database!$H$2:$H$59,0))</f>
        <v>387.2874681061158</v>
      </c>
      <c r="AM10" s="2">
        <f t="array" ref="AM10">INDEX(Database!AR$2:AR$59,MATCH('Iron &amp; Steelmaker Tool'!$D$14&amp;$A10&amp;'Iron &amp; Steelmaker Tool'!$D$15,Database!$B$2:$B$59&amp;Database!$A$2:$A$59&amp;Database!$H$2:$H$59,0))</f>
        <v>302.22447593329667</v>
      </c>
      <c r="AN10" s="2">
        <f t="array" ref="AN10">INDEX(Database!AS$2:AS$59,MATCH('Iron &amp; Steelmaker Tool'!$D$14&amp;$A10&amp;'Iron &amp; Steelmaker Tool'!$D$15,Database!$B$2:$B$59&amp;Database!$A$2:$A$59&amp;Database!$H$2:$H$59,0))</f>
        <v>217.16133876047749</v>
      </c>
      <c r="AO10" s="2">
        <f t="array" ref="AO10">INDEX(Database!AT$2:AT$59,MATCH('Iron &amp; Steelmaker Tool'!$D$14&amp;$A10&amp;'Iron &amp; Steelmaker Tool'!$D$15,Database!$B$2:$B$59&amp;Database!$A$2:$A$59&amp;Database!$H$2:$H$59,0))</f>
        <v>74375.155785184077</v>
      </c>
      <c r="AP10" s="2">
        <f t="array" ref="AP10">INDEX(Database!AU$2:AU$59,MATCH('Iron &amp; Steelmaker Tool'!$D$14&amp;$A10&amp;'Iron &amp; Steelmaker Tool'!$D$15,Database!$B$2:$B$59&amp;Database!$A$2:$A$59&amp;Database!$H$2:$H$59,0))</f>
        <v>53260.246763156174</v>
      </c>
      <c r="AQ10" s="2">
        <f t="array" ref="AQ10">INDEX(Database!AV$2:AV$59,MATCH('Iron &amp; Steelmaker Tool'!$D$14&amp;$A10&amp;'Iron &amp; Steelmaker Tool'!$D$15,Database!$B$2:$B$59&amp;Database!$A$2:$A$59&amp;Database!$H$2:$H$59,0))</f>
        <v>0</v>
      </c>
      <c r="AR10" s="2">
        <f t="array" ref="AR10">INDEX(Database!AW$2:AW$59,MATCH('Iron &amp; Steelmaker Tool'!$D$14&amp;$A10&amp;'Iron &amp; Steelmaker Tool'!$D$15,Database!$B$2:$B$59&amp;Database!$A$2:$A$59&amp;Database!$H$2:$H$59,0))</f>
        <v>0</v>
      </c>
      <c r="AS10" s="2">
        <f t="array" ref="AS10">INDEX(Database!AX$2:AX$59,MATCH('Iron &amp; Steelmaker Tool'!$D$14&amp;$A10&amp;'Iron &amp; Steelmaker Tool'!$D$15,Database!$B$2:$B$59&amp;Database!$A$2:$A$59&amp;Database!$H$2:$H$59,0))</f>
        <v>0</v>
      </c>
      <c r="AT10" s="2">
        <f t="array" ref="AT10">INDEX(Database!AY$2:AY$59,MATCH('Iron &amp; Steelmaker Tool'!$D$14&amp;$A10&amp;'Iron &amp; Steelmaker Tool'!$D$15,Database!$B$2:$B$59&amp;Database!$A$2:$A$59&amp;Database!$H$2:$H$59,0))</f>
        <v>0</v>
      </c>
      <c r="AU10" s="2">
        <f t="array" ref="AU10">INDEX(Database!AZ$2:AZ$59,MATCH('Iron &amp; Steelmaker Tool'!$D$14&amp;$A10&amp;'Iron &amp; Steelmaker Tool'!$D$15,Database!$B$2:$B$59&amp;Database!$A$2:$A$59&amp;Database!$H$2:$H$59,0))</f>
        <v>0</v>
      </c>
      <c r="AV10" s="2">
        <f t="array" ref="AV10">INDEX(Database!BA$2:BA$59,MATCH('Iron &amp; Steelmaker Tool'!$D$14&amp;$A10&amp;'Iron &amp; Steelmaker Tool'!$D$15,Database!$B$2:$B$59&amp;Database!$A$2:$A$59&amp;Database!$H$2:$H$59,0))</f>
        <v>0</v>
      </c>
      <c r="AW10" s="2">
        <f t="array" ref="AW10">INDEX(Database!BB$2:BB$59,MATCH('Iron &amp; Steelmaker Tool'!$D$14&amp;$A10&amp;'Iron &amp; Steelmaker Tool'!$D$15,Database!$B$2:$B$59&amp;Database!$A$2:$A$59&amp;Database!$H$2:$H$59,0))</f>
        <v>0</v>
      </c>
      <c r="AX10" s="2">
        <f t="array" ref="AX10">INDEX(Database!BC$2:BC$59,MATCH('Iron &amp; Steelmaker Tool'!$D$14&amp;$A10&amp;'Iron &amp; Steelmaker Tool'!$D$15,Database!$B$2:$B$59&amp;Database!$A$2:$A$59&amp;Database!$H$2:$H$59,0))</f>
        <v>0</v>
      </c>
    </row>
    <row r="11" spans="1:91" x14ac:dyDescent="0.15">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t="str">
        <f>IFERROR(IF('Iron &amp; Steelmaker Tool'!$D$15=Lists!$B$5,AO9*(AO26/3.6)*1000,IF('Iron &amp; Steelmaker Tool'!$D$15=Lists!$B$6, AO9*(AO26/3.6)*1000, AO9*(AO26/3.6))),"")</f>
        <v/>
      </c>
      <c r="AP11" s="66" t="str">
        <f>IFERROR(IF('Iron &amp; Steelmaker Tool'!$D$15=Lists!$B$5,AP9*(AP26/3.6)*1000,IF('Iron &amp; Steelmaker Tool'!$D$15=Lists!$B$6, AP9*(AP26/3.6)*1000, AP9*(AP26/3.6))),"")</f>
        <v/>
      </c>
      <c r="AQ11" s="66" t="str">
        <f>IFERROR(IF('Iron &amp; Steelmaker Tool'!$D$15=Lists!$B$5,AQ9*(AQ26/3.6)*1000,IF('Iron &amp; Steelmaker Tool'!$D$15=Lists!$B$6, AQ9*(AQ26/3.6)*1000, AQ9*(AQ26/3.6))),"")</f>
        <v/>
      </c>
      <c r="AR11" s="66" t="str">
        <f>IFERROR(IF('Iron &amp; Steelmaker Tool'!$D$15=Lists!$B$5,AR9*(AR26/3.6)*1000,IF('Iron &amp; Steelmaker Tool'!$D$15=Lists!$B$6, AR9*(AR26/3.6)*1000, AR9*(AR26/3.6))),"")</f>
        <v/>
      </c>
      <c r="AS11" s="66" t="str">
        <f>IFERROR(IF('Iron &amp; Steelmaker Tool'!$D$15=Lists!$B$5,AS9*(AS26/3.6)*1000,IF('Iron &amp; Steelmaker Tool'!$D$15=Lists!$B$6, AS9*(AS26/3.6)*1000, AS9*(AS26/3.6))),"")</f>
        <v/>
      </c>
      <c r="AT11" s="66" t="str">
        <f>IFERROR(IF('Iron &amp; Steelmaker Tool'!$D$15=Lists!$B$5,AT9*(AT26/3.6)*1000,IF('Iron &amp; Steelmaker Tool'!$D$15=Lists!$B$6, AT9*(AT26/3.6)*1000, AT9*(AT26/3.6))),"")</f>
        <v/>
      </c>
      <c r="AU11" s="66" t="str">
        <f>IFERROR(IF('Iron &amp; Steelmaker Tool'!$D$15=Lists!$B$5,AU9*(AU26/3.6)*1000,IF('Iron &amp; Steelmaker Tool'!$D$15=Lists!$B$6, AU9*(AU26/3.6)*1000, AU9*(AU26/3.6))),"")</f>
        <v/>
      </c>
      <c r="AV11" s="66" t="str">
        <f>IFERROR(IF('Iron &amp; Steelmaker Tool'!$D$15=Lists!$B$5,AV9*(AV26/3.6)*1000,IF('Iron &amp; Steelmaker Tool'!$D$15=Lists!$B$6, AV9*(AV26/3.6)*1000, AV9*(AV26/3.6))),"")</f>
        <v/>
      </c>
      <c r="AW11" s="66" t="str">
        <f>IFERROR(IF('Iron &amp; Steelmaker Tool'!$D$15=Lists!$B$5,AW9*(AW26/3.6)*1000,IF('Iron &amp; Steelmaker Tool'!$D$15=Lists!$B$6, AW9*(AW26/3.6)*1000, AW9*(AW26/3.6))),"")</f>
        <v/>
      </c>
      <c r="AX11" s="66" t="str">
        <f>IFERROR(IF('Iron &amp; Steelmaker Tool'!$D$15=Lists!$B$5,AX9*(AX26/3.6)*1000,IF('Iron &amp; Steelmaker Tool'!$D$15=Lists!$B$6, AX9*(AX26/3.6)*1000, AX9*(AX26/3.6))),"")</f>
        <v/>
      </c>
    </row>
    <row r="12" spans="1:91" x14ac:dyDescent="0.15">
      <c r="A12" t="s">
        <v>40</v>
      </c>
      <c r="B12" t="s">
        <v>670</v>
      </c>
      <c r="C12" t="str">
        <f>INDEX(Lists!$E$2:$E$50,MATCH('Iron &amp; Steelmaker Tool'!$D$15,Lists!$B$2:$B$50,0))</f>
        <v>tCO2/t</v>
      </c>
      <c r="D12" s="4" cm="1">
        <f t="array" ref="D12">IF(D$1&gt;='Iron &amp; Steelmaker Tool'!$D$16, INDEX(Database!I$2:I$59,MATCH('Iron &amp; Steelmaker Tool'!$D$14&amp;$A12&amp;'Iron &amp; Steelmaker Tool'!$D$15,Database!$B$2:$B$59&amp;Database!$A$2:$A$59&amp;Database!$H$2:$H$59,0)), NA())</f>
        <v>2.3499430713587932</v>
      </c>
      <c r="E12" s="4" cm="1">
        <f t="array" ref="E12">IF(E$1&gt;='Iron &amp; Steelmaker Tool'!$D$16, INDEX(Database!J$2:J$59,MATCH('Iron &amp; Steelmaker Tool'!$D$14&amp;$A12&amp;'Iron &amp; Steelmaker Tool'!$D$15,Database!$B$2:$B$59&amp;Database!$A$2:$A$59&amp;Database!$H$2:$H$59,0)), NA())</f>
        <v>2.4211073569206505</v>
      </c>
      <c r="F12" s="4" cm="1">
        <f t="array" ref="F12">IF(F$1&gt;='Iron &amp; Steelmaker Tool'!$D$16, INDEX(Database!K$2:K$59,MATCH('Iron &amp; Steelmaker Tool'!$D$14&amp;$A12&amp;'Iron &amp; Steelmaker Tool'!$D$15,Database!$B$2:$B$59&amp;Database!$A$2:$A$59&amp;Database!$H$2:$H$59,0)), NA())</f>
        <v>2.4424018088262245</v>
      </c>
      <c r="G12" s="4" cm="1">
        <f t="array" ref="G12">IF(G$1&gt;='Iron &amp; Steelmaker Tool'!$D$16, INDEX(Database!L$2:L$59,MATCH('Iron &amp; Steelmaker Tool'!$D$14&amp;$A12&amp;'Iron &amp; Steelmaker Tool'!$D$15,Database!$B$2:$B$59&amp;Database!$A$2:$A$59&amp;Database!$H$2:$H$59,0)), NA())</f>
        <v>2.4642862799622667</v>
      </c>
      <c r="H12" s="4" cm="1">
        <f t="array" ref="H12">IF(H$1&gt;='Iron &amp; Steelmaker Tool'!$D$16, INDEX(Database!M$2:M$59,MATCH('Iron &amp; Steelmaker Tool'!$D$14&amp;$A12&amp;'Iron &amp; Steelmaker Tool'!$D$15,Database!$B$2:$B$59&amp;Database!$A$2:$A$59&amp;Database!$H$2:$H$59,0)), NA())</f>
        <v>2.487067690503419</v>
      </c>
      <c r="I12" s="4" cm="1">
        <f t="array" ref="I12">IF(I$1&gt;='Iron &amp; Steelmaker Tool'!$D$16, INDEX(Database!N$2:N$59,MATCH('Iron &amp; Steelmaker Tool'!$D$14&amp;$A12&amp;'Iron &amp; Steelmaker Tool'!$D$15,Database!$B$2:$B$59&amp;Database!$A$2:$A$59&amp;Database!$H$2:$H$59,0)), NA())</f>
        <v>2.509887206142364</v>
      </c>
      <c r="J12" s="4" cm="1">
        <f t="array" ref="J12">IF(J$1&gt;='Iron &amp; Steelmaker Tool'!$D$16, INDEX(Database!O$2:O$59,MATCH('Iron &amp; Steelmaker Tool'!$D$14&amp;$A12&amp;'Iron &amp; Steelmaker Tool'!$D$15,Database!$B$2:$B$59&amp;Database!$A$2:$A$59&amp;Database!$H$2:$H$59,0)), NA())</f>
        <v>2.4232181366275407</v>
      </c>
      <c r="K12" s="4" cm="1">
        <f t="array" ref="K12">IF(K$1&gt;='Iron &amp; Steelmaker Tool'!$D$16, INDEX(Database!P$2:P$59,MATCH('Iron &amp; Steelmaker Tool'!$D$14&amp;$A12&amp;'Iron &amp; Steelmaker Tool'!$D$15,Database!$B$2:$B$59&amp;Database!$A$2:$A$59&amp;Database!$H$2:$H$59,0)), NA())</f>
        <v>2.2970289089871687</v>
      </c>
      <c r="L12" s="4" cm="1">
        <f t="array" ref="L12">IF(L$1&gt;='Iron &amp; Steelmaker Tool'!$D$16, INDEX(Database!Q$2:Q$59,MATCH('Iron &amp; Steelmaker Tool'!$D$14&amp;$A12&amp;'Iron &amp; Steelmaker Tool'!$D$15,Database!$B$2:$B$59&amp;Database!$A$2:$A$59&amp;Database!$H$2:$H$59,0)), NA())</f>
        <v>2.2325564833920861</v>
      </c>
      <c r="M12" s="4" cm="1">
        <f t="array" ref="M12">IF(M$1&gt;='Iron &amp; Steelmaker Tool'!$D$16, INDEX(Database!R$2:R$59,MATCH('Iron &amp; Steelmaker Tool'!$D$14&amp;$A12&amp;'Iron &amp; Steelmaker Tool'!$D$15,Database!$B$2:$B$59&amp;Database!$A$2:$A$59&amp;Database!$H$2:$H$59,0)), NA())</f>
        <v>2.169051892996543</v>
      </c>
      <c r="N12" s="4" cm="1">
        <f t="array" ref="N12">IF(N$1&gt;='Iron &amp; Steelmaker Tool'!$D$16, INDEX(Database!S$2:S$59,MATCH('Iron &amp; Steelmaker Tool'!$D$14&amp;$A12&amp;'Iron &amp; Steelmaker Tool'!$D$15,Database!$B$2:$B$59&amp;Database!$A$2:$A$59&amp;Database!$H$2:$H$59,0)), NA())</f>
        <v>2.1051540203912005</v>
      </c>
      <c r="O12" s="4" cm="1">
        <f t="array" ref="O12">IF(O$1&gt;='Iron &amp; Steelmaker Tool'!$D$16, INDEX(Database!T$2:T$59,MATCH('Iron &amp; Steelmaker Tool'!$D$14&amp;$A12&amp;'Iron &amp; Steelmaker Tool'!$D$15,Database!$B$2:$B$59&amp;Database!$A$2:$A$59&amp;Database!$H$2:$H$59,0)), NA())</f>
        <v>2.0408469220445022</v>
      </c>
      <c r="P12" s="4" cm="1">
        <f t="array" ref="P12">IF(P$1&gt;='Iron &amp; Steelmaker Tool'!$D$16, INDEX(Database!U$2:U$59,MATCH('Iron &amp; Steelmaker Tool'!$D$14&amp;$A12&amp;'Iron &amp; Steelmaker Tool'!$D$15,Database!$B$2:$B$59&amp;Database!$A$2:$A$59&amp;Database!$H$2:$H$59,0)), NA())</f>
        <v>1.9761141242691576</v>
      </c>
      <c r="Q12" s="4" cm="1">
        <f t="array" ref="Q12">IF(Q$1&gt;='Iron &amp; Steelmaker Tool'!$D$16, INDEX(Database!V$2:V$59,MATCH('Iron &amp; Steelmaker Tool'!$D$14&amp;$A12&amp;'Iron &amp; Steelmaker Tool'!$D$15,Database!$B$2:$B$59&amp;Database!$A$2:$A$59&amp;Database!$H$2:$H$59,0)), NA())</f>
        <v>1.9109385972825268</v>
      </c>
      <c r="R12" s="4" cm="1">
        <f t="array" ref="R12">IF(R$1&gt;='Iron &amp; Steelmaker Tool'!$D$16, INDEX(Database!W$2:W$59,MATCH('Iron &amp; Steelmaker Tool'!$D$14&amp;$A12&amp;'Iron &amp; Steelmaker Tool'!$D$15,Database!$B$2:$B$59&amp;Database!$A$2:$A$59&amp;Database!$H$2:$H$59,0)), NA())</f>
        <v>1.8442244064835336</v>
      </c>
      <c r="S12" s="4" cm="1">
        <f t="array" ref="S12">IF(S$1&gt;='Iron &amp; Steelmaker Tool'!$D$16, INDEX(Database!X$2:X$59,MATCH('Iron &amp; Steelmaker Tool'!$D$14&amp;$A12&amp;'Iron &amp; Steelmaker Tool'!$D$15,Database!$B$2:$B$59&amp;Database!$A$2:$A$59&amp;Database!$H$2:$H$59,0)), NA())</f>
        <v>1.778148479169098</v>
      </c>
      <c r="T12" s="4" cm="1">
        <f t="array" ref="T12">IF(T$1&gt;='Iron &amp; Steelmaker Tool'!$D$16, INDEX(Database!Y$2:Y$59,MATCH('Iron &amp; Steelmaker Tool'!$D$14&amp;$A12&amp;'Iron &amp; Steelmaker Tool'!$D$15,Database!$B$2:$B$59&amp;Database!$A$2:$A$59&amp;Database!$H$2:$H$59,0)), NA())</f>
        <v>1.7115752810089702</v>
      </c>
      <c r="U12" s="4" cm="1">
        <f t="array" ref="U12">IF(U$1&gt;='Iron &amp; Steelmaker Tool'!$D$16, INDEX(Database!Z$2:Z$59,MATCH('Iron &amp; Steelmaker Tool'!$D$14&amp;$A12&amp;'Iron &amp; Steelmaker Tool'!$D$15,Database!$B$2:$B$59&amp;Database!$A$2:$A$59&amp;Database!$H$2:$H$59,0)), NA())</f>
        <v>1.6209301110839105</v>
      </c>
      <c r="V12" s="4" cm="1">
        <f t="array" ref="V12">IF(V$1&gt;='Iron &amp; Steelmaker Tool'!$D$16, INDEX(Database!AA$2:AA$59,MATCH('Iron &amp; Steelmaker Tool'!$D$14&amp;$A12&amp;'Iron &amp; Steelmaker Tool'!$D$15,Database!$B$2:$B$59&amp;Database!$A$2:$A$59&amp;Database!$H$2:$H$59,0)), NA())</f>
        <v>1.5294901639860059</v>
      </c>
      <c r="W12" s="4" cm="1">
        <f t="array" ref="W12">IF(W$1&gt;='Iron &amp; Steelmaker Tool'!$D$16, INDEX(Database!AB$2:AB$59,MATCH('Iron &amp; Steelmaker Tool'!$D$14&amp;$A12&amp;'Iron &amp; Steelmaker Tool'!$D$15,Database!$B$2:$B$59&amp;Database!$A$2:$A$59&amp;Database!$H$2:$H$59,0)), NA())</f>
        <v>1.4372390699102373</v>
      </c>
      <c r="X12" s="4" cm="1">
        <f t="array" ref="X12">IF(X$1&gt;='Iron &amp; Steelmaker Tool'!$D$16, INDEX(Database!AC$2:AC$59,MATCH('Iron &amp; Steelmaker Tool'!$D$14&amp;$A12&amp;'Iron &amp; Steelmaker Tool'!$D$15,Database!$B$2:$B$59&amp;Database!$A$2:$A$59&amp;Database!$H$2:$H$59,0)), NA())</f>
        <v>1.3441600282439394</v>
      </c>
      <c r="Y12" s="4" cm="1">
        <f t="array" ref="Y12">IF(Y$1&gt;='Iron &amp; Steelmaker Tool'!$D$16, INDEX(Database!AD$2:AD$59,MATCH('Iron &amp; Steelmaker Tool'!$D$14&amp;$A12&amp;'Iron &amp; Steelmaker Tool'!$D$15,Database!$B$2:$B$59&amp;Database!$A$2:$A$59&amp;Database!$H$2:$H$59,0)), NA())</f>
        <v>1.2494897361454405</v>
      </c>
      <c r="Z12" s="4" cm="1">
        <f t="array" ref="Z12">IF(Z$1&gt;='Iron &amp; Steelmaker Tool'!$D$16, INDEX(Database!AE$2:AE$59,MATCH('Iron &amp; Steelmaker Tool'!$D$14&amp;$A12&amp;'Iron &amp; Steelmaker Tool'!$D$15,Database!$B$2:$B$59&amp;Database!$A$2:$A$59&amp;Database!$H$2:$H$59,0)), NA())</f>
        <v>1.1547547560515972</v>
      </c>
      <c r="AA12" s="4" cm="1">
        <f t="array" ref="AA12">IF(AA$1&gt;='Iron &amp; Steelmaker Tool'!$D$16, INDEX(Database!AF$2:AF$59,MATCH('Iron &amp; Steelmaker Tool'!$D$14&amp;$A12&amp;'Iron &amp; Steelmaker Tool'!$D$15,Database!$B$2:$B$59&amp;Database!$A$2:$A$59&amp;Database!$H$2:$H$59,0)), NA())</f>
        <v>1.0591391672172181</v>
      </c>
      <c r="AB12" s="4" cm="1">
        <f t="array" ref="AB12">IF(AB$1&gt;='Iron &amp; Steelmaker Tool'!$D$16, INDEX(Database!AG$2:AG$59,MATCH('Iron &amp; Steelmaker Tool'!$D$14&amp;$A12&amp;'Iron &amp; Steelmaker Tool'!$D$15,Database!$B$2:$B$59&amp;Database!$A$2:$A$59&amp;Database!$H$2:$H$59,0)), NA())</f>
        <v>0.9626243068343302</v>
      </c>
      <c r="AC12" s="4" cm="1">
        <f t="array" ref="AC12">IF(AC$1&gt;='Iron &amp; Steelmaker Tool'!$D$16, INDEX(Database!AH$2:AH$59,MATCH('Iron &amp; Steelmaker Tool'!$D$14&amp;$A12&amp;'Iron &amp; Steelmaker Tool'!$D$15,Database!$B$2:$B$59&amp;Database!$A$2:$A$59&amp;Database!$H$2:$H$59,0)), NA())</f>
        <v>0.86519100363151391</v>
      </c>
      <c r="AD12" s="4" cm="1">
        <f t="array" ref="AD12">IF(AD$1&gt;='Iron &amp; Steelmaker Tool'!$D$16, INDEX(Database!AI$2:AI$59,MATCH('Iron &amp; Steelmaker Tool'!$D$14&amp;$A12&amp;'Iron &amp; Steelmaker Tool'!$D$15,Database!$B$2:$B$59&amp;Database!$A$2:$A$59&amp;Database!$H$2:$H$59,0)), NA())</f>
        <v>0.76681956032604404</v>
      </c>
      <c r="AE12" s="4" cm="1">
        <f t="array" ref="AE12">IF(AE$1&gt;='Iron &amp; Steelmaker Tool'!$D$16, INDEX(Database!AJ$2:AJ$59,MATCH('Iron &amp; Steelmaker Tool'!$D$14&amp;$A12&amp;'Iron &amp; Steelmaker Tool'!$D$15,Database!$B$2:$B$59&amp;Database!$A$2:$A$59&amp;Database!$H$2:$H$59,0)), NA())</f>
        <v>0.70331405454615814</v>
      </c>
      <c r="AF12" s="4" cm="1">
        <f t="array" ref="AF12">IF(AF$1&gt;='Iron &amp; Steelmaker Tool'!$D$16, INDEX(Database!AK$2:AK$59,MATCH('Iron &amp; Steelmaker Tool'!$D$14&amp;$A12&amp;'Iron &amp; Steelmaker Tool'!$D$15,Database!$B$2:$B$59&amp;Database!$A$2:$A$59&amp;Database!$H$2:$H$59,0)), NA())</f>
        <v>0.63933852504435629</v>
      </c>
      <c r="AG12" s="4" cm="1">
        <f t="array" ref="AG12">IF(AG$1&gt;='Iron &amp; Steelmaker Tool'!$D$16, INDEX(Database!AL$2:AL$59,MATCH('Iron &amp; Steelmaker Tool'!$D$14&amp;$A12&amp;'Iron &amp; Steelmaker Tool'!$D$15,Database!$B$2:$B$59&amp;Database!$A$2:$A$59&amp;Database!$H$2:$H$59,0)), NA())</f>
        <v>0.5748819543329472</v>
      </c>
      <c r="AH12" s="4" cm="1">
        <f t="array" ref="AH12">IF(AH$1&gt;='Iron &amp; Steelmaker Tool'!$D$16, INDEX(Database!AM$2:AM$59,MATCH('Iron &amp; Steelmaker Tool'!$D$14&amp;$A12&amp;'Iron &amp; Steelmaker Tool'!$D$15,Database!$B$2:$B$59&amp;Database!$A$2:$A$59&amp;Database!$H$2:$H$59,0)), NA())</f>
        <v>0.50993301904218591</v>
      </c>
      <c r="AI12" s="4" cm="1">
        <f t="array" ref="AI12">IF(AI$1&gt;='Iron &amp; Steelmaker Tool'!$D$16, INDEX(Database!AN$2:AN$59,MATCH('Iron &amp; Steelmaker Tool'!$D$14&amp;$A12&amp;'Iron &amp; Steelmaker Tool'!$D$15,Database!$B$2:$B$59&amp;Database!$A$2:$A$59&amp;Database!$H$2:$H$59,0)), NA())</f>
        <v>0.44448007894483826</v>
      </c>
      <c r="AJ12" s="4" cm="1">
        <f t="array" ref="AJ12">IF(AJ$1&gt;='Iron &amp; Steelmaker Tool'!$D$16, INDEX(Database!AO$2:AO$59,MATCH('Iron &amp; Steelmaker Tool'!$D$14&amp;$A12&amp;'Iron &amp; Steelmaker Tool'!$D$15,Database!$B$2:$B$59&amp;Database!$A$2:$A$59&amp;Database!$H$2:$H$59,0)), NA())</f>
        <v>0.37876805614402503</v>
      </c>
      <c r="AK12" s="4" cm="1">
        <f t="array" ref="AK12">IF(AK$1&gt;='Iron &amp; Steelmaker Tool'!$D$16, INDEX(Database!AP$2:AP$59,MATCH('Iron &amp; Steelmaker Tool'!$D$14&amp;$A12&amp;'Iron &amp; Steelmaker Tool'!$D$15,Database!$B$2:$B$59&amp;Database!$A$2:$A$59&amp;Database!$H$2:$H$59,0)), NA())</f>
        <v>0.31223257140038119</v>
      </c>
      <c r="AL12" s="4" cm="1">
        <f t="array" ref="AL12">IF(AL$1&gt;='Iron &amp; Steelmaker Tool'!$D$16, INDEX(Database!AQ$2:AQ$59,MATCH('Iron &amp; Steelmaker Tool'!$D$14&amp;$A12&amp;'Iron &amp; Steelmaker Tool'!$D$15,Database!$B$2:$B$59&amp;Database!$A$2:$A$59&amp;Database!$H$2:$H$59,0)), NA())</f>
        <v>0.24515582753873061</v>
      </c>
      <c r="AM12" s="4" cm="1">
        <f t="array" ref="AM12">IF(AM$1&gt;='Iron &amp; Steelmaker Tool'!$D$16, INDEX(Database!AR$2:AR$59,MATCH('Iron &amp; Steelmaker Tool'!$D$14&amp;$A12&amp;'Iron &amp; Steelmaker Tool'!$D$15,Database!$B$2:$B$59&amp;Database!$A$2:$A$59&amp;Database!$H$2:$H$59,0)), NA())</f>
        <v>0.17752478868938304</v>
      </c>
      <c r="AN12" s="4" cm="1">
        <f t="array" ref="AN12">IF(AN$1&gt;='Iron &amp; Steelmaker Tool'!$D$16, INDEX(Database!AS$2:AS$59,MATCH('Iron &amp; Steelmaker Tool'!$D$14&amp;$A12&amp;'Iron &amp; Steelmaker Tool'!$D$15,Database!$B$2:$B$59&amp;Database!$A$2:$A$59&amp;Database!$H$2:$H$59,0)), NA())</f>
        <v>0.10932603940472095</v>
      </c>
      <c r="AO12" s="2" t="str">
        <f>IF(AO$1&gt;='Iron &amp; Steelmaker Tool'!$D$16,IFERROR(AO10*1000000/AO$8,""),NA())</f>
        <v/>
      </c>
      <c r="AP12" s="2" t="str">
        <f>IF(AP$1&gt;='Iron &amp; Steelmaker Tool'!$D$16,IFERROR(AP10*1000000/AP$8,""),NA())</f>
        <v/>
      </c>
      <c r="AQ12" s="2" t="str">
        <f>IF(AQ$1&gt;='Iron &amp; Steelmaker Tool'!$D$16,IFERROR(AQ10*1000000/AQ$8,""),NA())</f>
        <v/>
      </c>
      <c r="AR12" s="2" t="str">
        <f>IF(AR$1&gt;='Iron &amp; Steelmaker Tool'!$D$16,IFERROR(AR10*1000000/AR$8,""),NA())</f>
        <v/>
      </c>
      <c r="AS12" s="2" t="str">
        <f>IF(AS$1&gt;='Iron &amp; Steelmaker Tool'!$D$16,IFERROR(AS10*1000000/AS$8,""),NA())</f>
        <v/>
      </c>
      <c r="AT12" s="2" t="str">
        <f>IF(AT$1&gt;='Iron &amp; Steelmaker Tool'!$D$16,IFERROR(AT10*1000000/AT$8,""),NA())</f>
        <v/>
      </c>
      <c r="AU12" s="2" t="str">
        <f>IF(AU$1&gt;='Iron &amp; Steelmaker Tool'!$D$16,IFERROR(AU10*1000000/AU$8,""),NA())</f>
        <v/>
      </c>
      <c r="AV12" s="2" t="str">
        <f>IF(AV$1&gt;='Iron &amp; Steelmaker Tool'!$D$16,IFERROR(AV10*1000000/AV$8,""),NA())</f>
        <v/>
      </c>
      <c r="AW12" s="2" t="str">
        <f>IF(AW$1&gt;='Iron &amp; Steelmaker Tool'!$D$16,IFERROR(AW10*1000000/AW$8,""),NA())</f>
        <v/>
      </c>
      <c r="AX12" s="2" t="str">
        <f>IF(AX$1&gt;='Iron &amp; Steelmaker Tool'!$D$16,IFERROR(AX10*1000000/AX$8,""),NA())</f>
        <v/>
      </c>
    </row>
    <row r="13" spans="1:91" x14ac:dyDescent="0.15">
      <c r="A13" t="s">
        <v>58</v>
      </c>
      <c r="B13" t="s">
        <v>671</v>
      </c>
      <c r="C13" t="str">
        <f>INDEX(Lists!$E$2:$E$50,MATCH('Iron &amp; Steelmaker Tool'!$D$15,Lists!$B$2:$B$50,0))</f>
        <v>tCO2/t</v>
      </c>
      <c r="D13" s="2" cm="1">
        <f t="array" ref="D13">IF(D$1&gt;='Iron &amp; Steelmaker Tool'!$D$16,INDEX(Database!I$2:I$59,MATCH('Iron &amp; Steelmaker Tool'!$D$14&amp;$A13&amp;'Iron &amp; Steelmaker Tool'!$D$15,Database!$B$2:$B$59&amp;Database!$A$2:$A$59&amp;Database!$H$2:$H$59,0)),NA())</f>
        <v>0.55209999999999992</v>
      </c>
      <c r="E13" s="2" cm="1">
        <f t="array" ref="E13">IF(E$1&gt;='Iron &amp; Steelmaker Tool'!$D$16,INDEX(Database!J$2:J$59,MATCH('Iron &amp; Steelmaker Tool'!$D$14&amp;$A13&amp;'Iron &amp; Steelmaker Tool'!$D$15,Database!$B$2:$B$59&amp;Database!$A$2:$A$59&amp;Database!$H$2:$H$59,0)),NA())</f>
        <v>0.56512499999999988</v>
      </c>
      <c r="F13" s="2" cm="1">
        <f t="array" ref="F13">IF(F$1&gt;='Iron &amp; Steelmaker Tool'!$D$16,INDEX(Database!K$2:K$59,MATCH('Iron &amp; Steelmaker Tool'!$D$14&amp;$A13&amp;'Iron &amp; Steelmaker Tool'!$D$15,Database!$B$2:$B$59&amp;Database!$A$2:$A$59&amp;Database!$H$2:$H$59,0)),NA())</f>
        <v>0.55209999999999992</v>
      </c>
      <c r="G13" s="2" cm="1">
        <f t="array" ref="G13">IF(G$1&gt;='Iron &amp; Steelmaker Tool'!$D$16,INDEX(Database!L$2:L$59,MATCH('Iron &amp; Steelmaker Tool'!$D$14&amp;$A13&amp;'Iron &amp; Steelmaker Tool'!$D$15,Database!$B$2:$B$59&amp;Database!$A$2:$A$59&amp;Database!$H$2:$H$59,0)),NA())</f>
        <v>0.53907499999999997</v>
      </c>
      <c r="H13" s="2" cm="1">
        <f t="array" ref="H13">IF(H$1&gt;='Iron &amp; Steelmaker Tool'!$D$16,INDEX(Database!M$2:M$59,MATCH('Iron &amp; Steelmaker Tool'!$D$14&amp;$A13&amp;'Iron &amp; Steelmaker Tool'!$D$15,Database!$B$2:$B$59&amp;Database!$A$2:$A$59&amp;Database!$H$2:$H$59,0)),NA())</f>
        <v>0.52604999999999991</v>
      </c>
      <c r="I13" s="2" cm="1">
        <f t="array" ref="I13">IF(I$1&gt;='Iron &amp; Steelmaker Tool'!$D$16,INDEX(Database!N$2:N$59,MATCH('Iron &amp; Steelmaker Tool'!$D$14&amp;$A13&amp;'Iron &amp; Steelmaker Tool'!$D$15,Database!$B$2:$B$59&amp;Database!$A$2:$A$59&amp;Database!$H$2:$H$59,0)),NA())</f>
        <v>0.51302499999999995</v>
      </c>
      <c r="J13" s="2" cm="1">
        <f t="array" ref="J13">IF(J$1&gt;='Iron &amp; Steelmaker Tool'!$D$16,INDEX(Database!O$2:O$59,MATCH('Iron &amp; Steelmaker Tool'!$D$14&amp;$A13&amp;'Iron &amp; Steelmaker Tool'!$D$15,Database!$B$2:$B$59&amp;Database!$A$2:$A$59&amp;Database!$H$2:$H$59,0)),NA())</f>
        <v>0.5</v>
      </c>
      <c r="K13" s="2" cm="1">
        <f t="array" ref="K13">IF(K$1&gt;='Iron &amp; Steelmaker Tool'!$D$16,INDEX(Database!P$2:P$59,MATCH('Iron &amp; Steelmaker Tool'!$D$14&amp;$A13&amp;'Iron &amp; Steelmaker Tool'!$D$15,Database!$B$2:$B$59&amp;Database!$A$2:$A$59&amp;Database!$H$2:$H$59,0)),NA())</f>
        <v>0.48697500000000005</v>
      </c>
      <c r="L13" s="2" cm="1">
        <f t="array" ref="L13">IF(L$1&gt;='Iron &amp; Steelmaker Tool'!$D$16,INDEX(Database!Q$2:Q$59,MATCH('Iron &amp; Steelmaker Tool'!$D$14&amp;$A13&amp;'Iron &amp; Steelmaker Tool'!$D$15,Database!$B$2:$B$59&amp;Database!$A$2:$A$59&amp;Database!$H$2:$H$59,0)),NA())</f>
        <v>0.47395000000000004</v>
      </c>
      <c r="M13" s="2" cm="1">
        <f t="array" ref="M13">IF(M$1&gt;='Iron &amp; Steelmaker Tool'!$D$16,INDEX(Database!R$2:R$59,MATCH('Iron &amp; Steelmaker Tool'!$D$14&amp;$A13&amp;'Iron &amp; Steelmaker Tool'!$D$15,Database!$B$2:$B$59&amp;Database!$A$2:$A$59&amp;Database!$H$2:$H$59,0)),NA())</f>
        <v>0.46092500000000008</v>
      </c>
      <c r="N13" s="2" cm="1">
        <f t="array" ref="N13">IF(N$1&gt;='Iron &amp; Steelmaker Tool'!$D$16,INDEX(Database!S$2:S$59,MATCH('Iron &amp; Steelmaker Tool'!$D$14&amp;$A13&amp;'Iron &amp; Steelmaker Tool'!$D$15,Database!$B$2:$B$59&amp;Database!$A$2:$A$59&amp;Database!$H$2:$H$59,0)),NA())</f>
        <v>0.44790000000000008</v>
      </c>
      <c r="O13" s="2" cm="1">
        <f t="array" ref="O13">IF(O$1&gt;='Iron &amp; Steelmaker Tool'!$D$16,INDEX(Database!T$2:T$59,MATCH('Iron &amp; Steelmaker Tool'!$D$14&amp;$A13&amp;'Iron &amp; Steelmaker Tool'!$D$15,Database!$B$2:$B$59&amp;Database!$A$2:$A$59&amp;Database!$H$2:$H$59,0)),NA())</f>
        <v>0.43487500000000012</v>
      </c>
      <c r="P13" s="2" cm="1">
        <f t="array" ref="P13">IF(P$1&gt;='Iron &amp; Steelmaker Tool'!$D$16,INDEX(Database!U$2:U$59,MATCH('Iron &amp; Steelmaker Tool'!$D$14&amp;$A13&amp;'Iron &amp; Steelmaker Tool'!$D$15,Database!$B$2:$B$59&amp;Database!$A$2:$A$59&amp;Database!$H$2:$H$59,0)),NA())</f>
        <v>0.42185000000000011</v>
      </c>
      <c r="Q13" s="2" cm="1">
        <f t="array" ref="Q13">IF(Q$1&gt;='Iron &amp; Steelmaker Tool'!$D$16,INDEX(Database!V$2:V$59,MATCH('Iron &amp; Steelmaker Tool'!$D$14&amp;$A13&amp;'Iron &amp; Steelmaker Tool'!$D$15,Database!$B$2:$B$59&amp;Database!$A$2:$A$59&amp;Database!$H$2:$H$59,0)),NA())</f>
        <v>0.40882500000000016</v>
      </c>
      <c r="R13" s="2" cm="1">
        <f t="array" ref="R13">IF(R$1&gt;='Iron &amp; Steelmaker Tool'!$D$16,INDEX(Database!W$2:W$59,MATCH('Iron &amp; Steelmaker Tool'!$D$14&amp;$A13&amp;'Iron &amp; Steelmaker Tool'!$D$15,Database!$B$2:$B$59&amp;Database!$A$2:$A$59&amp;Database!$H$2:$H$59,0)),NA())</f>
        <v>0.39580000000000021</v>
      </c>
      <c r="S13" s="2" cm="1">
        <f t="array" ref="S13">IF(S$1&gt;='Iron &amp; Steelmaker Tool'!$D$16,INDEX(Database!X$2:X$59,MATCH('Iron &amp; Steelmaker Tool'!$D$14&amp;$A13&amp;'Iron &amp; Steelmaker Tool'!$D$15,Database!$B$2:$B$59&amp;Database!$A$2:$A$59&amp;Database!$H$2:$H$59,0)),NA())</f>
        <v>0.3827750000000002</v>
      </c>
      <c r="T13" s="2" cm="1">
        <f t="array" ref="T13">IF(T$1&gt;='Iron &amp; Steelmaker Tool'!$D$16,INDEX(Database!Y$2:Y$59,MATCH('Iron &amp; Steelmaker Tool'!$D$14&amp;$A13&amp;'Iron &amp; Steelmaker Tool'!$D$15,Database!$B$2:$B$59&amp;Database!$A$2:$A$59&amp;Database!$H$2:$H$59,0)),NA())</f>
        <v>0.36975000000000025</v>
      </c>
      <c r="U13" s="2" cm="1">
        <f t="array" ref="U13">IF(U$1&gt;='Iron &amp; Steelmaker Tool'!$D$16,INDEX(Database!Z$2:Z$59,MATCH('Iron &amp; Steelmaker Tool'!$D$14&amp;$A13&amp;'Iron &amp; Steelmaker Tool'!$D$15,Database!$B$2:$B$59&amp;Database!$A$2:$A$59&amp;Database!$H$2:$H$59,0)),NA())</f>
        <v>0.35672500000000024</v>
      </c>
      <c r="V13" s="2" cm="1">
        <f t="array" ref="V13">IF(V$1&gt;='Iron &amp; Steelmaker Tool'!$D$16,INDEX(Database!AA$2:AA$59,MATCH('Iron &amp; Steelmaker Tool'!$D$14&amp;$A13&amp;'Iron &amp; Steelmaker Tool'!$D$15,Database!$B$2:$B$59&amp;Database!$A$2:$A$59&amp;Database!$H$2:$H$59,0)),NA())</f>
        <v>0.34370000000000028</v>
      </c>
      <c r="W13" s="2" cm="1">
        <f t="array" ref="W13">IF(W$1&gt;='Iron &amp; Steelmaker Tool'!$D$16,INDEX(Database!AB$2:AB$59,MATCH('Iron &amp; Steelmaker Tool'!$D$14&amp;$A13&amp;'Iron &amp; Steelmaker Tool'!$D$15,Database!$B$2:$B$59&amp;Database!$A$2:$A$59&amp;Database!$H$2:$H$59,0)),NA())</f>
        <v>0.33067500000000027</v>
      </c>
      <c r="X13" s="2" cm="1">
        <f t="array" ref="X13">IF(X$1&gt;='Iron &amp; Steelmaker Tool'!$D$16,INDEX(Database!AC$2:AC$59,MATCH('Iron &amp; Steelmaker Tool'!$D$14&amp;$A13&amp;'Iron &amp; Steelmaker Tool'!$D$15,Database!$B$2:$B$59&amp;Database!$A$2:$A$59&amp;Database!$H$2:$H$59,0)),NA())</f>
        <v>0.31765000000000032</v>
      </c>
      <c r="Y13" s="2" cm="1">
        <f t="array" ref="Y13">IF(Y$1&gt;='Iron &amp; Steelmaker Tool'!$D$16,INDEX(Database!AD$2:AD$59,MATCH('Iron &amp; Steelmaker Tool'!$D$14&amp;$A13&amp;'Iron &amp; Steelmaker Tool'!$D$15,Database!$B$2:$B$59&amp;Database!$A$2:$A$59&amp;Database!$H$2:$H$59,0)),NA())</f>
        <v>0.30462500000000037</v>
      </c>
      <c r="Z13" s="2" cm="1">
        <f t="array" ref="Z13">IF(Z$1&gt;='Iron &amp; Steelmaker Tool'!$D$16,INDEX(Database!AE$2:AE$59,MATCH('Iron &amp; Steelmaker Tool'!$D$14&amp;$A13&amp;'Iron &amp; Steelmaker Tool'!$D$15,Database!$B$2:$B$59&amp;Database!$A$2:$A$59&amp;Database!$H$2:$H$59,0)),NA())</f>
        <v>0.29160000000000036</v>
      </c>
      <c r="AA13" s="2" cm="1">
        <f t="array" ref="AA13">IF(AA$1&gt;='Iron &amp; Steelmaker Tool'!$D$16,INDEX(Database!AF$2:AF$59,MATCH('Iron &amp; Steelmaker Tool'!$D$14&amp;$A13&amp;'Iron &amp; Steelmaker Tool'!$D$15,Database!$B$2:$B$59&amp;Database!$A$2:$A$59&amp;Database!$H$2:$H$59,0)),NA())</f>
        <v>0.27857500000000041</v>
      </c>
      <c r="AB13" s="2" cm="1">
        <f t="array" ref="AB13">IF(AB$1&gt;='Iron &amp; Steelmaker Tool'!$D$16,INDEX(Database!AG$2:AG$59,MATCH('Iron &amp; Steelmaker Tool'!$D$14&amp;$A13&amp;'Iron &amp; Steelmaker Tool'!$D$15,Database!$B$2:$B$59&amp;Database!$A$2:$A$59&amp;Database!$H$2:$H$59,0)),NA())</f>
        <v>0.2655500000000004</v>
      </c>
      <c r="AC13" s="2" cm="1">
        <f t="array" ref="AC13">IF(AC$1&gt;='Iron &amp; Steelmaker Tool'!$D$16,INDEX(Database!AH$2:AH$59,MATCH('Iron &amp; Steelmaker Tool'!$D$14&amp;$A13&amp;'Iron &amp; Steelmaker Tool'!$D$15,Database!$B$2:$B$59&amp;Database!$A$2:$A$59&amp;Database!$H$2:$H$59,0)),NA())</f>
        <v>0.25252500000000039</v>
      </c>
      <c r="AD13" s="2" cm="1">
        <f t="array" ref="AD13">IF(AD$1&gt;='Iron &amp; Steelmaker Tool'!$D$16,INDEX(Database!AI$2:AI$59,MATCH('Iron &amp; Steelmaker Tool'!$D$14&amp;$A13&amp;'Iron &amp; Steelmaker Tool'!$D$15,Database!$B$2:$B$59&amp;Database!$A$2:$A$59&amp;Database!$H$2:$H$59,0)),NA())</f>
        <v>0.23950000000000041</v>
      </c>
      <c r="AE13" s="2" cm="1">
        <f t="array" ref="AE13">IF(AE$1&gt;='Iron &amp; Steelmaker Tool'!$D$16,INDEX(Database!AJ$2:AJ$59,MATCH('Iron &amp; Steelmaker Tool'!$D$14&amp;$A13&amp;'Iron &amp; Steelmaker Tool'!$D$15,Database!$B$2:$B$59&amp;Database!$A$2:$A$59&amp;Database!$H$2:$H$59,0)),NA())</f>
        <v>0.2264750000000004</v>
      </c>
      <c r="AF13" s="2" cm="1">
        <f t="array" ref="AF13">IF(AF$1&gt;='Iron &amp; Steelmaker Tool'!$D$16,INDEX(Database!AK$2:AK$59,MATCH('Iron &amp; Steelmaker Tool'!$D$14&amp;$A13&amp;'Iron &amp; Steelmaker Tool'!$D$15,Database!$B$2:$B$59&amp;Database!$A$2:$A$59&amp;Database!$H$2:$H$59,0)),NA())</f>
        <v>0.21345000000000039</v>
      </c>
      <c r="AG13" s="2" cm="1">
        <f t="array" ref="AG13">IF(AG$1&gt;='Iron &amp; Steelmaker Tool'!$D$16,INDEX(Database!AL$2:AL$59,MATCH('Iron &amp; Steelmaker Tool'!$D$14&amp;$A13&amp;'Iron &amp; Steelmaker Tool'!$D$15,Database!$B$2:$B$59&amp;Database!$A$2:$A$59&amp;Database!$H$2:$H$59,0)),NA())</f>
        <v>0.20042500000000038</v>
      </c>
      <c r="AH13" s="2" cm="1">
        <f t="array" ref="AH13">IF(AH$1&gt;='Iron &amp; Steelmaker Tool'!$D$16,INDEX(Database!AM$2:AM$59,MATCH('Iron &amp; Steelmaker Tool'!$D$14&amp;$A13&amp;'Iron &amp; Steelmaker Tool'!$D$15,Database!$B$2:$B$59&amp;Database!$A$2:$A$59&amp;Database!$H$2:$H$59,0)),NA())</f>
        <v>0.18740000000000037</v>
      </c>
      <c r="AI13" s="2" cm="1">
        <f t="array" ref="AI13">IF(AI$1&gt;='Iron &amp; Steelmaker Tool'!$D$16,INDEX(Database!AN$2:AN$59,MATCH('Iron &amp; Steelmaker Tool'!$D$14&amp;$A13&amp;'Iron &amp; Steelmaker Tool'!$D$15,Database!$B$2:$B$59&amp;Database!$A$2:$A$59&amp;Database!$H$2:$H$59,0)),NA())</f>
        <v>0.17437500000000036</v>
      </c>
      <c r="AJ13" s="2" cm="1">
        <f t="array" ref="AJ13">IF(AJ$1&gt;='Iron &amp; Steelmaker Tool'!$D$16,INDEX(Database!AO$2:AO$59,MATCH('Iron &amp; Steelmaker Tool'!$D$14&amp;$A13&amp;'Iron &amp; Steelmaker Tool'!$D$15,Database!$B$2:$B$59&amp;Database!$A$2:$A$59&amp;Database!$H$2:$H$59,0)),NA())</f>
        <v>0.16135000000000035</v>
      </c>
      <c r="AK13" s="2" cm="1">
        <f t="array" ref="AK13">IF(AK$1&gt;='Iron &amp; Steelmaker Tool'!$D$16,INDEX(Database!AP$2:AP$59,MATCH('Iron &amp; Steelmaker Tool'!$D$14&amp;$A13&amp;'Iron &amp; Steelmaker Tool'!$D$15,Database!$B$2:$B$59&amp;Database!$A$2:$A$59&amp;Database!$H$2:$H$59,0)),NA())</f>
        <v>0.14832500000000035</v>
      </c>
      <c r="AL13" s="2" cm="1">
        <f t="array" ref="AL13">IF(AL$1&gt;='Iron &amp; Steelmaker Tool'!$D$16,INDEX(Database!AQ$2:AQ$59,MATCH('Iron &amp; Steelmaker Tool'!$D$14&amp;$A13&amp;'Iron &amp; Steelmaker Tool'!$D$15,Database!$B$2:$B$59&amp;Database!$A$2:$A$59&amp;Database!$H$2:$H$59,0)),NA())</f>
        <v>0.13530000000000036</v>
      </c>
      <c r="AM13" s="2" cm="1">
        <f t="array" ref="AM13">IF(AM$1&gt;='Iron &amp; Steelmaker Tool'!$D$16,INDEX(Database!AR$2:AR$59,MATCH('Iron &amp; Steelmaker Tool'!$D$14&amp;$A13&amp;'Iron &amp; Steelmaker Tool'!$D$15,Database!$B$2:$B$59&amp;Database!$A$2:$A$59&amp;Database!$H$2:$H$59,0)),NA())</f>
        <v>0.12227500000000034</v>
      </c>
      <c r="AN13" s="2" cm="1">
        <f t="array" ref="AN13">IF(AN$1&gt;='Iron &amp; Steelmaker Tool'!$D$16,INDEX(Database!AS$2:AS$59,MATCH('Iron &amp; Steelmaker Tool'!$D$14&amp;$A13&amp;'Iron &amp; Steelmaker Tool'!$D$15,Database!$B$2:$B$59&amp;Database!$A$2:$A$59&amp;Database!$H$2:$H$59,0)),NA())</f>
        <v>0.10925</v>
      </c>
      <c r="AO13" s="2" t="e">
        <f>IF(AO$1&gt;='Iron &amp; Steelmaker Tool'!$D$16,IFERROR(AO11*1000000/AO$8,NA()),NA())</f>
        <v>#N/A</v>
      </c>
      <c r="AP13" s="2" t="e">
        <f>IF(AP$1&gt;='Iron &amp; Steelmaker Tool'!$D$16,IFERROR(AP11*1000000/AP$8,NA()),NA())</f>
        <v>#N/A</v>
      </c>
      <c r="AQ13" s="2" t="e">
        <f>IF(AQ$1&gt;='Iron &amp; Steelmaker Tool'!$D$16,IFERROR(AQ11*1000000/AQ$8,NA()),NA())</f>
        <v>#N/A</v>
      </c>
      <c r="AR13" s="2" t="e">
        <f>IF(AR$1&gt;='Iron &amp; Steelmaker Tool'!$D$16,IFERROR(AR11*1000000/AR$8,NA()),NA())</f>
        <v>#N/A</v>
      </c>
      <c r="AS13" s="2" t="e">
        <f>IF(AS$1&gt;='Iron &amp; Steelmaker Tool'!$D$16,IFERROR(AS11*1000000/AS$8,NA()),NA())</f>
        <v>#N/A</v>
      </c>
      <c r="AT13" s="2" t="e">
        <f>IF(AT$1&gt;='Iron &amp; Steelmaker Tool'!$D$16,IFERROR(AT11*1000000/AT$8,NA()),NA())</f>
        <v>#N/A</v>
      </c>
      <c r="AU13" s="2" t="e">
        <f>IF(AU$1&gt;='Iron &amp; Steelmaker Tool'!$D$16,IFERROR(AU11*1000000/AU$8,NA()),NA())</f>
        <v>#N/A</v>
      </c>
      <c r="AV13" s="2" t="e">
        <f>IF(AV$1&gt;='Iron &amp; Steelmaker Tool'!$D$16,IFERROR(AV11*1000000/AV$8,NA()),NA())</f>
        <v>#N/A</v>
      </c>
      <c r="AW13" s="2" t="e">
        <f>IF(AW$1&gt;='Iron &amp; Steelmaker Tool'!$D$16,IFERROR(AW11*1000000/AW$8,NA()),NA())</f>
        <v>#N/A</v>
      </c>
      <c r="AX13" s="2" t="e">
        <f>IF(AX$1&gt;='Iron &amp; Steelmaker Tool'!$D$16,IFERROR(AX11*1000000/AX$8,NA()),NA())</f>
        <v>#N/A</v>
      </c>
    </row>
    <row r="14" spans="1:91" x14ac:dyDescent="0.15">
      <c r="AO14" s="2" t="e">
        <f>IF(OR(AO1&gt;='Iron &amp; Steelmaker Tool'!$D16,'Iron &amp; Steelmaker Tool'!$D$15="Power"),Calculations!AO12+Calculations!AO13,NA())</f>
        <v>#VALUE!</v>
      </c>
      <c r="AP14" s="2" t="e">
        <f>IF(OR(AP1&gt;='Iron &amp; Steelmaker Tool'!$D16,'Iron &amp; Steelmaker Tool'!$D$15="Power"),Calculations!AP12+Calculations!AP13,NA())</f>
        <v>#VALUE!</v>
      </c>
      <c r="AQ14" s="2" t="e">
        <f>IF(OR(AQ1&gt;='Iron &amp; Steelmaker Tool'!$D16,'Iron &amp; Steelmaker Tool'!$D$15="Power"),Calculations!AQ12+Calculations!AQ13,NA())</f>
        <v>#VALUE!</v>
      </c>
      <c r="AR14" s="2" t="e">
        <f>IF(OR(AR1&gt;='Iron &amp; Steelmaker Tool'!$D16,'Iron &amp; Steelmaker Tool'!$D$15="Power"),Calculations!AR12+Calculations!AR13,NA())</f>
        <v>#VALUE!</v>
      </c>
      <c r="AS14" s="2" t="e">
        <f>IF(OR(AS1&gt;='Iron &amp; Steelmaker Tool'!$D16,'Iron &amp; Steelmaker Tool'!$D$15="Power"),Calculations!AS12+Calculations!AS13,NA())</f>
        <v>#VALUE!</v>
      </c>
      <c r="AT14" s="2" t="e">
        <f>IF(OR(AT1&gt;='Iron &amp; Steelmaker Tool'!$D16,'Iron &amp; Steelmaker Tool'!$D$15="Power"),Calculations!AT12+Calculations!AT13,NA())</f>
        <v>#VALUE!</v>
      </c>
      <c r="AU14" s="2" t="e">
        <f>IF(OR(AU1&gt;='Iron &amp; Steelmaker Tool'!$D16,'Iron &amp; Steelmaker Tool'!$D$15="Power"),Calculations!AU12+Calculations!AU13,NA())</f>
        <v>#VALUE!</v>
      </c>
      <c r="AV14" s="2" t="e">
        <f>IF(OR(AV1&gt;='Iron &amp; Steelmaker Tool'!$D16,'Iron &amp; Steelmaker Tool'!$D$15="Power"),Calculations!AV12+Calculations!AV13,NA())</f>
        <v>#VALUE!</v>
      </c>
      <c r="AW14" s="2" t="e">
        <f>IF(OR(AW1&gt;='Iron &amp; Steelmaker Tool'!$D16,'Iron &amp; Steelmaker Tool'!$D$15="Power"),Calculations!AW12+Calculations!AW13,NA())</f>
        <v>#VALUE!</v>
      </c>
      <c r="AX14" s="2" t="e">
        <f>IF(OR(AX1&gt;='Iron &amp; Steelmaker Tool'!$D16,'Iron &amp; Steelmaker Tool'!$D$15="Power"),Calculations!AX12+Calculations!AX13,NA())</f>
        <v>#VALUE!</v>
      </c>
    </row>
    <row r="15" spans="1:91" s="534" customFormat="1" x14ac:dyDescent="0.15">
      <c r="A15" s="539"/>
      <c r="D15" s="540"/>
      <c r="E15" s="540"/>
      <c r="F15" s="540"/>
      <c r="G15" s="540"/>
      <c r="H15" s="540"/>
      <c r="I15" s="540"/>
      <c r="J15" s="554"/>
      <c r="K15" s="540"/>
      <c r="L15" s="540"/>
      <c r="M15" s="540"/>
      <c r="N15" s="540"/>
      <c r="O15" s="540"/>
      <c r="P15" s="540"/>
      <c r="Q15" s="540"/>
      <c r="R15" s="540"/>
      <c r="S15" s="540"/>
      <c r="T15" s="565"/>
      <c r="U15" s="540"/>
      <c r="V15" s="540"/>
      <c r="W15" s="540"/>
      <c r="X15" s="540"/>
      <c r="Y15" s="540"/>
      <c r="Z15" s="540"/>
      <c r="AA15" s="540"/>
      <c r="AB15" s="540"/>
      <c r="AC15" s="565"/>
      <c r="AD15" s="540"/>
      <c r="AE15" s="540"/>
      <c r="AF15" s="540"/>
      <c r="AG15" s="540"/>
      <c r="AH15" s="540"/>
      <c r="AI15" s="540"/>
      <c r="AJ15" s="540"/>
      <c r="AK15" s="540"/>
      <c r="AL15" s="540"/>
      <c r="AM15" s="540"/>
      <c r="AN15" s="565"/>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0"/>
      <c r="BT15" s="540"/>
      <c r="BU15" s="540"/>
      <c r="BV15" s="540"/>
      <c r="BW15" s="540"/>
      <c r="BX15" s="540"/>
      <c r="BY15" s="540"/>
      <c r="BZ15" s="540"/>
      <c r="CA15" s="540"/>
      <c r="CB15" s="540"/>
      <c r="CC15" s="540"/>
      <c r="CD15" s="540"/>
      <c r="CE15" s="540"/>
      <c r="CF15" s="540"/>
      <c r="CG15" s="540"/>
      <c r="CH15" s="540"/>
      <c r="CI15" s="540"/>
      <c r="CJ15" s="540"/>
      <c r="CK15" s="540"/>
      <c r="CL15" s="540"/>
    </row>
    <row r="16" spans="1:91" x14ac:dyDescent="0.15">
      <c r="A16" t="s">
        <v>215</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row>
    <row r="17" spans="1:90" x14ac:dyDescent="0.15">
      <c r="B17" t="s">
        <v>79</v>
      </c>
      <c r="D17" s="2">
        <f>+D8/$D8</f>
        <v>1</v>
      </c>
      <c r="E17" s="2">
        <f t="shared" ref="E17:AN17" si="0">+E8/$D8</f>
        <v>1</v>
      </c>
      <c r="F17" s="2">
        <f t="shared" si="0"/>
        <v>1</v>
      </c>
      <c r="G17" s="2">
        <f t="shared" si="0"/>
        <v>1</v>
      </c>
      <c r="H17" s="2">
        <f t="shared" si="0"/>
        <v>1</v>
      </c>
      <c r="I17" s="2">
        <f t="shared" si="0"/>
        <v>1</v>
      </c>
      <c r="J17" s="2">
        <f t="shared" si="0"/>
        <v>0.95291599785981806</v>
      </c>
      <c r="K17" s="2">
        <f t="shared" si="0"/>
        <v>1.0066151077387031</v>
      </c>
      <c r="L17" s="2">
        <f t="shared" si="0"/>
        <v>1.0099226616080548</v>
      </c>
      <c r="M17" s="2">
        <f t="shared" si="0"/>
        <v>1.0132302154774064</v>
      </c>
      <c r="N17" s="2">
        <f t="shared" si="0"/>
        <v>1.0165377693467581</v>
      </c>
      <c r="O17" s="2">
        <f t="shared" si="0"/>
        <v>1.0198453232161098</v>
      </c>
      <c r="P17" s="2">
        <f t="shared" si="0"/>
        <v>1.0231528770854614</v>
      </c>
      <c r="Q17" s="2">
        <f t="shared" si="0"/>
        <v>1.0264604309548131</v>
      </c>
      <c r="R17" s="2">
        <f t="shared" si="0"/>
        <v>1.0297679848241648</v>
      </c>
      <c r="S17" s="2">
        <f t="shared" si="0"/>
        <v>1.0330755386935162</v>
      </c>
      <c r="T17" s="2">
        <f t="shared" si="0"/>
        <v>1.0363830925628679</v>
      </c>
      <c r="U17" s="2">
        <f t="shared" si="0"/>
        <v>1.0375066880684858</v>
      </c>
      <c r="V17" s="2">
        <f t="shared" si="0"/>
        <v>1.0386302835741037</v>
      </c>
      <c r="W17" s="2">
        <f t="shared" si="0"/>
        <v>1.0397538790797218</v>
      </c>
      <c r="X17" s="2">
        <f t="shared" si="0"/>
        <v>1.0408774745853397</v>
      </c>
      <c r="Y17" s="2">
        <f t="shared" si="0"/>
        <v>1.0420010700909577</v>
      </c>
      <c r="Z17" s="2">
        <f t="shared" si="0"/>
        <v>1.0431246655965758</v>
      </c>
      <c r="AA17" s="2">
        <f t="shared" si="0"/>
        <v>1.0442482611021937</v>
      </c>
      <c r="AB17" s="2">
        <f t="shared" si="0"/>
        <v>1.0453718566078116</v>
      </c>
      <c r="AC17" s="2">
        <f t="shared" si="0"/>
        <v>1.0464954521134295</v>
      </c>
      <c r="AD17" s="2">
        <f t="shared" si="0"/>
        <v>1.0476190476190477</v>
      </c>
      <c r="AE17" s="2">
        <f t="shared" si="0"/>
        <v>1.0491706795077582</v>
      </c>
      <c r="AF17" s="2">
        <f t="shared" si="0"/>
        <v>1.0507223113964688</v>
      </c>
      <c r="AG17" s="2">
        <f t="shared" si="0"/>
        <v>1.0522739432851793</v>
      </c>
      <c r="AH17" s="2">
        <f t="shared" si="0"/>
        <v>1.0538255751738899</v>
      </c>
      <c r="AI17" s="2">
        <f t="shared" si="0"/>
        <v>1.0553772070626004</v>
      </c>
      <c r="AJ17" s="2">
        <f t="shared" si="0"/>
        <v>1.056928838951311</v>
      </c>
      <c r="AK17" s="2">
        <f t="shared" si="0"/>
        <v>1.0584804708400215</v>
      </c>
      <c r="AL17" s="2">
        <f t="shared" si="0"/>
        <v>1.0600321027287321</v>
      </c>
      <c r="AM17" s="2">
        <f t="shared" si="0"/>
        <v>1.0615837346174424</v>
      </c>
      <c r="AN17" s="2">
        <f t="shared" si="0"/>
        <v>1.0631353665061529</v>
      </c>
      <c r="AO17" s="2">
        <f t="shared" ref="AO17:AX17" si="1">+AO8/$D8</f>
        <v>0</v>
      </c>
      <c r="AP17" s="2">
        <f t="shared" si="1"/>
        <v>0</v>
      </c>
      <c r="AQ17" s="2">
        <f t="shared" si="1"/>
        <v>0</v>
      </c>
      <c r="AR17" s="2">
        <f t="shared" si="1"/>
        <v>0</v>
      </c>
      <c r="AS17" s="2">
        <f t="shared" si="1"/>
        <v>0</v>
      </c>
      <c r="AT17" s="2">
        <f t="shared" si="1"/>
        <v>0</v>
      </c>
      <c r="AU17" s="2">
        <f t="shared" si="1"/>
        <v>0</v>
      </c>
      <c r="AV17" s="2">
        <f t="shared" si="1"/>
        <v>0</v>
      </c>
      <c r="AW17" s="2">
        <f t="shared" si="1"/>
        <v>0</v>
      </c>
      <c r="AX17" s="2">
        <f t="shared" si="1"/>
        <v>0</v>
      </c>
    </row>
    <row r="18" spans="1:90" s="499" customFormat="1" x14ac:dyDescent="0.15">
      <c r="B18" s="499" t="s">
        <v>507</v>
      </c>
      <c r="D18" s="499">
        <f t="shared" ref="D18:H18" si="2">$J$18</f>
        <v>0.32</v>
      </c>
      <c r="E18" s="499">
        <f t="shared" si="2"/>
        <v>0.32</v>
      </c>
      <c r="F18" s="499">
        <f t="shared" si="2"/>
        <v>0.32</v>
      </c>
      <c r="G18" s="499">
        <f t="shared" si="2"/>
        <v>0.32</v>
      </c>
      <c r="H18" s="499">
        <f t="shared" si="2"/>
        <v>0.32</v>
      </c>
      <c r="I18" s="499">
        <f>$J$18</f>
        <v>0.32</v>
      </c>
      <c r="J18" s="499">
        <f>'Steel-data'!J9</f>
        <v>0.32</v>
      </c>
      <c r="K18" s="499">
        <f>'Steel-data'!K9</f>
        <v>0.32600000000000001</v>
      </c>
      <c r="L18" s="499">
        <f>'Steel-data'!L9</f>
        <v>0.33200000000000002</v>
      </c>
      <c r="M18" s="499">
        <f>'Steel-data'!M9</f>
        <v>0.33800000000000002</v>
      </c>
      <c r="N18" s="499">
        <f>'Steel-data'!N9</f>
        <v>0.34400000000000003</v>
      </c>
      <c r="O18" s="499">
        <f>'Steel-data'!O9</f>
        <v>0.35000000000000003</v>
      </c>
      <c r="P18" s="499">
        <f>'Steel-data'!P9</f>
        <v>0.35600000000000004</v>
      </c>
      <c r="Q18" s="499">
        <f>'Steel-data'!Q9</f>
        <v>0.36200000000000004</v>
      </c>
      <c r="R18" s="499">
        <f>'Steel-data'!R9</f>
        <v>0.36800000000000005</v>
      </c>
      <c r="S18" s="499">
        <f>'Steel-data'!S9</f>
        <v>0.37400000000000005</v>
      </c>
      <c r="T18" s="499">
        <f>'Steel-data'!T9</f>
        <v>0.38</v>
      </c>
      <c r="U18" s="499">
        <f>'Steel-data'!U9</f>
        <v>0.38400000000000001</v>
      </c>
      <c r="V18" s="499">
        <f>'Steel-data'!V9</f>
        <v>0.38800000000000001</v>
      </c>
      <c r="W18" s="499">
        <f>'Steel-data'!W9</f>
        <v>0.39200000000000002</v>
      </c>
      <c r="X18" s="499">
        <f>'Steel-data'!X9</f>
        <v>0.39600000000000002</v>
      </c>
      <c r="Y18" s="499">
        <f>'Steel-data'!Y9</f>
        <v>0.4</v>
      </c>
      <c r="Z18" s="499">
        <f>'Steel-data'!Z9</f>
        <v>0.40400000000000003</v>
      </c>
      <c r="AA18" s="499">
        <f>'Steel-data'!AA9</f>
        <v>0.40800000000000003</v>
      </c>
      <c r="AB18" s="499">
        <f>'Steel-data'!AB9</f>
        <v>0.41200000000000003</v>
      </c>
      <c r="AC18" s="499">
        <f>'Steel-data'!AC9</f>
        <v>0.41600000000000004</v>
      </c>
      <c r="AD18" s="499">
        <f>'Steel-data'!AD9</f>
        <v>0.42000000000000004</v>
      </c>
      <c r="AE18" s="499">
        <f>'Steel-data'!AE9</f>
        <v>0.42400000000000004</v>
      </c>
      <c r="AF18" s="499">
        <f>'Steel-data'!AF9</f>
        <v>0.42800000000000005</v>
      </c>
      <c r="AG18" s="499">
        <f>'Steel-data'!AG9</f>
        <v>0.43200000000000005</v>
      </c>
      <c r="AH18" s="499">
        <f>'Steel-data'!AH9</f>
        <v>0.43600000000000005</v>
      </c>
      <c r="AI18" s="499">
        <f>'Steel-data'!AI9</f>
        <v>0.44000000000000006</v>
      </c>
      <c r="AJ18" s="499">
        <f>'Steel-data'!AJ9</f>
        <v>0.44400000000000006</v>
      </c>
      <c r="AK18" s="499">
        <f>'Steel-data'!AK9</f>
        <v>0.44800000000000006</v>
      </c>
      <c r="AL18" s="499">
        <f>'Steel-data'!AL9</f>
        <v>0.45200000000000007</v>
      </c>
      <c r="AM18" s="499">
        <f>'Steel-data'!AM9</f>
        <v>0.45600000000000007</v>
      </c>
      <c r="AN18" s="499">
        <f>'Steel-data'!AN9</f>
        <v>0.46</v>
      </c>
      <c r="AO18" s="605" t="e">
        <f>IF(OR('Iron &amp; Steelmaker Tool'!$D$13=Lists!$N$3,'Iron &amp; Steelmaker Tool'!$D$14=Lists!$A$3),NA(),IF('Iron &amp; Steelmaker Tool'!$D$15=Lists!$B$2,NA(),+AO9/$D9))</f>
        <v>#N/A</v>
      </c>
      <c r="AP18" s="605" t="e">
        <f>IF(OR('Iron &amp; Steelmaker Tool'!$D$13=Lists!$N$3,'Iron &amp; Steelmaker Tool'!$D$14=Lists!$A$3),NA(),IF('Iron &amp; Steelmaker Tool'!$D$15=Lists!$B$2,NA(),+AP9/$D9))</f>
        <v>#N/A</v>
      </c>
      <c r="AQ18" s="605" t="e">
        <f>IF(OR('Iron &amp; Steelmaker Tool'!$D$13=Lists!$N$3,'Iron &amp; Steelmaker Tool'!$D$14=Lists!$A$3),NA(),IF('Iron &amp; Steelmaker Tool'!$D$15=Lists!$B$2,NA(),+AQ9/$D9))</f>
        <v>#N/A</v>
      </c>
      <c r="AR18" s="605" t="e">
        <f>IF(OR('Iron &amp; Steelmaker Tool'!$D$13=Lists!$N$3,'Iron &amp; Steelmaker Tool'!$D$14=Lists!$A$3),NA(),IF('Iron &amp; Steelmaker Tool'!$D$15=Lists!$B$2,NA(),+AR9/$D9))</f>
        <v>#N/A</v>
      </c>
      <c r="AS18" s="605" t="e">
        <f>IF(OR('Iron &amp; Steelmaker Tool'!$D$13=Lists!$N$3,'Iron &amp; Steelmaker Tool'!$D$14=Lists!$A$3),NA(),IF('Iron &amp; Steelmaker Tool'!$D$15=Lists!$B$2,NA(),+AS9/$D9))</f>
        <v>#N/A</v>
      </c>
      <c r="AT18" s="605" t="e">
        <f>IF(OR('Iron &amp; Steelmaker Tool'!$D$13=Lists!$N$3,'Iron &amp; Steelmaker Tool'!$D$14=Lists!$A$3),NA(),IF('Iron &amp; Steelmaker Tool'!$D$15=Lists!$B$2,NA(),+AT9/$D9))</f>
        <v>#N/A</v>
      </c>
      <c r="AU18" s="605" t="e">
        <f>IF(OR('Iron &amp; Steelmaker Tool'!$D$13=Lists!$N$3,'Iron &amp; Steelmaker Tool'!$D$14=Lists!$A$3),NA(),IF('Iron &amp; Steelmaker Tool'!$D$15=Lists!$B$2,NA(),+AU9/$D9))</f>
        <v>#N/A</v>
      </c>
      <c r="AV18" s="605" t="e">
        <f>IF(OR('Iron &amp; Steelmaker Tool'!$D$13=Lists!$N$3,'Iron &amp; Steelmaker Tool'!$D$14=Lists!$A$3),NA(),IF('Iron &amp; Steelmaker Tool'!$D$15=Lists!$B$2,NA(),+AV9/$D9))</f>
        <v>#N/A</v>
      </c>
      <c r="AW18" s="605" t="e">
        <f>IF(OR('Iron &amp; Steelmaker Tool'!$D$13=Lists!$N$3,'Iron &amp; Steelmaker Tool'!$D$14=Lists!$A$3),NA(),IF('Iron &amp; Steelmaker Tool'!$D$15=Lists!$B$2,NA(),+AW9/$D9))</f>
        <v>#N/A</v>
      </c>
      <c r="AX18" s="605" t="e">
        <f>IF(OR('Iron &amp; Steelmaker Tool'!$D$13=Lists!$N$3,'Iron &amp; Steelmaker Tool'!$D$14=Lists!$A$3),NA(),IF('Iron &amp; Steelmaker Tool'!$D$15=Lists!$B$2,NA(),+AX9/$D9))</f>
        <v>#N/A</v>
      </c>
    </row>
    <row r="19" spans="1:90" x14ac:dyDescent="0.15">
      <c r="B19" t="s">
        <v>646</v>
      </c>
      <c r="D19" s="2">
        <f>D18/$J$18</f>
        <v>1</v>
      </c>
      <c r="E19" s="2">
        <f t="shared" ref="E19:I19" si="3">E18/$J$18</f>
        <v>1</v>
      </c>
      <c r="F19" s="2">
        <f t="shared" si="3"/>
        <v>1</v>
      </c>
      <c r="G19" s="2">
        <f t="shared" si="3"/>
        <v>1</v>
      </c>
      <c r="H19" s="2">
        <f t="shared" si="3"/>
        <v>1</v>
      </c>
      <c r="I19" s="2">
        <f t="shared" si="3"/>
        <v>1</v>
      </c>
      <c r="J19" s="2">
        <f>J18/$J$18</f>
        <v>1</v>
      </c>
      <c r="K19" s="2">
        <f t="shared" ref="K19:AN19" si="4">K18/$J$18</f>
        <v>1.01875</v>
      </c>
      <c r="L19" s="2">
        <f t="shared" si="4"/>
        <v>1.0375000000000001</v>
      </c>
      <c r="M19" s="2">
        <f t="shared" si="4"/>
        <v>1.0562500000000001</v>
      </c>
      <c r="N19" s="2">
        <f t="shared" si="4"/>
        <v>1.075</v>
      </c>
      <c r="O19" s="2">
        <f t="shared" si="4"/>
        <v>1.09375</v>
      </c>
      <c r="P19" s="2">
        <f t="shared" si="4"/>
        <v>1.1125</v>
      </c>
      <c r="Q19" s="2">
        <f t="shared" si="4"/>
        <v>1.1312500000000001</v>
      </c>
      <c r="R19" s="2">
        <f t="shared" si="4"/>
        <v>1.1500000000000001</v>
      </c>
      <c r="S19" s="2">
        <f t="shared" si="4"/>
        <v>1.1687500000000002</v>
      </c>
      <c r="T19" s="2">
        <f t="shared" si="4"/>
        <v>1.1875</v>
      </c>
      <c r="U19" s="2">
        <f t="shared" si="4"/>
        <v>1.2</v>
      </c>
      <c r="V19" s="2">
        <f t="shared" si="4"/>
        <v>1.2124999999999999</v>
      </c>
      <c r="W19" s="2">
        <f t="shared" si="4"/>
        <v>1.2250000000000001</v>
      </c>
      <c r="X19" s="2">
        <f t="shared" si="4"/>
        <v>1.2375</v>
      </c>
      <c r="Y19" s="2">
        <f t="shared" si="4"/>
        <v>1.25</v>
      </c>
      <c r="Z19" s="2">
        <f t="shared" si="4"/>
        <v>1.2625</v>
      </c>
      <c r="AA19" s="2">
        <f t="shared" si="4"/>
        <v>1.2750000000000001</v>
      </c>
      <c r="AB19" s="2">
        <f t="shared" si="4"/>
        <v>1.2875000000000001</v>
      </c>
      <c r="AC19" s="2">
        <f t="shared" si="4"/>
        <v>1.3</v>
      </c>
      <c r="AD19" s="2">
        <f t="shared" si="4"/>
        <v>1.3125</v>
      </c>
      <c r="AE19" s="2">
        <f t="shared" si="4"/>
        <v>1.3250000000000002</v>
      </c>
      <c r="AF19" s="2">
        <f t="shared" si="4"/>
        <v>1.3375000000000001</v>
      </c>
      <c r="AG19" s="2">
        <f t="shared" si="4"/>
        <v>1.35</v>
      </c>
      <c r="AH19" s="2">
        <f t="shared" si="4"/>
        <v>1.3625</v>
      </c>
      <c r="AI19" s="2">
        <f t="shared" si="4"/>
        <v>1.3750000000000002</v>
      </c>
      <c r="AJ19" s="2">
        <f t="shared" si="4"/>
        <v>1.3875000000000002</v>
      </c>
      <c r="AK19" s="2">
        <f t="shared" si="4"/>
        <v>1.4000000000000001</v>
      </c>
      <c r="AL19" s="2">
        <f t="shared" si="4"/>
        <v>1.4125000000000001</v>
      </c>
      <c r="AM19" s="2">
        <f t="shared" si="4"/>
        <v>1.4250000000000003</v>
      </c>
      <c r="AN19" s="2">
        <f t="shared" si="4"/>
        <v>1.4375</v>
      </c>
      <c r="AO19" s="2" t="e">
        <f>IF('Iron &amp; Steelmaker Tool'!$D$13=Lists!$N$3,NA(),IF('Iron &amp; Steelmaker Tool'!$D$15=Lists!$B$2,NA(), IF('Iron &amp; Steelmaker Tool'!$D$15=Lists!$B$4,NA(),(AO11*1000000/AO8)/($D11*1000000/$D8))))</f>
        <v>#N/A</v>
      </c>
      <c r="AP19" s="2" t="e">
        <f>IF('Iron &amp; Steelmaker Tool'!$D$13=Lists!$N$3,NA(),IF('Iron &amp; Steelmaker Tool'!$D$15=Lists!$B$2,NA(), IF('Iron &amp; Steelmaker Tool'!$D$15=Lists!$B$4,NA(),(AP11*1000000/AP8)/($D11*1000000/$D8))))</f>
        <v>#N/A</v>
      </c>
      <c r="AQ19" s="2" t="e">
        <f>IF('Iron &amp; Steelmaker Tool'!$D$13=Lists!$N$3,NA(),IF('Iron &amp; Steelmaker Tool'!$D$15=Lists!$B$2,NA(), IF('Iron &amp; Steelmaker Tool'!$D$15=Lists!$B$4,NA(),(AQ11*1000000/AQ8)/($D11*1000000/$D8))))</f>
        <v>#N/A</v>
      </c>
      <c r="AR19" s="2" t="e">
        <f>IF('Iron &amp; Steelmaker Tool'!$D$13=Lists!$N$3,NA(),IF('Iron &amp; Steelmaker Tool'!$D$15=Lists!$B$2,NA(), IF('Iron &amp; Steelmaker Tool'!$D$15=Lists!$B$4,NA(),(AR11*1000000/AR8)/($D11*1000000/$D8))))</f>
        <v>#N/A</v>
      </c>
      <c r="AS19" s="2" t="e">
        <f>IF('Iron &amp; Steelmaker Tool'!$D$13=Lists!$N$3,NA(),IF('Iron &amp; Steelmaker Tool'!$D$15=Lists!$B$2,NA(), IF('Iron &amp; Steelmaker Tool'!$D$15=Lists!$B$4,NA(),(AS11*1000000/AS8)/($D11*1000000/$D8))))</f>
        <v>#N/A</v>
      </c>
      <c r="AT19" s="2" t="e">
        <f>IF('Iron &amp; Steelmaker Tool'!$D$13=Lists!$N$3,NA(),IF('Iron &amp; Steelmaker Tool'!$D$15=Lists!$B$2,NA(), IF('Iron &amp; Steelmaker Tool'!$D$15=Lists!$B$4,NA(),(AT11*1000000/AT8)/($D11*1000000/$D8))))</f>
        <v>#N/A</v>
      </c>
      <c r="AU19" s="2" t="e">
        <f>IF('Iron &amp; Steelmaker Tool'!$D$13=Lists!$N$3,NA(),IF('Iron &amp; Steelmaker Tool'!$D$15=Lists!$B$2,NA(), IF('Iron &amp; Steelmaker Tool'!$D$15=Lists!$B$4,NA(),(AU11*1000000/AU8)/($D11*1000000/$D8))))</f>
        <v>#N/A</v>
      </c>
      <c r="AV19" s="2" t="e">
        <f>IF('Iron &amp; Steelmaker Tool'!$D$13=Lists!$N$3,NA(),IF('Iron &amp; Steelmaker Tool'!$D$15=Lists!$B$2,NA(), IF('Iron &amp; Steelmaker Tool'!$D$15=Lists!$B$4,NA(),(AV11*1000000/AV8)/($D11*1000000/$D8))))</f>
        <v>#N/A</v>
      </c>
      <c r="AW19" s="2" t="e">
        <f>IF('Iron &amp; Steelmaker Tool'!$D$13=Lists!$N$3,NA(),IF('Iron &amp; Steelmaker Tool'!$D$15=Lists!$B$2,NA(), IF('Iron &amp; Steelmaker Tool'!$D$15=Lists!$B$4,NA(),(AW11*1000000/AW8)/($D11*1000000/$D8))))</f>
        <v>#N/A</v>
      </c>
      <c r="AX19" s="2" t="e">
        <f>IF('Iron &amp; Steelmaker Tool'!$D$13=Lists!$N$3,NA(),IF('Iron &amp; Steelmaker Tool'!$D$15=Lists!$B$2,NA(), IF('Iron &amp; Steelmaker Tool'!$D$15=Lists!$B$4,NA(),(AX11*1000000/AX8)/($D11*1000000/$D8))))</f>
        <v>#N/A</v>
      </c>
    </row>
    <row r="20" spans="1:90" x14ac:dyDescent="0.15">
      <c r="B20" t="s">
        <v>672</v>
      </c>
      <c r="D20" s="2">
        <f>(D10*1000000/D8)/($D10*1000000/$D8)</f>
        <v>1</v>
      </c>
      <c r="E20" s="2">
        <f t="shared" ref="E20:AN20" si="5">(E10*1000000/E8)/($D10*1000000/$D8)</f>
        <v>1</v>
      </c>
      <c r="F20" s="2">
        <f t="shared" si="5"/>
        <v>1</v>
      </c>
      <c r="G20" s="2">
        <f t="shared" si="5"/>
        <v>1</v>
      </c>
      <c r="H20" s="2">
        <f t="shared" si="5"/>
        <v>1.0001071598940199</v>
      </c>
      <c r="I20" s="2">
        <f t="shared" si="5"/>
        <v>1</v>
      </c>
      <c r="J20" s="2">
        <f t="shared" si="5"/>
        <v>0.96012255658992851</v>
      </c>
      <c r="K20" s="2">
        <f t="shared" si="5"/>
        <v>0.90639245800996027</v>
      </c>
      <c r="L20" s="2">
        <f t="shared" si="5"/>
        <v>0.87584060118238904</v>
      </c>
      <c r="M20" s="2">
        <f t="shared" si="5"/>
        <v>0.84548170778229703</v>
      </c>
      <c r="N20" s="2">
        <f t="shared" si="5"/>
        <v>0.81531389424878586</v>
      </c>
      <c r="O20" s="2">
        <f t="shared" si="5"/>
        <v>0.78533530145595398</v>
      </c>
      <c r="P20" s="2">
        <f t="shared" si="5"/>
        <v>0.75554409431793934</v>
      </c>
      <c r="Q20" s="2">
        <f t="shared" si="5"/>
        <v>0.72593846140160101</v>
      </c>
      <c r="R20" s="2">
        <f t="shared" si="5"/>
        <v>0.69651661454666192</v>
      </c>
      <c r="S20" s="2">
        <f t="shared" si="5"/>
        <v>0.66727678849315086</v>
      </c>
      <c r="T20" s="2">
        <f t="shared" si="5"/>
        <v>0.63821724051597817</v>
      </c>
      <c r="U20" s="2">
        <f t="shared" si="5"/>
        <v>0.60302373508413865</v>
      </c>
      <c r="V20" s="2">
        <f t="shared" si="5"/>
        <v>0.56790537639618421</v>
      </c>
      <c r="W20" s="2">
        <f t="shared" si="5"/>
        <v>0.53286192083327744</v>
      </c>
      <c r="X20" s="2">
        <f t="shared" si="5"/>
        <v>0.49789312582849748</v>
      </c>
      <c r="Y20" s="2">
        <f t="shared" si="5"/>
        <v>0.46299874986116857</v>
      </c>
      <c r="Z20" s="2">
        <f t="shared" si="5"/>
        <v>0.42817855245122505</v>
      </c>
      <c r="AA20" s="2">
        <f t="shared" si="5"/>
        <v>0.39343229415361303</v>
      </c>
      <c r="AB20" s="2">
        <f t="shared" si="5"/>
        <v>0.35875973655272836</v>
      </c>
      <c r="AC20" s="2">
        <f t="shared" si="5"/>
        <v>0.32416064225688968</v>
      </c>
      <c r="AD20" s="2">
        <f t="shared" si="5"/>
        <v>0.28963477489284778</v>
      </c>
      <c r="AE20" s="2">
        <f t="shared" si="5"/>
        <v>0.2661677085603269</v>
      </c>
      <c r="AF20" s="2">
        <f t="shared" si="5"/>
        <v>0.24276991199801348</v>
      </c>
      <c r="AG20" s="2">
        <f t="shared" si="5"/>
        <v>0.21944107878042288</v>
      </c>
      <c r="AH20" s="2">
        <f t="shared" si="5"/>
        <v>0.19618090428676954</v>
      </c>
      <c r="AI20" s="2">
        <f t="shared" si="5"/>
        <v>0.1729890856877008</v>
      </c>
      <c r="AJ20" s="2">
        <f t="shared" si="5"/>
        <v>0.14986532193214705</v>
      </c>
      <c r="AK20" s="2">
        <f t="shared" si="5"/>
        <v>0.12680931373428778</v>
      </c>
      <c r="AL20" s="2">
        <f t="shared" si="5"/>
        <v>0.10382076356063227</v>
      </c>
      <c r="AM20" s="2">
        <f t="shared" si="5"/>
        <v>8.0899375617213165E-2</v>
      </c>
      <c r="AN20" s="2">
        <f t="shared" si="5"/>
        <v>5.8044855836892548E-2</v>
      </c>
      <c r="AO20" s="2" t="e">
        <f>IF(OR('Iron &amp; Steelmaker Tool'!$D$13=Lists!$N$3,'Iron &amp; Steelmaker Tool'!$D$14=Lists!$A$3),NA(),(AO10*1000000/AO8)/($D10*1000000/$D8))</f>
        <v>#DIV/0!</v>
      </c>
      <c r="AP20" s="2" t="e">
        <f>IF(OR('Iron &amp; Steelmaker Tool'!$D$13=Lists!$N$3,'Iron &amp; Steelmaker Tool'!$D$14=Lists!$A$3),NA(),(AP10*1000000/AP8)/($D10*1000000/$D8))</f>
        <v>#DIV/0!</v>
      </c>
      <c r="AQ20" s="2" t="e">
        <f>IF(OR('Iron &amp; Steelmaker Tool'!$D$13=Lists!$N$3,'Iron &amp; Steelmaker Tool'!$D$14=Lists!$A$3),NA(),(AQ10*1000000/AQ8)/($D10*1000000/$D8))</f>
        <v>#DIV/0!</v>
      </c>
      <c r="AR20" s="2" t="e">
        <f>IF(OR('Iron &amp; Steelmaker Tool'!$D$13=Lists!$N$3,'Iron &amp; Steelmaker Tool'!$D$14=Lists!$A$3),NA(),(AR10*1000000/AR8)/($D10*1000000/$D8))</f>
        <v>#DIV/0!</v>
      </c>
      <c r="AS20" s="2" t="e">
        <f>IF(OR('Iron &amp; Steelmaker Tool'!$D$13=Lists!$N$3,'Iron &amp; Steelmaker Tool'!$D$14=Lists!$A$3),NA(),(AS10*1000000/AS8)/($D10*1000000/$D8))</f>
        <v>#DIV/0!</v>
      </c>
      <c r="AT20" s="2" t="e">
        <f>IF(OR('Iron &amp; Steelmaker Tool'!$D$13=Lists!$N$3,'Iron &amp; Steelmaker Tool'!$D$14=Lists!$A$3),NA(),(AT10*1000000/AT8)/($D10*1000000/$D8))</f>
        <v>#DIV/0!</v>
      </c>
      <c r="AU20" s="2" t="e">
        <f>IF(OR('Iron &amp; Steelmaker Tool'!$D$13=Lists!$N$3,'Iron &amp; Steelmaker Tool'!$D$14=Lists!$A$3),NA(),(AU10*1000000/AU8)/($D10*1000000/$D8))</f>
        <v>#DIV/0!</v>
      </c>
      <c r="AV20" s="2" t="e">
        <f>IF(OR('Iron &amp; Steelmaker Tool'!$D$13=Lists!$N$3,'Iron &amp; Steelmaker Tool'!$D$14=Lists!$A$3),NA(),(AV10*1000000/AV8)/($D10*1000000/$D8))</f>
        <v>#DIV/0!</v>
      </c>
      <c r="AW20" s="2" t="e">
        <f>IF(OR('Iron &amp; Steelmaker Tool'!$D$13=Lists!$N$3,'Iron &amp; Steelmaker Tool'!$D$14=Lists!$A$3),NA(),(AW10*1000000/AW8)/($D10*1000000/$D8))</f>
        <v>#DIV/0!</v>
      </c>
      <c r="AX20" s="2" t="e">
        <f>IF(OR('Iron &amp; Steelmaker Tool'!$D$13=Lists!$N$3,'Iron &amp; Steelmaker Tool'!$D$14=Lists!$A$3),NA(),(AX10*1000000/AX8)/($D10*1000000/$D8))</f>
        <v>#DIV/0!</v>
      </c>
    </row>
    <row r="21" spans="1:90" x14ac:dyDescent="0.15">
      <c r="B21" t="s">
        <v>263</v>
      </c>
      <c r="D21" s="65" t="e">
        <f>HLOOKUP('Iron &amp; Steelmaker Tool'!$D$20,$D$1:$CL$13,ROW($A$8),)/HLOOKUP('Iron &amp; Steelmaker Tool'!$D$16,$D$1:$CL$13,ROW($A$8),)-1</f>
        <v>#N/A</v>
      </c>
      <c r="E21" s="499"/>
    </row>
    <row r="22" spans="1:90" x14ac:dyDescent="0.15">
      <c r="B22" t="s">
        <v>647</v>
      </c>
      <c r="D22" s="65" t="e">
        <f>HLOOKUP('Iron &amp; Steelmaker Tool'!$D$20,$D$1:$CL$20,ROW($A$18),)/HLOOKUP('Iron &amp; Steelmaker Tool'!$D$16,$D$1:$CL$20,ROW($A$18),)-1</f>
        <v>#N/A</v>
      </c>
      <c r="E22" s="499"/>
    </row>
    <row r="24" spans="1:90" x14ac:dyDescent="0.15">
      <c r="A24" s="1" t="s">
        <v>60</v>
      </c>
    </row>
    <row r="25" spans="1:90" x14ac:dyDescent="0.15">
      <c r="D25" s="58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582"/>
      <c r="AD25" s="582"/>
      <c r="AE25" s="582"/>
      <c r="AF25" s="582"/>
      <c r="AG25" s="582"/>
      <c r="AH25" s="582"/>
      <c r="AI25" s="582"/>
      <c r="AJ25" s="582"/>
      <c r="AK25" s="582"/>
      <c r="AL25" s="582"/>
      <c r="AM25" s="582"/>
      <c r="AN25" s="582"/>
    </row>
    <row r="26" spans="1:90" s="87" customFormat="1" x14ac:dyDescent="0.15">
      <c r="A26" s="87" t="s">
        <v>194</v>
      </c>
      <c r="B26" s="87" t="s">
        <v>18</v>
      </c>
      <c r="C26" s="87" t="s">
        <v>193</v>
      </c>
      <c r="D26" s="468">
        <f t="array" ref="D26">IF(AND(OR('Iron &amp; Steelmaker Tool'!$D$15=Lists!$B$3, 'Iron &amp; Steelmaker Tool'!$D$15=Lists!$B$4,'Iron &amp; Steelmaker Tool'!$D$15=Lists!$B$5,'Iron &amp; Steelmaker Tool'!$D$15=Lists!$B$6),'Iron &amp; Steelmaker Tool'!$D$14=Lists!$A$2), INDEX(Database!I$2:I$59,MATCH($A26&amp;$B26&amp;"IEA NZE",Database!$A$2:$A$59&amp;Database!$D$2:$D$59&amp;Database!$B$2:$B$59,)), INDEX(Database!I$2:I$59,MATCH($A26&amp;$B26&amp;'Iron &amp; Steelmaker Tool'!$D$14,Database!$A$2:$A$59&amp;Database!$D$2:$D$59&amp;Database!$B$2:$B$59,)))</f>
        <v>0.57202495010378573</v>
      </c>
      <c r="E26" s="468">
        <f t="array" ref="E26">IF(AND(OR('Iron &amp; Steelmaker Tool'!$D$15=Lists!$B$3, 'Iron &amp; Steelmaker Tool'!$D$15=Lists!$B$4,'Iron &amp; Steelmaker Tool'!$D$15=Lists!$B$5,'Iron &amp; Steelmaker Tool'!$D$15=Lists!$B$6),'Iron &amp; Steelmaker Tool'!$D$14=Lists!$A$2), INDEX(Database!J$2:J$59,MATCH($A26&amp;$B26&amp;"IEA NZE",Database!$A$2:$A$59&amp;Database!$D$2:$D$59&amp;Database!$B$2:$B$59,)), INDEX(Database!J$2:J$59,MATCH($A26&amp;$B26&amp;'Iron &amp; Steelmaker Tool'!$D$14,Database!$A$2:$A$59&amp;Database!$D$2:$D$59&amp;Database!$B$2:$B$59,)))</f>
        <v>0.5462795847930102</v>
      </c>
      <c r="F26" s="468">
        <f t="array" ref="F26">IF(AND(OR('Iron &amp; Steelmaker Tool'!$D$15=Lists!$B$3, 'Iron &amp; Steelmaker Tool'!$D$15=Lists!$B$4,'Iron &amp; Steelmaker Tool'!$D$15=Lists!$B$5,'Iron &amp; Steelmaker Tool'!$D$15=Lists!$B$6),'Iron &amp; Steelmaker Tool'!$D$14=Lists!$A$2), INDEX(Database!K$2:K$59,MATCH($A26&amp;$B26&amp;"IEA NZE",Database!$A$2:$A$59&amp;Database!$D$2:$D$59&amp;Database!$B$2:$B$59,)), INDEX(Database!K$2:K$59,MATCH($A26&amp;$B26&amp;'Iron &amp; Steelmaker Tool'!$D$14,Database!$A$2:$A$59&amp;Database!$D$2:$D$59&amp;Database!$B$2:$B$59,)))</f>
        <v>0.52139984873939516</v>
      </c>
      <c r="G26" s="468">
        <f t="array" ref="G26">IF(AND(OR('Iron &amp; Steelmaker Tool'!$D$15=Lists!$B$3, 'Iron &amp; Steelmaker Tool'!$D$15=Lists!$B$4,'Iron &amp; Steelmaker Tool'!$D$15=Lists!$B$5,'Iron &amp; Steelmaker Tool'!$D$15=Lists!$B$6),'Iron &amp; Steelmaker Tool'!$D$14=Lists!$A$2), INDEX(Database!L$2:L$59,MATCH($A26&amp;$B26&amp;"IEA NZE",Database!$A$2:$A$59&amp;Database!$D$2:$D$59&amp;Database!$B$2:$B$59,)), INDEX(Database!L$2:L$59,MATCH($A26&amp;$B26&amp;'Iron &amp; Steelmaker Tool'!$D$14,Database!$A$2:$A$59&amp;Database!$D$2:$D$59&amp;Database!$B$2:$B$59,)))</f>
        <v>0.49734280652806911</v>
      </c>
      <c r="H26" s="468">
        <f t="array" ref="H26">IF(AND(OR('Iron &amp; Steelmaker Tool'!$D$15=Lists!$B$3, 'Iron &amp; Steelmaker Tool'!$D$15=Lists!$B$4,'Iron &amp; Steelmaker Tool'!$D$15=Lists!$B$5,'Iron &amp; Steelmaker Tool'!$D$15=Lists!$B$6),'Iron &amp; Steelmaker Tool'!$D$14=Lists!$A$2), INDEX(Database!M$2:M$59,MATCH($A26&amp;$B26&amp;"IEA NZE",Database!$A$2:$A$59&amp;Database!$D$2:$D$59&amp;Database!$B$2:$B$59,)), INDEX(Database!M$2:M$59,MATCH($A26&amp;$B26&amp;'Iron &amp; Steelmaker Tool'!$D$14,Database!$A$2:$A$59&amp;Database!$D$2:$D$59&amp;Database!$B$2:$B$59,)))</f>
        <v>0.4740683160370745</v>
      </c>
      <c r="I26" s="468">
        <f t="array" ref="I26">IF(AND(OR('Iron &amp; Steelmaker Tool'!$D$15=Lists!$B$3, 'Iron &amp; Steelmaker Tool'!$D$15=Lists!$B$4,'Iron &amp; Steelmaker Tool'!$D$15=Lists!$B$5,'Iron &amp; Steelmaker Tool'!$D$15=Lists!$B$6),'Iron &amp; Steelmaker Tool'!$D$14=Lists!$A$2), INDEX(Database!N$2:N$59,MATCH($A26&amp;$B26&amp;"IEA NZE",Database!$A$2:$A$59&amp;Database!$D$2:$D$59&amp;Database!$B$2:$B$59,)), INDEX(Database!N$2:N$59,MATCH($A26&amp;$B26&amp;'Iron &amp; Steelmaker Tool'!$D$14,Database!$A$2:$A$59&amp;Database!$D$2:$D$59&amp;Database!$B$2:$B$59,)))</f>
        <v>0.46800000000000003</v>
      </c>
      <c r="J26" s="468">
        <f t="array" ref="J26">IF(AND(OR('Iron &amp; Steelmaker Tool'!$D$15=Lists!$B$3, 'Iron &amp; Steelmaker Tool'!$D$15=Lists!$B$4,'Iron &amp; Steelmaker Tool'!$D$15=Lists!$B$5,'Iron &amp; Steelmaker Tool'!$D$15=Lists!$B$6),'Iron &amp; Steelmaker Tool'!$D$14=Lists!$A$2), INDEX(Database!O$2:O$59,MATCH($A26&amp;$B26&amp;"IEA NZE",Database!$A$2:$A$59&amp;Database!$D$2:$D$59&amp;Database!$B$2:$B$59,)), INDEX(Database!O$2:O$59,MATCH($A26&amp;$B26&amp;'Iron &amp; Steelmaker Tool'!$D$14,Database!$A$2:$A$59&amp;Database!$D$2:$D$59&amp;Database!$B$2:$B$59,)))</f>
        <v>0.438</v>
      </c>
      <c r="K26" s="468">
        <f t="array" ref="K26">IF(AND(OR('Iron &amp; Steelmaker Tool'!$D$15=Lists!$B$3, 'Iron &amp; Steelmaker Tool'!$D$15=Lists!$B$4,'Iron &amp; Steelmaker Tool'!$D$15=Lists!$B$5,'Iron &amp; Steelmaker Tool'!$D$15=Lists!$B$6),'Iron &amp; Steelmaker Tool'!$D$14=Lists!$A$2), INDEX(Database!P$2:P$59,MATCH($A26&amp;$B26&amp;"IEA NZE",Database!$A$2:$A$59&amp;Database!$D$2:$D$59&amp;Database!$B$2:$B$59,)), INDEX(Database!P$2:P$59,MATCH($A26&amp;$B26&amp;'Iron &amp; Steelmaker Tool'!$D$14,Database!$A$2:$A$59&amp;Database!$D$2:$D$59&amp;Database!$B$2:$B$59,)))</f>
        <v>0.40800000000000003</v>
      </c>
      <c r="L26" s="468">
        <f t="array" ref="L26">IF(AND(OR('Iron &amp; Steelmaker Tool'!$D$15=Lists!$B$3, 'Iron &amp; Steelmaker Tool'!$D$15=Lists!$B$4,'Iron &amp; Steelmaker Tool'!$D$15=Lists!$B$5,'Iron &amp; Steelmaker Tool'!$D$15=Lists!$B$6),'Iron &amp; Steelmaker Tool'!$D$14=Lists!$A$2), INDEX(Database!Q$2:Q$59,MATCH($A26&amp;$B26&amp;"IEA NZE",Database!$A$2:$A$59&amp;Database!$D$2:$D$59&amp;Database!$B$2:$B$59,)), INDEX(Database!Q$2:Q$59,MATCH($A26&amp;$B26&amp;'Iron &amp; Steelmaker Tool'!$D$14,Database!$A$2:$A$59&amp;Database!$D$2:$D$59&amp;Database!$B$2:$B$59,)))</f>
        <v>0.378</v>
      </c>
      <c r="M26" s="468">
        <f t="array" ref="M26">IF(AND(OR('Iron &amp; Steelmaker Tool'!$D$15=Lists!$B$3, 'Iron &amp; Steelmaker Tool'!$D$15=Lists!$B$4,'Iron &amp; Steelmaker Tool'!$D$15=Lists!$B$5,'Iron &amp; Steelmaker Tool'!$D$15=Lists!$B$6),'Iron &amp; Steelmaker Tool'!$D$14=Lists!$A$2), INDEX(Database!R$2:R$59,MATCH($A26&amp;$B26&amp;"IEA NZE",Database!$A$2:$A$59&amp;Database!$D$2:$D$59&amp;Database!$B$2:$B$59,)), INDEX(Database!R$2:R$59,MATCH($A26&amp;$B26&amp;'Iron &amp; Steelmaker Tool'!$D$14,Database!$A$2:$A$59&amp;Database!$D$2:$D$59&amp;Database!$B$2:$B$59,)))</f>
        <v>0.34800000000000003</v>
      </c>
      <c r="N26" s="468">
        <f t="array" ref="N26">IF(AND(OR('Iron &amp; Steelmaker Tool'!$D$15=Lists!$B$3, 'Iron &amp; Steelmaker Tool'!$D$15=Lists!$B$4,'Iron &amp; Steelmaker Tool'!$D$15=Lists!$B$5,'Iron &amp; Steelmaker Tool'!$D$15=Lists!$B$6),'Iron &amp; Steelmaker Tool'!$D$14=Lists!$A$2), INDEX(Database!S$2:S$59,MATCH($A26&amp;$B26&amp;"IEA NZE",Database!$A$2:$A$59&amp;Database!$D$2:$D$59&amp;Database!$B$2:$B$59,)), INDEX(Database!S$2:S$59,MATCH($A26&amp;$B26&amp;'Iron &amp; Steelmaker Tool'!$D$14,Database!$A$2:$A$59&amp;Database!$D$2:$D$59&amp;Database!$B$2:$B$59,)))</f>
        <v>0.318</v>
      </c>
      <c r="O26" s="468">
        <f t="array" ref="O26">IF(AND(OR('Iron &amp; Steelmaker Tool'!$D$15=Lists!$B$3, 'Iron &amp; Steelmaker Tool'!$D$15=Lists!$B$4,'Iron &amp; Steelmaker Tool'!$D$15=Lists!$B$5,'Iron &amp; Steelmaker Tool'!$D$15=Lists!$B$6),'Iron &amp; Steelmaker Tool'!$D$14=Lists!$A$2), INDEX(Database!T$2:T$59,MATCH($A26&amp;$B26&amp;"IEA NZE",Database!$A$2:$A$59&amp;Database!$D$2:$D$59&amp;Database!$B$2:$B$59,)), INDEX(Database!T$2:T$59,MATCH($A26&amp;$B26&amp;'Iron &amp; Steelmaker Tool'!$D$14,Database!$A$2:$A$59&amp;Database!$D$2:$D$59&amp;Database!$B$2:$B$59,)))</f>
        <v>0.28800000000000003</v>
      </c>
      <c r="P26" s="468">
        <f t="array" ref="P26">IF(AND(OR('Iron &amp; Steelmaker Tool'!$D$15=Lists!$B$3, 'Iron &amp; Steelmaker Tool'!$D$15=Lists!$B$4,'Iron &amp; Steelmaker Tool'!$D$15=Lists!$B$5,'Iron &amp; Steelmaker Tool'!$D$15=Lists!$B$6),'Iron &amp; Steelmaker Tool'!$D$14=Lists!$A$2), INDEX(Database!U$2:U$59,MATCH($A26&amp;$B26&amp;"IEA NZE",Database!$A$2:$A$59&amp;Database!$D$2:$D$59&amp;Database!$B$2:$B$59,)), INDEX(Database!U$2:U$59,MATCH($A26&amp;$B26&amp;'Iron &amp; Steelmaker Tool'!$D$14,Database!$A$2:$A$59&amp;Database!$D$2:$D$59&amp;Database!$B$2:$B$59,)))</f>
        <v>0.25800000000000001</v>
      </c>
      <c r="Q26" s="468">
        <f t="array" ref="Q26">IF(AND(OR('Iron &amp; Steelmaker Tool'!$D$15=Lists!$B$3, 'Iron &amp; Steelmaker Tool'!$D$15=Lists!$B$4,'Iron &amp; Steelmaker Tool'!$D$15=Lists!$B$5,'Iron &amp; Steelmaker Tool'!$D$15=Lists!$B$6),'Iron &amp; Steelmaker Tool'!$D$14=Lists!$A$2), INDEX(Database!V$2:V$59,MATCH($A26&amp;$B26&amp;"IEA NZE",Database!$A$2:$A$59&amp;Database!$D$2:$D$59&amp;Database!$B$2:$B$59,)), INDEX(Database!V$2:V$59,MATCH($A26&amp;$B26&amp;'Iron &amp; Steelmaker Tool'!$D$14,Database!$A$2:$A$59&amp;Database!$D$2:$D$59&amp;Database!$B$2:$B$59,)))</f>
        <v>0.22800000000000001</v>
      </c>
      <c r="R26" s="468">
        <f t="array" ref="R26">IF(AND(OR('Iron &amp; Steelmaker Tool'!$D$15=Lists!$B$3, 'Iron &amp; Steelmaker Tool'!$D$15=Lists!$B$4,'Iron &amp; Steelmaker Tool'!$D$15=Lists!$B$5,'Iron &amp; Steelmaker Tool'!$D$15=Lists!$B$6),'Iron &amp; Steelmaker Tool'!$D$14=Lists!$A$2), INDEX(Database!W$2:W$59,MATCH($A26&amp;$B26&amp;"IEA NZE",Database!$A$2:$A$59&amp;Database!$D$2:$D$59&amp;Database!$B$2:$B$59,)), INDEX(Database!W$2:W$59,MATCH($A26&amp;$B26&amp;'Iron &amp; Steelmaker Tool'!$D$14,Database!$A$2:$A$59&amp;Database!$D$2:$D$59&amp;Database!$B$2:$B$59,)))</f>
        <v>0.19800000000000001</v>
      </c>
      <c r="S26" s="468">
        <f t="array" ref="S26">IF(AND(OR('Iron &amp; Steelmaker Tool'!$D$15=Lists!$B$3, 'Iron &amp; Steelmaker Tool'!$D$15=Lists!$B$4,'Iron &amp; Steelmaker Tool'!$D$15=Lists!$B$5,'Iron &amp; Steelmaker Tool'!$D$15=Lists!$B$6),'Iron &amp; Steelmaker Tool'!$D$14=Lists!$A$2), INDEX(Database!X$2:X$59,MATCH($A26&amp;$B26&amp;"IEA NZE",Database!$A$2:$A$59&amp;Database!$D$2:$D$59&amp;Database!$B$2:$B$59,)), INDEX(Database!X$2:X$59,MATCH($A26&amp;$B26&amp;'Iron &amp; Steelmaker Tool'!$D$14,Database!$A$2:$A$59&amp;Database!$D$2:$D$59&amp;Database!$B$2:$B$59,)))</f>
        <v>0.16799999999999998</v>
      </c>
      <c r="T26" s="468">
        <f t="array" ref="T26">IF(AND(OR('Iron &amp; Steelmaker Tool'!$D$15=Lists!$B$3, 'Iron &amp; Steelmaker Tool'!$D$15=Lists!$B$4,'Iron &amp; Steelmaker Tool'!$D$15=Lists!$B$5,'Iron &amp; Steelmaker Tool'!$D$15=Lists!$B$6),'Iron &amp; Steelmaker Tool'!$D$14=Lists!$A$2), INDEX(Database!Y$2:Y$59,MATCH($A26&amp;$B26&amp;"IEA NZE",Database!$A$2:$A$59&amp;Database!$D$2:$D$59&amp;Database!$B$2:$B$59,)), INDEX(Database!Y$2:Y$59,MATCH($A26&amp;$B26&amp;'Iron &amp; Steelmaker Tool'!$D$14,Database!$A$2:$A$59&amp;Database!$D$2:$D$59&amp;Database!$B$2:$B$59,)))</f>
        <v>0.13800000000000001</v>
      </c>
      <c r="U26" s="468">
        <f t="array" ref="U26">IF(AND(OR('Iron &amp; Steelmaker Tool'!$D$15=Lists!$B$3, 'Iron &amp; Steelmaker Tool'!$D$15=Lists!$B$4,'Iron &amp; Steelmaker Tool'!$D$15=Lists!$B$5,'Iron &amp; Steelmaker Tool'!$D$15=Lists!$B$6),'Iron &amp; Steelmaker Tool'!$D$14=Lists!$A$2), INDEX(Database!Z$2:Z$59,MATCH($A26&amp;$B26&amp;"IEA NZE",Database!$A$2:$A$59&amp;Database!$D$2:$D$59&amp;Database!$B$2:$B$59,)), INDEX(Database!Z$2:Z$59,MATCH($A26&amp;$B26&amp;'Iron &amp; Steelmaker Tool'!$D$14,Database!$A$2:$A$59&amp;Database!$D$2:$D$59&amp;Database!$B$2:$B$59,)))</f>
        <v>0.12410000000000002</v>
      </c>
      <c r="V26" s="468">
        <f t="array" ref="V26">IF(AND(OR('Iron &amp; Steelmaker Tool'!$D$15=Lists!$B$3, 'Iron &amp; Steelmaker Tool'!$D$15=Lists!$B$4,'Iron &amp; Steelmaker Tool'!$D$15=Lists!$B$5,'Iron &amp; Steelmaker Tool'!$D$15=Lists!$B$6),'Iron &amp; Steelmaker Tool'!$D$14=Lists!$A$2), INDEX(Database!AA$2:AA$59,MATCH($A26&amp;$B26&amp;"IEA NZE",Database!$A$2:$A$59&amp;Database!$D$2:$D$59&amp;Database!$B$2:$B$59,)), INDEX(Database!AA$2:AA$59,MATCH($A26&amp;$B26&amp;'Iron &amp; Steelmaker Tool'!$D$14,Database!$A$2:$A$59&amp;Database!$D$2:$D$59&amp;Database!$B$2:$B$59,)))</f>
        <v>0.11020000000000001</v>
      </c>
      <c r="W26" s="468">
        <f t="array" ref="W26">IF(AND(OR('Iron &amp; Steelmaker Tool'!$D$15=Lists!$B$3, 'Iron &amp; Steelmaker Tool'!$D$15=Lists!$B$4,'Iron &amp; Steelmaker Tool'!$D$15=Lists!$B$5,'Iron &amp; Steelmaker Tool'!$D$15=Lists!$B$6),'Iron &amp; Steelmaker Tool'!$D$14=Lists!$A$2), INDEX(Database!AB$2:AB$59,MATCH($A26&amp;$B26&amp;"IEA NZE",Database!$A$2:$A$59&amp;Database!$D$2:$D$59&amp;Database!$B$2:$B$59,)), INDEX(Database!AB$2:AB$59,MATCH($A26&amp;$B26&amp;'Iron &amp; Steelmaker Tool'!$D$14,Database!$A$2:$A$59&amp;Database!$D$2:$D$59&amp;Database!$B$2:$B$59,)))</f>
        <v>9.6300000000000011E-2</v>
      </c>
      <c r="X26" s="468">
        <f t="array" ref="X26">IF(AND(OR('Iron &amp; Steelmaker Tool'!$D$15=Lists!$B$3, 'Iron &amp; Steelmaker Tool'!$D$15=Lists!$B$4,'Iron &amp; Steelmaker Tool'!$D$15=Lists!$B$5,'Iron &amp; Steelmaker Tool'!$D$15=Lists!$B$6),'Iron &amp; Steelmaker Tool'!$D$14=Lists!$A$2), INDEX(Database!AC$2:AC$59,MATCH($A26&amp;$B26&amp;"IEA NZE",Database!$A$2:$A$59&amp;Database!$D$2:$D$59&amp;Database!$B$2:$B$59,)), INDEX(Database!AC$2:AC$59,MATCH($A26&amp;$B26&amp;'Iron &amp; Steelmaker Tool'!$D$14,Database!$A$2:$A$59&amp;Database!$D$2:$D$59&amp;Database!$B$2:$B$59,)))</f>
        <v>8.2400000000000001E-2</v>
      </c>
      <c r="Y26" s="468">
        <f t="array" ref="Y26">IF(AND(OR('Iron &amp; Steelmaker Tool'!$D$15=Lists!$B$3, 'Iron &amp; Steelmaker Tool'!$D$15=Lists!$B$4,'Iron &amp; Steelmaker Tool'!$D$15=Lists!$B$5,'Iron &amp; Steelmaker Tool'!$D$15=Lists!$B$6),'Iron &amp; Steelmaker Tool'!$D$14=Lists!$A$2), INDEX(Database!AD$2:AD$59,MATCH($A26&amp;$B26&amp;"IEA NZE",Database!$A$2:$A$59&amp;Database!$D$2:$D$59&amp;Database!$B$2:$B$59,)), INDEX(Database!AD$2:AD$59,MATCH($A26&amp;$B26&amp;'Iron &amp; Steelmaker Tool'!$D$14,Database!$A$2:$A$59&amp;Database!$D$2:$D$59&amp;Database!$B$2:$B$59,)))</f>
        <v>6.8500000000000005E-2</v>
      </c>
      <c r="Z26" s="468">
        <f t="array" ref="Z26">IF(AND(OR('Iron &amp; Steelmaker Tool'!$D$15=Lists!$B$3, 'Iron &amp; Steelmaker Tool'!$D$15=Lists!$B$4,'Iron &amp; Steelmaker Tool'!$D$15=Lists!$B$5,'Iron &amp; Steelmaker Tool'!$D$15=Lists!$B$6),'Iron &amp; Steelmaker Tool'!$D$14=Lists!$A$2), INDEX(Database!AE$2:AE$59,MATCH($A26&amp;$B26&amp;"IEA NZE",Database!$A$2:$A$59&amp;Database!$D$2:$D$59&amp;Database!$B$2:$B$59,)), INDEX(Database!AE$2:AE$59,MATCH($A26&amp;$B26&amp;'Iron &amp; Steelmaker Tool'!$D$14,Database!$A$2:$A$59&amp;Database!$D$2:$D$59&amp;Database!$B$2:$B$59,)))</f>
        <v>5.460000000000001E-2</v>
      </c>
      <c r="AA26" s="468">
        <f t="array" ref="AA26">IF(AND(OR('Iron &amp; Steelmaker Tool'!$D$15=Lists!$B$3, 'Iron &amp; Steelmaker Tool'!$D$15=Lists!$B$4,'Iron &amp; Steelmaker Tool'!$D$15=Lists!$B$5,'Iron &amp; Steelmaker Tool'!$D$15=Lists!$B$6),'Iron &amp; Steelmaker Tool'!$D$14=Lists!$A$2), INDEX(Database!AF$2:AF$59,MATCH($A26&amp;$B26&amp;"IEA NZE",Database!$A$2:$A$59&amp;Database!$D$2:$D$59&amp;Database!$B$2:$B$59,)), INDEX(Database!AF$2:AF$59,MATCH($A26&amp;$B26&amp;'Iron &amp; Steelmaker Tool'!$D$14,Database!$A$2:$A$59&amp;Database!$D$2:$D$59&amp;Database!$B$2:$B$59,)))</f>
        <v>4.07E-2</v>
      </c>
      <c r="AB26" s="468">
        <f t="array" ref="AB26">IF(AND(OR('Iron &amp; Steelmaker Tool'!$D$15=Lists!$B$3, 'Iron &amp; Steelmaker Tool'!$D$15=Lists!$B$4,'Iron &amp; Steelmaker Tool'!$D$15=Lists!$B$5,'Iron &amp; Steelmaker Tool'!$D$15=Lists!$B$6),'Iron &amp; Steelmaker Tool'!$D$14=Lists!$A$2), INDEX(Database!AG$2:AG$59,MATCH($A26&amp;$B26&amp;"IEA NZE",Database!$A$2:$A$59&amp;Database!$D$2:$D$59&amp;Database!$B$2:$B$59,)), INDEX(Database!AG$2:AG$59,MATCH($A26&amp;$B26&amp;'Iron &amp; Steelmaker Tool'!$D$14,Database!$A$2:$A$59&amp;Database!$D$2:$D$59&amp;Database!$B$2:$B$59,)))</f>
        <v>2.6800000000000004E-2</v>
      </c>
      <c r="AC26" s="468">
        <f t="array" ref="AC26">IF(AND(OR('Iron &amp; Steelmaker Tool'!$D$15=Lists!$B$3, 'Iron &amp; Steelmaker Tool'!$D$15=Lists!$B$4,'Iron &amp; Steelmaker Tool'!$D$15=Lists!$B$5,'Iron &amp; Steelmaker Tool'!$D$15=Lists!$B$6),'Iron &amp; Steelmaker Tool'!$D$14=Lists!$A$2), INDEX(Database!AH$2:AH$59,MATCH($A26&amp;$B26&amp;"IEA NZE",Database!$A$2:$A$59&amp;Database!$D$2:$D$59&amp;Database!$B$2:$B$59,)), INDEX(Database!AH$2:AH$59,MATCH($A26&amp;$B26&amp;'Iron &amp; Steelmaker Tool'!$D$14,Database!$A$2:$A$59&amp;Database!$D$2:$D$59&amp;Database!$B$2:$B$59,)))</f>
        <v>1.2899999999999995E-2</v>
      </c>
      <c r="AD26" s="468">
        <f t="array" ref="AD26">IF(AND(OR('Iron &amp; Steelmaker Tool'!$D$15=Lists!$B$3, 'Iron &amp; Steelmaker Tool'!$D$15=Lists!$B$4,'Iron &amp; Steelmaker Tool'!$D$15=Lists!$B$5,'Iron &amp; Steelmaker Tool'!$D$15=Lists!$B$6),'Iron &amp; Steelmaker Tool'!$D$14=Lists!$A$2), INDEX(Database!AI$2:AI$59,MATCH($A26&amp;$B26&amp;"IEA NZE",Database!$A$2:$A$59&amp;Database!$D$2:$D$59&amp;Database!$B$2:$B$59,)), INDEX(Database!AI$2:AI$59,MATCH($A26&amp;$B26&amp;'Iron &amp; Steelmaker Tool'!$D$14,Database!$A$2:$A$59&amp;Database!$D$2:$D$59&amp;Database!$B$2:$B$59,)))</f>
        <v>-1E-3</v>
      </c>
      <c r="AE26" s="468">
        <f t="array" ref="AE26">IF(AND(OR('Iron &amp; Steelmaker Tool'!$D$15=Lists!$B$3, 'Iron &amp; Steelmaker Tool'!$D$15=Lists!$B$4,'Iron &amp; Steelmaker Tool'!$D$15=Lists!$B$5,'Iron &amp; Steelmaker Tool'!$D$15=Lists!$B$6),'Iron &amp; Steelmaker Tool'!$D$14=Lists!$A$2), INDEX(Database!AJ$2:AJ$59,MATCH($A26&amp;$B26&amp;"IEA NZE",Database!$A$2:$A$59&amp;Database!$D$2:$D$59&amp;Database!$B$2:$B$59,)), INDEX(Database!AJ$2:AJ$59,MATCH($A26&amp;$B26&amp;'Iron &amp; Steelmaker Tool'!$D$14,Database!$A$2:$A$59&amp;Database!$D$2:$D$59&amp;Database!$B$2:$B$59,)))</f>
        <v>-1.4E-3</v>
      </c>
      <c r="AF26" s="468">
        <f t="array" ref="AF26">IF(AND(OR('Iron &amp; Steelmaker Tool'!$D$15=Lists!$B$3, 'Iron &amp; Steelmaker Tool'!$D$15=Lists!$B$4,'Iron &amp; Steelmaker Tool'!$D$15=Lists!$B$5,'Iron &amp; Steelmaker Tool'!$D$15=Lists!$B$6),'Iron &amp; Steelmaker Tool'!$D$14=Lists!$A$2), INDEX(Database!AK$2:AK$59,MATCH($A26&amp;$B26&amp;"IEA NZE",Database!$A$2:$A$59&amp;Database!$D$2:$D$59&amp;Database!$B$2:$B$59,)), INDEX(Database!AK$2:AK$59,MATCH($A26&amp;$B26&amp;'Iron &amp; Steelmaker Tool'!$D$14,Database!$A$2:$A$59&amp;Database!$D$2:$D$59&amp;Database!$B$2:$B$59,)))</f>
        <v>-1.8E-3</v>
      </c>
      <c r="AG26" s="468">
        <f t="array" ref="AG26">IF(AND(OR('Iron &amp; Steelmaker Tool'!$D$15=Lists!$B$3, 'Iron &amp; Steelmaker Tool'!$D$15=Lists!$B$4,'Iron &amp; Steelmaker Tool'!$D$15=Lists!$B$5,'Iron &amp; Steelmaker Tool'!$D$15=Lists!$B$6),'Iron &amp; Steelmaker Tool'!$D$14=Lists!$A$2), INDEX(Database!AL$2:AL$59,MATCH($A26&amp;$B26&amp;"IEA NZE",Database!$A$2:$A$59&amp;Database!$D$2:$D$59&amp;Database!$B$2:$B$59,)), INDEX(Database!AL$2:AL$59,MATCH($A26&amp;$B26&amp;'Iron &amp; Steelmaker Tool'!$D$14,Database!$A$2:$A$59&amp;Database!$D$2:$D$59&amp;Database!$B$2:$B$59,)))</f>
        <v>-2.2000000000000001E-3</v>
      </c>
      <c r="AH26" s="468">
        <f t="array" ref="AH26">IF(AND(OR('Iron &amp; Steelmaker Tool'!$D$15=Lists!$B$3, 'Iron &amp; Steelmaker Tool'!$D$15=Lists!$B$4,'Iron &amp; Steelmaker Tool'!$D$15=Lists!$B$5,'Iron &amp; Steelmaker Tool'!$D$15=Lists!$B$6),'Iron &amp; Steelmaker Tool'!$D$14=Lists!$A$2), INDEX(Database!AM$2:AM$59,MATCH($A26&amp;$B26&amp;"IEA NZE",Database!$A$2:$A$59&amp;Database!$D$2:$D$59&amp;Database!$B$2:$B$59,)), INDEX(Database!AM$2:AM$59,MATCH($A26&amp;$B26&amp;'Iron &amp; Steelmaker Tool'!$D$14,Database!$A$2:$A$59&amp;Database!$D$2:$D$59&amp;Database!$B$2:$B$59,)))</f>
        <v>-2.5999999999999999E-3</v>
      </c>
      <c r="AI26" s="468">
        <f t="array" ref="AI26">IF(AND(OR('Iron &amp; Steelmaker Tool'!$D$15=Lists!$B$3, 'Iron &amp; Steelmaker Tool'!$D$15=Lists!$B$4,'Iron &amp; Steelmaker Tool'!$D$15=Lists!$B$5,'Iron &amp; Steelmaker Tool'!$D$15=Lists!$B$6),'Iron &amp; Steelmaker Tool'!$D$14=Lists!$A$2), INDEX(Database!AN$2:AN$59,MATCH($A26&amp;$B26&amp;"IEA NZE",Database!$A$2:$A$59&amp;Database!$D$2:$D$59&amp;Database!$B$2:$B$59,)), INDEX(Database!AN$2:AN$59,MATCH($A26&amp;$B26&amp;'Iron &amp; Steelmaker Tool'!$D$14,Database!$A$2:$A$59&amp;Database!$D$2:$D$59&amp;Database!$B$2:$B$59,)))</f>
        <v>-3.0000000000000001E-3</v>
      </c>
      <c r="AJ26" s="468">
        <f t="array" ref="AJ26">IF(AND(OR('Iron &amp; Steelmaker Tool'!$D$15=Lists!$B$3, 'Iron &amp; Steelmaker Tool'!$D$15=Lists!$B$4,'Iron &amp; Steelmaker Tool'!$D$15=Lists!$B$5,'Iron &amp; Steelmaker Tool'!$D$15=Lists!$B$6),'Iron &amp; Steelmaker Tool'!$D$14=Lists!$A$2), INDEX(Database!AO$2:AO$59,MATCH($A26&amp;$B26&amp;"IEA NZE",Database!$A$2:$A$59&amp;Database!$D$2:$D$59&amp;Database!$B$2:$B$59,)), INDEX(Database!AO$2:AO$59,MATCH($A26&amp;$B26&amp;'Iron &amp; Steelmaker Tool'!$D$14,Database!$A$2:$A$59&amp;Database!$D$2:$D$59&amp;Database!$B$2:$B$59,)))</f>
        <v>-3.4000000000000002E-3</v>
      </c>
      <c r="AK26" s="468">
        <f t="array" ref="AK26">IF(AND(OR('Iron &amp; Steelmaker Tool'!$D$15=Lists!$B$3, 'Iron &amp; Steelmaker Tool'!$D$15=Lists!$B$4,'Iron &amp; Steelmaker Tool'!$D$15=Lists!$B$5,'Iron &amp; Steelmaker Tool'!$D$15=Lists!$B$6),'Iron &amp; Steelmaker Tool'!$D$14=Lists!$A$2), INDEX(Database!AP$2:AP$59,MATCH($A26&amp;$B26&amp;"IEA NZE",Database!$A$2:$A$59&amp;Database!$D$2:$D$59&amp;Database!$B$2:$B$59,)), INDEX(Database!AP$2:AP$59,MATCH($A26&amp;$B26&amp;'Iron &amp; Steelmaker Tool'!$D$14,Database!$A$2:$A$59&amp;Database!$D$2:$D$59&amp;Database!$B$2:$B$59,)))</f>
        <v>-3.8E-3</v>
      </c>
      <c r="AL26" s="468">
        <f t="array" ref="AL26">IF(AND(OR('Iron &amp; Steelmaker Tool'!$D$15=Lists!$B$3, 'Iron &amp; Steelmaker Tool'!$D$15=Lists!$B$4,'Iron &amp; Steelmaker Tool'!$D$15=Lists!$B$5,'Iron &amp; Steelmaker Tool'!$D$15=Lists!$B$6),'Iron &amp; Steelmaker Tool'!$D$14=Lists!$A$2), INDEX(Database!AQ$2:AQ$59,MATCH($A26&amp;$B26&amp;"IEA NZE",Database!$A$2:$A$59&amp;Database!$D$2:$D$59&amp;Database!$B$2:$B$59,)), INDEX(Database!AQ$2:AQ$59,MATCH($A26&amp;$B26&amp;'Iron &amp; Steelmaker Tool'!$D$14,Database!$A$2:$A$59&amp;Database!$D$2:$D$59&amp;Database!$B$2:$B$59,)))</f>
        <v>-4.2000000000000006E-3</v>
      </c>
      <c r="AM26" s="468">
        <f t="array" ref="AM26">IF(AND(OR('Iron &amp; Steelmaker Tool'!$D$15=Lists!$B$3, 'Iron &amp; Steelmaker Tool'!$D$15=Lists!$B$4,'Iron &amp; Steelmaker Tool'!$D$15=Lists!$B$5,'Iron &amp; Steelmaker Tool'!$D$15=Lists!$B$6),'Iron &amp; Steelmaker Tool'!$D$14=Lists!$A$2), INDEX(Database!AR$2:AR$59,MATCH($A26&amp;$B26&amp;"IEA NZE",Database!$A$2:$A$59&amp;Database!$D$2:$D$59&amp;Database!$B$2:$B$59,)), INDEX(Database!AR$2:AR$59,MATCH($A26&amp;$B26&amp;'Iron &amp; Steelmaker Tool'!$D$14,Database!$A$2:$A$59&amp;Database!$D$2:$D$59&amp;Database!$B$2:$B$59,)))</f>
        <v>-4.5999999999999999E-3</v>
      </c>
      <c r="AN26" s="468">
        <f t="array" ref="AN26">IF(AND(OR('Iron &amp; Steelmaker Tool'!$D$15=Lists!$B$3, 'Iron &amp; Steelmaker Tool'!$D$15=Lists!$B$4,'Iron &amp; Steelmaker Tool'!$D$15=Lists!$B$5,'Iron &amp; Steelmaker Tool'!$D$15=Lists!$B$6),'Iron &amp; Steelmaker Tool'!$D$14=Lists!$A$2), INDEX(Database!AS$2:AS$59,MATCH($A26&amp;$B26&amp;"IEA NZE",Database!$A$2:$A$59&amp;Database!$D$2:$D$59&amp;Database!$B$2:$B$59,)), INDEX(Database!AS$2:AS$59,MATCH($A26&amp;$B26&amp;'Iron &amp; Steelmaker Tool'!$D$14,Database!$A$2:$A$59&amp;Database!$D$2:$D$59&amp;Database!$B$2:$B$59,)))</f>
        <v>-5.0000000000000001E-3</v>
      </c>
      <c r="AO26" s="468">
        <f t="array" ref="AO26">IF(AND(OR('Iron &amp; Steelmaker Tool'!$D$15=Lists!$B$3, 'Iron &amp; Steelmaker Tool'!$D$15=Lists!$B$4,'Iron &amp; Steelmaker Tool'!$D$15=Lists!$B$5,'Iron &amp; Steelmaker Tool'!$D$15=Lists!$B$6),'Iron &amp; Steelmaker Tool'!$D$14=Lists!$A$2), INDEX(Database!AT$2:AT$59,MATCH($A26&amp;$B26&amp;"IEA NZE",Database!$A$2:$A$59&amp;Database!$D$2:$D$59&amp;Database!$B$2:$B$59,)), INDEX(Database!AT$2:AT$59,MATCH($A26&amp;$B26&amp;'Iron &amp; Steelmaker Tool'!$D$14,Database!$A$2:$A$59&amp;Database!$D$2:$D$59&amp;Database!$B$2:$B$59,)))</f>
        <v>0</v>
      </c>
      <c r="AP26" s="468">
        <f t="array" ref="AP26">IF(AND(OR('Iron &amp; Steelmaker Tool'!$D$15=Lists!$B$3, 'Iron &amp; Steelmaker Tool'!$D$15=Lists!$B$4,'Iron &amp; Steelmaker Tool'!$D$15=Lists!$B$5,'Iron &amp; Steelmaker Tool'!$D$15=Lists!$B$6),'Iron &amp; Steelmaker Tool'!$D$14=Lists!$A$2), INDEX(Database!AU$2:AU$59,MATCH($A26&amp;$B26&amp;"IEA NZE",Database!$A$2:$A$59&amp;Database!$D$2:$D$59&amp;Database!$B$2:$B$59,)), INDEX(Database!AU$2:AU$59,MATCH($A26&amp;$B26&amp;'Iron &amp; Steelmaker Tool'!$D$14,Database!$A$2:$A$59&amp;Database!$D$2:$D$59&amp;Database!$B$2:$B$59,)))</f>
        <v>0</v>
      </c>
      <c r="AQ26" s="468">
        <f t="array" ref="AQ26">IF(AND(OR('Iron &amp; Steelmaker Tool'!$D$15=Lists!$B$3, 'Iron &amp; Steelmaker Tool'!$D$15=Lists!$B$4,'Iron &amp; Steelmaker Tool'!$D$15=Lists!$B$5,'Iron &amp; Steelmaker Tool'!$D$15=Lists!$B$6),'Iron &amp; Steelmaker Tool'!$D$14=Lists!$A$2), INDEX(Database!AV$2:AV$59,MATCH($A26&amp;$B26&amp;"IEA NZE",Database!$A$2:$A$59&amp;Database!$D$2:$D$59&amp;Database!$B$2:$B$59,)), INDEX(Database!AV$2:AV$59,MATCH($A26&amp;$B26&amp;'Iron &amp; Steelmaker Tool'!$D$14,Database!$A$2:$A$59&amp;Database!$D$2:$D$59&amp;Database!$B$2:$B$59,)))</f>
        <v>0</v>
      </c>
      <c r="AR26" s="468">
        <f t="array" ref="AR26">IF(AND(OR('Iron &amp; Steelmaker Tool'!$D$15=Lists!$B$3, 'Iron &amp; Steelmaker Tool'!$D$15=Lists!$B$4,'Iron &amp; Steelmaker Tool'!$D$15=Lists!$B$5,'Iron &amp; Steelmaker Tool'!$D$15=Lists!$B$6),'Iron &amp; Steelmaker Tool'!$D$14=Lists!$A$2), INDEX(Database!AW$2:AW$59,MATCH($A26&amp;$B26&amp;"IEA NZE",Database!$A$2:$A$59&amp;Database!$D$2:$D$59&amp;Database!$B$2:$B$59,)), INDEX(Database!AW$2:AW$59,MATCH($A26&amp;$B26&amp;'Iron &amp; Steelmaker Tool'!$D$14,Database!$A$2:$A$59&amp;Database!$D$2:$D$59&amp;Database!$B$2:$B$59,)))</f>
        <v>0</v>
      </c>
      <c r="AS26" s="468">
        <f t="array" ref="AS26">IF(AND(OR('Iron &amp; Steelmaker Tool'!$D$15=Lists!$B$3, 'Iron &amp; Steelmaker Tool'!$D$15=Lists!$B$4,'Iron &amp; Steelmaker Tool'!$D$15=Lists!$B$5,'Iron &amp; Steelmaker Tool'!$D$15=Lists!$B$6),'Iron &amp; Steelmaker Tool'!$D$14=Lists!$A$2), INDEX(Database!AX$2:AX$59,MATCH($A26&amp;$B26&amp;"IEA NZE",Database!$A$2:$A$59&amp;Database!$D$2:$D$59&amp;Database!$B$2:$B$59,)), INDEX(Database!AX$2:AX$59,MATCH($A26&amp;$B26&amp;'Iron &amp; Steelmaker Tool'!$D$14,Database!$A$2:$A$59&amp;Database!$D$2:$D$59&amp;Database!$B$2:$B$59,)))</f>
        <v>0</v>
      </c>
      <c r="AT26" s="468">
        <f t="array" ref="AT26">IF(AND(OR('Iron &amp; Steelmaker Tool'!$D$15=Lists!$B$3, 'Iron &amp; Steelmaker Tool'!$D$15=Lists!$B$4,'Iron &amp; Steelmaker Tool'!$D$15=Lists!$B$5,'Iron &amp; Steelmaker Tool'!$D$15=Lists!$B$6),'Iron &amp; Steelmaker Tool'!$D$14=Lists!$A$2), INDEX(Database!AY$2:AY$59,MATCH($A26&amp;$B26&amp;"IEA NZE",Database!$A$2:$A$59&amp;Database!$D$2:$D$59&amp;Database!$B$2:$B$59,)), INDEX(Database!AY$2:AY$59,MATCH($A26&amp;$B26&amp;'Iron &amp; Steelmaker Tool'!$D$14,Database!$A$2:$A$59&amp;Database!$D$2:$D$59&amp;Database!$B$2:$B$59,)))</f>
        <v>0</v>
      </c>
      <c r="AU26" s="468">
        <f t="array" ref="AU26">IF(AND(OR('Iron &amp; Steelmaker Tool'!$D$15=Lists!$B$3, 'Iron &amp; Steelmaker Tool'!$D$15=Lists!$B$4,'Iron &amp; Steelmaker Tool'!$D$15=Lists!$B$5,'Iron &amp; Steelmaker Tool'!$D$15=Lists!$B$6),'Iron &amp; Steelmaker Tool'!$D$14=Lists!$A$2), INDEX(Database!AZ$2:AZ$59,MATCH($A26&amp;$B26&amp;"IEA NZE",Database!$A$2:$A$59&amp;Database!$D$2:$D$59&amp;Database!$B$2:$B$59,)), INDEX(Database!AZ$2:AZ$59,MATCH($A26&amp;$B26&amp;'Iron &amp; Steelmaker Tool'!$D$14,Database!$A$2:$A$59&amp;Database!$D$2:$D$59&amp;Database!$B$2:$B$59,)))</f>
        <v>0</v>
      </c>
      <c r="AV26" s="468">
        <f t="array" ref="AV26">IF(AND(OR('Iron &amp; Steelmaker Tool'!$D$15=Lists!$B$3, 'Iron &amp; Steelmaker Tool'!$D$15=Lists!$B$4,'Iron &amp; Steelmaker Tool'!$D$15=Lists!$B$5,'Iron &amp; Steelmaker Tool'!$D$15=Lists!$B$6),'Iron &amp; Steelmaker Tool'!$D$14=Lists!$A$2), INDEX(Database!BA$2:BA$59,MATCH($A26&amp;$B26&amp;"IEA NZE",Database!$A$2:$A$59&amp;Database!$D$2:$D$59&amp;Database!$B$2:$B$59,)), INDEX(Database!BA$2:BA$59,MATCH($A26&amp;$B26&amp;'Iron &amp; Steelmaker Tool'!$D$14,Database!$A$2:$A$59&amp;Database!$D$2:$D$59&amp;Database!$B$2:$B$59,)))</f>
        <v>0</v>
      </c>
      <c r="AW26" s="468">
        <f t="array" ref="AW26">IF(AND(OR('Iron &amp; Steelmaker Tool'!$D$15=Lists!$B$3, 'Iron &amp; Steelmaker Tool'!$D$15=Lists!$B$4,'Iron &amp; Steelmaker Tool'!$D$15=Lists!$B$5,'Iron &amp; Steelmaker Tool'!$D$15=Lists!$B$6),'Iron &amp; Steelmaker Tool'!$D$14=Lists!$A$2), INDEX(Database!BB$2:BB$59,MATCH($A26&amp;$B26&amp;"IEA NZE",Database!$A$2:$A$59&amp;Database!$D$2:$D$59&amp;Database!$B$2:$B$59,)), INDEX(Database!BB$2:BB$59,MATCH($A26&amp;$B26&amp;'Iron &amp; Steelmaker Tool'!$D$14,Database!$A$2:$A$59&amp;Database!$D$2:$D$59&amp;Database!$B$2:$B$59,)))</f>
        <v>0</v>
      </c>
      <c r="AX26" s="468">
        <f t="array" ref="AX26">IF(AND(OR('Iron &amp; Steelmaker Tool'!$D$15=Lists!$B$3, 'Iron &amp; Steelmaker Tool'!$D$15=Lists!$B$4,'Iron &amp; Steelmaker Tool'!$D$15=Lists!$B$5,'Iron &amp; Steelmaker Tool'!$D$15=Lists!$B$6),'Iron &amp; Steelmaker Tool'!$D$14=Lists!$A$2), INDEX(Database!BC$2:BC$59,MATCH($A26&amp;$B26&amp;"IEA NZE",Database!$A$2:$A$59&amp;Database!$D$2:$D$59&amp;Database!$B$2:$B$59,)), INDEX(Database!BC$2:BC$59,MATCH($A26&amp;$B26&amp;'Iron &amp; Steelmaker Tool'!$D$14,Database!$A$2:$A$59&amp;Database!$D$2:$D$59&amp;Database!$B$2:$B$59,)))</f>
        <v>0</v>
      </c>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row>
    <row r="28" spans="1:90" x14ac:dyDescent="0.15">
      <c r="D28" s="69"/>
    </row>
    <row r="29" spans="1:90" x14ac:dyDescent="0.15">
      <c r="A29" s="1" t="s">
        <v>61</v>
      </c>
    </row>
    <row r="31" spans="1:90" x14ac:dyDescent="0.15">
      <c r="A31" t="s">
        <v>44</v>
      </c>
      <c r="B31" s="2" t="e">
        <f>INDEX(B$33:B$35,MATCH('Iron &amp; Steelmaker Tool'!$D$21,$B$33:$B$35,0))</f>
        <v>#N/A</v>
      </c>
      <c r="C31" t="str">
        <f>INDEX(Lists!$D$2:$D$50,MATCH('Iron &amp; Steelmaker Tool'!$D$15,Lists!$B$2:$B$50,0))</f>
        <v>t</v>
      </c>
      <c r="D31" s="2" t="e">
        <f>INDEX(D$33:D$35,MATCH('Iron &amp; Steelmaker Tool'!$D$21,$B$33:$B$35,0))</f>
        <v>#N/A</v>
      </c>
      <c r="E31" s="2" t="e">
        <f>INDEX(E$33:E$35,MATCH('Iron &amp; Steelmaker Tool'!$D$21,$B$33:$B$35,0))</f>
        <v>#N/A</v>
      </c>
      <c r="F31" s="2" t="e">
        <f>INDEX(F$33:F$35,MATCH('Iron &amp; Steelmaker Tool'!$D$21,$B$33:$B$35,0))</f>
        <v>#N/A</v>
      </c>
      <c r="G31" s="2" t="e">
        <f>INDEX(G$33:G$35,MATCH('Iron &amp; Steelmaker Tool'!$D$21,$B$33:$B$35,0))</f>
        <v>#N/A</v>
      </c>
      <c r="H31" s="2" t="e">
        <f>INDEX(H$33:H$35,MATCH('Iron &amp; Steelmaker Tool'!$D$21,$B$33:$B$35,0))</f>
        <v>#N/A</v>
      </c>
      <c r="I31" s="2" t="e">
        <f>INDEX(I$33:I$35,MATCH('Iron &amp; Steelmaker Tool'!$D$21,$B$33:$B$35,0))</f>
        <v>#N/A</v>
      </c>
      <c r="J31" s="2" t="e">
        <f>INDEX(J$33:J$35,MATCH('Iron &amp; Steelmaker Tool'!$D$21,$B$33:$B$35,0))</f>
        <v>#N/A</v>
      </c>
      <c r="K31" s="2" t="e">
        <f>INDEX(K$33:K$35,MATCH('Iron &amp; Steelmaker Tool'!$D$21,$B$33:$B$35,0))</f>
        <v>#N/A</v>
      </c>
      <c r="L31" s="2" t="e">
        <f>INDEX(L$33:L$35,MATCH('Iron &amp; Steelmaker Tool'!$D$21,$B$33:$B$35,0))</f>
        <v>#N/A</v>
      </c>
      <c r="M31" s="2" t="e">
        <f>INDEX(M$33:M$35,MATCH('Iron &amp; Steelmaker Tool'!$D$21,$B$33:$B$35,0))</f>
        <v>#N/A</v>
      </c>
      <c r="N31" s="2" t="e">
        <f>INDEX(N$33:N$35,MATCH('Iron &amp; Steelmaker Tool'!$D$21,$B$33:$B$35,0))</f>
        <v>#N/A</v>
      </c>
      <c r="O31" s="2" t="e">
        <f>INDEX(O$33:O$35,MATCH('Iron &amp; Steelmaker Tool'!$D$21,$B$33:$B$35,0))</f>
        <v>#N/A</v>
      </c>
      <c r="P31" s="2" t="e">
        <f>INDEX(P$33:P$35,MATCH('Iron &amp; Steelmaker Tool'!$D$21,$B$33:$B$35,0))</f>
        <v>#N/A</v>
      </c>
      <c r="Q31" s="2" t="e">
        <f>INDEX(Q$33:Q$35,MATCH('Iron &amp; Steelmaker Tool'!$D$21,$B$33:$B$35,0))</f>
        <v>#N/A</v>
      </c>
      <c r="R31" s="2" t="e">
        <f>INDEX(R$33:R$35,MATCH('Iron &amp; Steelmaker Tool'!$D$21,$B$33:$B$35,0))</f>
        <v>#N/A</v>
      </c>
      <c r="S31" s="2" t="e">
        <f>INDEX(S$33:S$35,MATCH('Iron &amp; Steelmaker Tool'!$D$21,$B$33:$B$35,0))</f>
        <v>#N/A</v>
      </c>
      <c r="T31" s="2" t="e">
        <f>INDEX(T$33:T$35,MATCH('Iron &amp; Steelmaker Tool'!$D$21,$B$33:$B$35,0))</f>
        <v>#N/A</v>
      </c>
      <c r="U31" s="2" t="e">
        <f>INDEX(U$33:U$35,MATCH('Iron &amp; Steelmaker Tool'!$D$21,$B$33:$B$35,0))</f>
        <v>#N/A</v>
      </c>
      <c r="V31" s="2" t="e">
        <f>INDEX(V$33:V$35,MATCH('Iron &amp; Steelmaker Tool'!$D$21,$B$33:$B$35,0))</f>
        <v>#N/A</v>
      </c>
      <c r="W31" s="2" t="e">
        <f>INDEX(W$33:W$35,MATCH('Iron &amp; Steelmaker Tool'!$D$21,$B$33:$B$35,0))</f>
        <v>#N/A</v>
      </c>
      <c r="X31" s="2" t="e">
        <f>INDEX(X$33:X$35,MATCH('Iron &amp; Steelmaker Tool'!$D$21,$B$33:$B$35,0))</f>
        <v>#N/A</v>
      </c>
      <c r="Y31" s="2" t="e">
        <f>INDEX(Y$33:Y$35,MATCH('Iron &amp; Steelmaker Tool'!$D$21,$B$33:$B$35,0))</f>
        <v>#N/A</v>
      </c>
      <c r="Z31" s="2" t="e">
        <f>INDEX(Z$33:Z$35,MATCH('Iron &amp; Steelmaker Tool'!$D$21,$B$33:$B$35,0))</f>
        <v>#N/A</v>
      </c>
      <c r="AA31" s="2" t="e">
        <f>INDEX(AA$33:AA$35,MATCH('Iron &amp; Steelmaker Tool'!$D$21,$B$33:$B$35,0))</f>
        <v>#N/A</v>
      </c>
      <c r="AB31" s="2" t="e">
        <f>INDEX(AB$33:AB$35,MATCH('Iron &amp; Steelmaker Tool'!$D$21,$B$33:$B$35,0))</f>
        <v>#N/A</v>
      </c>
      <c r="AC31" s="2" t="e">
        <f>INDEX(AC$33:AC$35,MATCH('Iron &amp; Steelmaker Tool'!$D$21,$B$33:$B$35,0))</f>
        <v>#N/A</v>
      </c>
      <c r="AD31" s="2" t="e">
        <f>INDEX(AD$33:AD$35,MATCH('Iron &amp; Steelmaker Tool'!$D$21,$B$33:$B$35,0))</f>
        <v>#N/A</v>
      </c>
      <c r="AE31" s="2" t="e">
        <f>INDEX(AE$33:AE$35,MATCH('Iron &amp; Steelmaker Tool'!$D$21,$B$33:$B$35,0))</f>
        <v>#N/A</v>
      </c>
      <c r="AF31" s="2" t="e">
        <f>INDEX(AF$33:AF$35,MATCH('Iron &amp; Steelmaker Tool'!$D$21,$B$33:$B$35,0))</f>
        <v>#N/A</v>
      </c>
      <c r="AG31" s="2" t="e">
        <f>INDEX(AG$33:AG$35,MATCH('Iron &amp; Steelmaker Tool'!$D$21,$B$33:$B$35,0))</f>
        <v>#N/A</v>
      </c>
      <c r="AH31" s="2" t="e">
        <f>INDEX(AH$33:AH$35,MATCH('Iron &amp; Steelmaker Tool'!$D$21,$B$33:$B$35,0))</f>
        <v>#N/A</v>
      </c>
      <c r="AI31" s="2" t="e">
        <f>INDEX(AI$33:AI$35,MATCH('Iron &amp; Steelmaker Tool'!$D$21,$B$33:$B$35,0))</f>
        <v>#N/A</v>
      </c>
      <c r="AJ31" s="2" t="e">
        <f>INDEX(AJ$33:AJ$35,MATCH('Iron &amp; Steelmaker Tool'!$D$21,$B$33:$B$35,0))</f>
        <v>#N/A</v>
      </c>
      <c r="AK31" s="2" t="e">
        <f>INDEX(AK$33:AK$35,MATCH('Iron &amp; Steelmaker Tool'!$D$21,$B$33:$B$35,0))</f>
        <v>#N/A</v>
      </c>
      <c r="AL31" s="2" t="e">
        <f>INDEX(AL$33:AL$35,MATCH('Iron &amp; Steelmaker Tool'!$D$21,$B$33:$B$35,0))</f>
        <v>#N/A</v>
      </c>
      <c r="AM31" s="2" t="e">
        <f>INDEX(AM$33:AM$35,MATCH('Iron &amp; Steelmaker Tool'!$D$21,$B$33:$B$35,0))</f>
        <v>#N/A</v>
      </c>
      <c r="AN31" s="2" t="e">
        <f>INDEX(AN$33:AN$35,MATCH('Iron &amp; Steelmaker Tool'!$D$21,$B$33:$B$35,0))</f>
        <v>#N/A</v>
      </c>
      <c r="AO31" s="2" t="e">
        <f>INDEX(AO$33:AO$35,MATCH('Iron &amp; Steelmaker Tool'!$D$21,$B$33:$B$35,0))</f>
        <v>#N/A</v>
      </c>
      <c r="AP31" s="2" t="e">
        <f>INDEX(AP$33:AP$35,MATCH('Iron &amp; Steelmaker Tool'!$D$21,$B$33:$B$35,0))</f>
        <v>#N/A</v>
      </c>
      <c r="AQ31" s="2" t="e">
        <f>INDEX(AQ$33:AQ$35,MATCH('Iron &amp; Steelmaker Tool'!$D$21,$B$33:$B$35,0))</f>
        <v>#N/A</v>
      </c>
      <c r="AR31" s="2" t="e">
        <f>INDEX(AR$33:AR$35,MATCH('Iron &amp; Steelmaker Tool'!$D$21,$B$33:$B$35,0))</f>
        <v>#N/A</v>
      </c>
      <c r="AS31" s="2" t="e">
        <f>INDEX(AS$33:AS$35,MATCH('Iron &amp; Steelmaker Tool'!$D$21,$B$33:$B$35,0))</f>
        <v>#N/A</v>
      </c>
      <c r="AT31" s="2" t="e">
        <f>INDEX(AT$33:AT$35,MATCH('Iron &amp; Steelmaker Tool'!$D$21,$B$33:$B$35,0))</f>
        <v>#N/A</v>
      </c>
      <c r="AU31" s="2" t="e">
        <f>INDEX(AU$33:AU$35,MATCH('Iron &amp; Steelmaker Tool'!$D$21,$B$33:$B$35,0))</f>
        <v>#N/A</v>
      </c>
      <c r="AV31" s="2" t="e">
        <f>INDEX(AV$33:AV$35,MATCH('Iron &amp; Steelmaker Tool'!$D$21,$B$33:$B$35,0))</f>
        <v>#N/A</v>
      </c>
      <c r="AW31" s="2" t="e">
        <f>INDEX(AW$33:AW$35,MATCH('Iron &amp; Steelmaker Tool'!$D$21,$B$33:$B$35,0))</f>
        <v>#N/A</v>
      </c>
      <c r="AX31" s="2" t="e">
        <f>INDEX(AX$33:AX$35,MATCH('Iron &amp; Steelmaker Tool'!$D$21,$B$33:$B$35,0))</f>
        <v>#N/A</v>
      </c>
    </row>
    <row r="32" spans="1:90" x14ac:dyDescent="0.15">
      <c r="B32" s="2"/>
    </row>
    <row r="33" spans="1:90" x14ac:dyDescent="0.15">
      <c r="A33" t="s">
        <v>44</v>
      </c>
      <c r="B33" t="str">
        <f>Lists!L2</f>
        <v>Fixed market share</v>
      </c>
      <c r="C33" t="str">
        <f>INDEX(Lists!$D$2:$D$50,MATCH('Iron &amp; Steelmaker Tool'!$D$15,Lists!$B$2:$B$50,0))</f>
        <v>t</v>
      </c>
      <c r="D33" s="2" t="str">
        <f>IFERROR(IF('Iron &amp; Steelmaker Tool'!$D$17&lt;0,"",'Iron &amp; Steelmaker Tool'!$D$17*IF(D$1&lt;'Iron &amp; Steelmaker Tool'!$D$16,"",D$8/HLOOKUP('Iron &amp; Steelmaker Tool'!$D$16,$D$1:$AN$8,ROW($A$8),))),"")</f>
        <v/>
      </c>
      <c r="E33" s="2" t="str">
        <f>IFERROR(IF('Iron &amp; Steelmaker Tool'!$D$17&lt;0,"",'Iron &amp; Steelmaker Tool'!$D$17*IF(E$1&lt;'Iron &amp; Steelmaker Tool'!$D$16,"",E$8/HLOOKUP('Iron &amp; Steelmaker Tool'!$D$16,$D$1:$AN$8,ROW($A$8),))),"")</f>
        <v/>
      </c>
      <c r="F33" s="2" t="str">
        <f>IFERROR(IF('Iron &amp; Steelmaker Tool'!$D$17&lt;0,"",'Iron &amp; Steelmaker Tool'!$D$17*IF(F$1&lt;'Iron &amp; Steelmaker Tool'!$D$16,"",F$8/HLOOKUP('Iron &amp; Steelmaker Tool'!$D$16,$D$1:$AN$8,ROW($A$8),))),"")</f>
        <v/>
      </c>
      <c r="G33" s="2" t="str">
        <f>IFERROR(IF('Iron &amp; Steelmaker Tool'!$D$17&lt;0,"",'Iron &amp; Steelmaker Tool'!$D$17*IF(G$1&lt;'Iron &amp; Steelmaker Tool'!$D$16,"",G$8/HLOOKUP('Iron &amp; Steelmaker Tool'!$D$16,$D$1:$AN$8,ROW($A$8),))),"")</f>
        <v/>
      </c>
      <c r="H33" s="2" t="str">
        <f>IFERROR(IF('Iron &amp; Steelmaker Tool'!$D$17&lt;0,"",'Iron &amp; Steelmaker Tool'!$D$17*IF(H$1&lt;'Iron &amp; Steelmaker Tool'!$D$16,"",H$8/HLOOKUP('Iron &amp; Steelmaker Tool'!$D$16,$D$1:$AN$8,ROW($A$8),))),"")</f>
        <v/>
      </c>
      <c r="I33" s="2" t="str">
        <f>IFERROR(IF('Iron &amp; Steelmaker Tool'!$D$17&lt;0,"",'Iron &amp; Steelmaker Tool'!$D$17*IF(I$1&lt;'Iron &amp; Steelmaker Tool'!$D$16,"",I$8/HLOOKUP('Iron &amp; Steelmaker Tool'!$D$16,$D$1:$AN$8,ROW($A$8),))),"")</f>
        <v/>
      </c>
      <c r="J33" s="2" t="str">
        <f>IFERROR(IF('Iron &amp; Steelmaker Tool'!$D$17&lt;0,"",'Iron &amp; Steelmaker Tool'!$D$17*IF(J$1&lt;'Iron &amp; Steelmaker Tool'!$D$16,"",J$8/HLOOKUP('Iron &amp; Steelmaker Tool'!$D$16,$D$1:$AN$8,ROW($A$8),))),"")</f>
        <v/>
      </c>
      <c r="K33" s="2" t="str">
        <f>IFERROR(IF('Iron &amp; Steelmaker Tool'!$D$17&lt;0,"",'Iron &amp; Steelmaker Tool'!$D$17*IF(K$1&lt;'Iron &amp; Steelmaker Tool'!$D$16,"",K$8/HLOOKUP('Iron &amp; Steelmaker Tool'!$D$16,$D$1:$AN$8,ROW($A$8),))),"")</f>
        <v/>
      </c>
      <c r="L33" s="2" t="str">
        <f>IFERROR(IF('Iron &amp; Steelmaker Tool'!$D$17&lt;0,"",'Iron &amp; Steelmaker Tool'!$D$17*IF(L$1&lt;'Iron &amp; Steelmaker Tool'!$D$16,"",L$8/HLOOKUP('Iron &amp; Steelmaker Tool'!$D$16,$D$1:$AN$8,ROW($A$8),))),"")</f>
        <v/>
      </c>
      <c r="M33" s="2" t="str">
        <f>IFERROR(IF('Iron &amp; Steelmaker Tool'!$D$17&lt;0,"",'Iron &amp; Steelmaker Tool'!$D$17*IF(M$1&lt;'Iron &amp; Steelmaker Tool'!$D$16,"",M$8/HLOOKUP('Iron &amp; Steelmaker Tool'!$D$16,$D$1:$AN$8,ROW($A$8),))),"")</f>
        <v/>
      </c>
      <c r="N33" s="2" t="str">
        <f>IFERROR(IF('Iron &amp; Steelmaker Tool'!$D$17&lt;0,"",'Iron &amp; Steelmaker Tool'!$D$17*IF(N$1&lt;'Iron &amp; Steelmaker Tool'!$D$16,"",N$8/HLOOKUP('Iron &amp; Steelmaker Tool'!$D$16,$D$1:$AN$8,ROW($A$8),))),"")</f>
        <v/>
      </c>
      <c r="O33" s="2" t="str">
        <f>IFERROR(IF('Iron &amp; Steelmaker Tool'!$D$17&lt;0,"",'Iron &amp; Steelmaker Tool'!$D$17*IF(O$1&lt;'Iron &amp; Steelmaker Tool'!$D$16,"",O$8/HLOOKUP('Iron &amp; Steelmaker Tool'!$D$16,$D$1:$AN$8,ROW($A$8),))),"")</f>
        <v/>
      </c>
      <c r="P33" s="2" t="str">
        <f>IFERROR(IF('Iron &amp; Steelmaker Tool'!$D$17&lt;0,"",'Iron &amp; Steelmaker Tool'!$D$17*IF(P$1&lt;'Iron &amp; Steelmaker Tool'!$D$16,"",P$8/HLOOKUP('Iron &amp; Steelmaker Tool'!$D$16,$D$1:$AN$8,ROW($A$8),))),"")</f>
        <v/>
      </c>
      <c r="Q33" s="2" t="str">
        <f>IFERROR(IF('Iron &amp; Steelmaker Tool'!$D$17&lt;0,"",'Iron &amp; Steelmaker Tool'!$D$17*IF(Q$1&lt;'Iron &amp; Steelmaker Tool'!$D$16,"",Q$8/HLOOKUP('Iron &amp; Steelmaker Tool'!$D$16,$D$1:$AN$8,ROW($A$8),))),"")</f>
        <v/>
      </c>
      <c r="R33" s="2" t="str">
        <f>IFERROR(IF('Iron &amp; Steelmaker Tool'!$D$17&lt;0,"",'Iron &amp; Steelmaker Tool'!$D$17*IF(R$1&lt;'Iron &amp; Steelmaker Tool'!$D$16,"",R$8/HLOOKUP('Iron &amp; Steelmaker Tool'!$D$16,$D$1:$AN$8,ROW($A$8),))),"")</f>
        <v/>
      </c>
      <c r="S33" s="2" t="str">
        <f>IFERROR(IF('Iron &amp; Steelmaker Tool'!$D$17&lt;0,"",'Iron &amp; Steelmaker Tool'!$D$17*IF(S$1&lt;'Iron &amp; Steelmaker Tool'!$D$16,"",S$8/HLOOKUP('Iron &amp; Steelmaker Tool'!$D$16,$D$1:$AN$8,ROW($A$8),))),"")</f>
        <v/>
      </c>
      <c r="T33" s="2" t="str">
        <f>IFERROR(IF('Iron &amp; Steelmaker Tool'!$D$17&lt;0,"",'Iron &amp; Steelmaker Tool'!$D$17*IF(T$1&lt;'Iron &amp; Steelmaker Tool'!$D$16,"",T$8/HLOOKUP('Iron &amp; Steelmaker Tool'!$D$16,$D$1:$AN$8,ROW($A$8),))),"")</f>
        <v/>
      </c>
      <c r="U33" s="2" t="str">
        <f>IFERROR(IF('Iron &amp; Steelmaker Tool'!$D$17&lt;0,"",'Iron &amp; Steelmaker Tool'!$D$17*IF(U$1&lt;'Iron &amp; Steelmaker Tool'!$D$16,"",U$8/HLOOKUP('Iron &amp; Steelmaker Tool'!$D$16,$D$1:$AN$8,ROW($A$8),))),"")</f>
        <v/>
      </c>
      <c r="V33" s="2" t="str">
        <f>IFERROR(IF('Iron &amp; Steelmaker Tool'!$D$17&lt;0,"",'Iron &amp; Steelmaker Tool'!$D$17*IF(V$1&lt;'Iron &amp; Steelmaker Tool'!$D$16,"",V$8/HLOOKUP('Iron &amp; Steelmaker Tool'!$D$16,$D$1:$AN$8,ROW($A$8),))),"")</f>
        <v/>
      </c>
      <c r="W33" s="2" t="str">
        <f>IFERROR(IF('Iron &amp; Steelmaker Tool'!$D$17&lt;0,"",'Iron &amp; Steelmaker Tool'!$D$17*IF(W$1&lt;'Iron &amp; Steelmaker Tool'!$D$16,"",W$8/HLOOKUP('Iron &amp; Steelmaker Tool'!$D$16,$D$1:$AN$8,ROW($A$8),))),"")</f>
        <v/>
      </c>
      <c r="X33" s="2" t="str">
        <f>IFERROR(IF('Iron &amp; Steelmaker Tool'!$D$17&lt;0,"",'Iron &amp; Steelmaker Tool'!$D$17*IF(X$1&lt;'Iron &amp; Steelmaker Tool'!$D$16,"",X$8/HLOOKUP('Iron &amp; Steelmaker Tool'!$D$16,$D$1:$AN$8,ROW($A$8),))),"")</f>
        <v/>
      </c>
      <c r="Y33" s="2" t="str">
        <f>IFERROR(IF('Iron &amp; Steelmaker Tool'!$D$17&lt;0,"",'Iron &amp; Steelmaker Tool'!$D$17*IF(Y$1&lt;'Iron &amp; Steelmaker Tool'!$D$16,"",Y$8/HLOOKUP('Iron &amp; Steelmaker Tool'!$D$16,$D$1:$AN$8,ROW($A$8),))),"")</f>
        <v/>
      </c>
      <c r="Z33" s="2" t="str">
        <f>IFERROR(IF('Iron &amp; Steelmaker Tool'!$D$17&lt;0,"",'Iron &amp; Steelmaker Tool'!$D$17*IF(Z$1&lt;'Iron &amp; Steelmaker Tool'!$D$16,"",Z$8/HLOOKUP('Iron &amp; Steelmaker Tool'!$D$16,$D$1:$AN$8,ROW($A$8),))),"")</f>
        <v/>
      </c>
      <c r="AA33" s="2" t="str">
        <f>IFERROR(IF('Iron &amp; Steelmaker Tool'!$D$17&lt;0,"",'Iron &amp; Steelmaker Tool'!$D$17*IF(AA$1&lt;'Iron &amp; Steelmaker Tool'!$D$16,"",AA$8/HLOOKUP('Iron &amp; Steelmaker Tool'!$D$16,$D$1:$AN$8,ROW($A$8),))),"")</f>
        <v/>
      </c>
      <c r="AB33" s="2" t="str">
        <f>IFERROR(IF('Iron &amp; Steelmaker Tool'!$D$17&lt;0,"",'Iron &amp; Steelmaker Tool'!$D$17*IF(AB$1&lt;'Iron &amp; Steelmaker Tool'!$D$16,"",AB$8/HLOOKUP('Iron &amp; Steelmaker Tool'!$D$16,$D$1:$AN$8,ROW($A$8),))),"")</f>
        <v/>
      </c>
      <c r="AC33" s="2" t="str">
        <f>IFERROR(IF('Iron &amp; Steelmaker Tool'!$D$17&lt;0,"",'Iron &amp; Steelmaker Tool'!$D$17*IF(AC$1&lt;'Iron &amp; Steelmaker Tool'!$D$16,"",AC$8/HLOOKUP('Iron &amp; Steelmaker Tool'!$D$16,$D$1:$AN$8,ROW($A$8),))),"")</f>
        <v/>
      </c>
      <c r="AD33" s="2" t="str">
        <f>IFERROR(IF('Iron &amp; Steelmaker Tool'!$D$17&lt;0,"",'Iron &amp; Steelmaker Tool'!$D$17*IF(AD$1&lt;'Iron &amp; Steelmaker Tool'!$D$16,"",AD$8/HLOOKUP('Iron &amp; Steelmaker Tool'!$D$16,$D$1:$AN$8,ROW($A$8),))),"")</f>
        <v/>
      </c>
      <c r="AE33" s="2" t="str">
        <f>IFERROR(IF('Iron &amp; Steelmaker Tool'!$D$17&lt;0,"",'Iron &amp; Steelmaker Tool'!$D$17*IF(AE$1&lt;'Iron &amp; Steelmaker Tool'!$D$16,"",AE$8/HLOOKUP('Iron &amp; Steelmaker Tool'!$D$16,$D$1:$AN$8,ROW($A$8),))),"")</f>
        <v/>
      </c>
      <c r="AF33" s="2" t="str">
        <f>IFERROR(IF('Iron &amp; Steelmaker Tool'!$D$17&lt;0,"",'Iron &amp; Steelmaker Tool'!$D$17*IF(AF$1&lt;'Iron &amp; Steelmaker Tool'!$D$16,"",AF$8/HLOOKUP('Iron &amp; Steelmaker Tool'!$D$16,$D$1:$AN$8,ROW($A$8),))),"")</f>
        <v/>
      </c>
      <c r="AG33" s="2" t="str">
        <f>IFERROR(IF('Iron &amp; Steelmaker Tool'!$D$17&lt;0,"",'Iron &amp; Steelmaker Tool'!$D$17*IF(AG$1&lt;'Iron &amp; Steelmaker Tool'!$D$16,"",AG$8/HLOOKUP('Iron &amp; Steelmaker Tool'!$D$16,$D$1:$AN$8,ROW($A$8),))),"")</f>
        <v/>
      </c>
      <c r="AH33" s="2" t="str">
        <f>IFERROR(IF('Iron &amp; Steelmaker Tool'!$D$17&lt;0,"",'Iron &amp; Steelmaker Tool'!$D$17*IF(AH$1&lt;'Iron &amp; Steelmaker Tool'!$D$16,"",AH$8/HLOOKUP('Iron &amp; Steelmaker Tool'!$D$16,$D$1:$AN$8,ROW($A$8),))),"")</f>
        <v/>
      </c>
      <c r="AI33" s="2" t="str">
        <f>IFERROR(IF('Iron &amp; Steelmaker Tool'!$D$17&lt;0,"",'Iron &amp; Steelmaker Tool'!$D$17*IF(AI$1&lt;'Iron &amp; Steelmaker Tool'!$D$16,"",AI$8/HLOOKUP('Iron &amp; Steelmaker Tool'!$D$16,$D$1:$AN$8,ROW($A$8),))),"")</f>
        <v/>
      </c>
      <c r="AJ33" s="2" t="str">
        <f>IFERROR(IF('Iron &amp; Steelmaker Tool'!$D$17&lt;0,"",'Iron &amp; Steelmaker Tool'!$D$17*IF(AJ$1&lt;'Iron &amp; Steelmaker Tool'!$D$16,"",AJ$8/HLOOKUP('Iron &amp; Steelmaker Tool'!$D$16,$D$1:$AN$8,ROW($A$8),))),"")</f>
        <v/>
      </c>
      <c r="AK33" s="2" t="str">
        <f>IFERROR(IF('Iron &amp; Steelmaker Tool'!$D$17&lt;0,"",'Iron &amp; Steelmaker Tool'!$D$17*IF(AK$1&lt;'Iron &amp; Steelmaker Tool'!$D$16,"",AK$8/HLOOKUP('Iron &amp; Steelmaker Tool'!$D$16,$D$1:$AN$8,ROW($A$8),))),"")</f>
        <v/>
      </c>
      <c r="AL33" s="2" t="str">
        <f>IFERROR(IF('Iron &amp; Steelmaker Tool'!$D$17&lt;0,"",'Iron &amp; Steelmaker Tool'!$D$17*IF(AL$1&lt;'Iron &amp; Steelmaker Tool'!$D$16,"",AL$8/HLOOKUP('Iron &amp; Steelmaker Tool'!$D$16,$D$1:$AN$8,ROW($A$8),))),"")</f>
        <v/>
      </c>
      <c r="AM33" s="2" t="str">
        <f>IFERROR(IF('Iron &amp; Steelmaker Tool'!$D$17&lt;0,"",'Iron &amp; Steelmaker Tool'!$D$17*IF(AM$1&lt;'Iron &amp; Steelmaker Tool'!$D$16,"",AM$8/HLOOKUP('Iron &amp; Steelmaker Tool'!$D$16,$D$1:$AN$8,ROW($A$8),))),"")</f>
        <v/>
      </c>
      <c r="AN33" s="2" t="str">
        <f>IFERROR(IF('Iron &amp; Steelmaker Tool'!$D$17&lt;0,"",'Iron &amp; Steelmaker Tool'!$D$17*IF(AN$1&lt;'Iron &amp; Steelmaker Tool'!$D$16,"",AN$8/HLOOKUP('Iron &amp; Steelmaker Tool'!$D$16,$D$1:$AN$8,ROW($A$8),))),"")</f>
        <v/>
      </c>
      <c r="AO33" s="2" t="str">
        <f>IFERROR(IF('Iron &amp; Steelmaker Tool'!$D$17&lt;0,"",'Iron &amp; Steelmaker Tool'!$D$17*IF(AO$1&lt;'Iron &amp; Steelmaker Tool'!$D$16,"",AO$8/HLOOKUP('Iron &amp; Steelmaker Tool'!$D$16,$D$1:$AN$8,ROW($A$8),))),"")</f>
        <v/>
      </c>
      <c r="AP33" s="2" t="str">
        <f>IFERROR(IF('Iron &amp; Steelmaker Tool'!$D$17&lt;0,"",'Iron &amp; Steelmaker Tool'!$D$17*IF(AP$1&lt;'Iron &amp; Steelmaker Tool'!$D$16,"",AP$8/HLOOKUP('Iron &amp; Steelmaker Tool'!$D$16,$D$1:$AN$8,ROW($A$8),))),"")</f>
        <v/>
      </c>
      <c r="AQ33" s="2" t="str">
        <f>IFERROR(IF('Iron &amp; Steelmaker Tool'!$D$17&lt;0,"",'Iron &amp; Steelmaker Tool'!$D$17*IF(AQ$1&lt;'Iron &amp; Steelmaker Tool'!$D$16,"",AQ$8/HLOOKUP('Iron &amp; Steelmaker Tool'!$D$16,$D$1:$AN$8,ROW($A$8),))),"")</f>
        <v/>
      </c>
      <c r="AR33" s="2" t="str">
        <f>IFERROR(IF('Iron &amp; Steelmaker Tool'!$D$17&lt;0,"",'Iron &amp; Steelmaker Tool'!$D$17*IF(AR$1&lt;'Iron &amp; Steelmaker Tool'!$D$16,"",AR$8/HLOOKUP('Iron &amp; Steelmaker Tool'!$D$16,$D$1:$AN$8,ROW($A$8),))),"")</f>
        <v/>
      </c>
      <c r="AS33" s="2" t="str">
        <f>IFERROR(IF('Iron &amp; Steelmaker Tool'!$D$17&lt;0,"",'Iron &amp; Steelmaker Tool'!$D$17*IF(AS$1&lt;'Iron &amp; Steelmaker Tool'!$D$16,"",AS$8/HLOOKUP('Iron &amp; Steelmaker Tool'!$D$16,$D$1:$AN$8,ROW($A$8),))),"")</f>
        <v/>
      </c>
      <c r="AT33" s="2" t="str">
        <f>IFERROR(IF('Iron &amp; Steelmaker Tool'!$D$17&lt;0,"",'Iron &amp; Steelmaker Tool'!$D$17*IF(AT$1&lt;'Iron &amp; Steelmaker Tool'!$D$16,"",AT$8/HLOOKUP('Iron &amp; Steelmaker Tool'!$D$16,$D$1:$AN$8,ROW($A$8),))),"")</f>
        <v/>
      </c>
      <c r="AU33" s="2" t="str">
        <f>IFERROR(IF('Iron &amp; Steelmaker Tool'!$D$17&lt;0,"",'Iron &amp; Steelmaker Tool'!$D$17*IF(AU$1&lt;'Iron &amp; Steelmaker Tool'!$D$16,"",AU$8/HLOOKUP('Iron &amp; Steelmaker Tool'!$D$16,$D$1:$AN$8,ROW($A$8),))),"")</f>
        <v/>
      </c>
      <c r="AV33" s="2" t="str">
        <f>IFERROR(IF('Iron &amp; Steelmaker Tool'!$D$17&lt;0,"",'Iron &amp; Steelmaker Tool'!$D$17*IF(AV$1&lt;'Iron &amp; Steelmaker Tool'!$D$16,"",AV$8/HLOOKUP('Iron &amp; Steelmaker Tool'!$D$16,$D$1:$AN$8,ROW($A$8),))),"")</f>
        <v/>
      </c>
      <c r="AW33" s="2" t="str">
        <f>IFERROR(IF('Iron &amp; Steelmaker Tool'!$D$17&lt;0,"",'Iron &amp; Steelmaker Tool'!$D$17*IF(AW$1&lt;'Iron &amp; Steelmaker Tool'!$D$16,"",AW$8/HLOOKUP('Iron &amp; Steelmaker Tool'!$D$16,$D$1:$AN$8,ROW($A$8),))),"")</f>
        <v/>
      </c>
      <c r="AX33" s="2" t="str">
        <f>IFERROR(IF('Iron &amp; Steelmaker Tool'!$D$17&lt;0,"",'Iron &amp; Steelmaker Tool'!$D$17*IF(AX$1&lt;'Iron &amp; Steelmaker Tool'!$D$16,"",AX$8/HLOOKUP('Iron &amp; Steelmaker Tool'!$D$16,$D$1:$AN$8,ROW($A$8),))),"")</f>
        <v/>
      </c>
    </row>
    <row r="34" spans="1:90" x14ac:dyDescent="0.15">
      <c r="A34" t="s">
        <v>44</v>
      </c>
      <c r="B34" t="str">
        <f>Lists!L3</f>
        <v>Target year output</v>
      </c>
      <c r="C34" t="str">
        <f>INDEX(Lists!$D$2:$D$50,MATCH('Iron &amp; Steelmaker Tool'!$D$15,Lists!$B$2:$B$50,0))</f>
        <v>t</v>
      </c>
      <c r="D34" s="2" t="e">
        <f>IF('Iron &amp; Steelmaker Tool'!$D$17&lt;0,"",IF(D$1&lt;'Iron &amp; Steelmaker Tool'!$D$16,"",IF(AND('Iron &amp; Steelmaker Tool'!$D$22&gt;'Iron &amp; Steelmaker Tool'!$D$17,D$1&gt;='Iron &amp; Steelmaker Tool'!$D$20),'Iron &amp; Steelmaker Tool'!$D$22,IF('Iron &amp; Steelmaker Tool'!$D$17+('Iron &amp; Steelmaker Tool'!$D$22-'Iron &amp; Steelmaker Tool'!$D$17)*(D$1-'Iron &amp; Steelmaker Tool'!$D$16)/('Iron &amp; Steelmaker Tool'!$D$20-'Iron &amp; Steelmaker Tool'!$D$16)&gt;0,'Iron &amp; Steelmaker Tool'!$D$17+('Iron &amp; Steelmaker Tool'!$D$22-'Iron &amp; Steelmaker Tool'!$D$17)*(D$1-'Iron &amp; Steelmaker Tool'!$D$16)/('Iron &amp; Steelmaker Tool'!$D$20-'Iron &amp; Steelmaker Tool'!$D$16),0.01))))</f>
        <v>#DIV/0!</v>
      </c>
      <c r="E34" s="2" t="e">
        <f>IF('Iron &amp; Steelmaker Tool'!$D$17&lt;0,"",IF(E$1&lt;'Iron &amp; Steelmaker Tool'!$D$16,"",IF(AND('Iron &amp; Steelmaker Tool'!$D$22&gt;'Iron &amp; Steelmaker Tool'!$D$17,E$1&gt;='Iron &amp; Steelmaker Tool'!$D$20),'Iron &amp; Steelmaker Tool'!$D$22,IF('Iron &amp; Steelmaker Tool'!$D$17+('Iron &amp; Steelmaker Tool'!$D$22-'Iron &amp; Steelmaker Tool'!$D$17)*(E$1-'Iron &amp; Steelmaker Tool'!$D$16)/('Iron &amp; Steelmaker Tool'!$D$20-'Iron &amp; Steelmaker Tool'!$D$16)&gt;0,'Iron &amp; Steelmaker Tool'!$D$17+('Iron &amp; Steelmaker Tool'!$D$22-'Iron &amp; Steelmaker Tool'!$D$17)*(E$1-'Iron &amp; Steelmaker Tool'!$D$16)/('Iron &amp; Steelmaker Tool'!$D$20-'Iron &amp; Steelmaker Tool'!$D$16),0.01))))</f>
        <v>#DIV/0!</v>
      </c>
      <c r="F34" s="2" t="e">
        <f>IF('Iron &amp; Steelmaker Tool'!$D$17&lt;0,"",IF(F$1&lt;'Iron &amp; Steelmaker Tool'!$D$16,"",IF(AND('Iron &amp; Steelmaker Tool'!$D$22&gt;'Iron &amp; Steelmaker Tool'!$D$17,F$1&gt;='Iron &amp; Steelmaker Tool'!$D$20),'Iron &amp; Steelmaker Tool'!$D$22,IF('Iron &amp; Steelmaker Tool'!$D$17+('Iron &amp; Steelmaker Tool'!$D$22-'Iron &amp; Steelmaker Tool'!$D$17)*(F$1-'Iron &amp; Steelmaker Tool'!$D$16)/('Iron &amp; Steelmaker Tool'!$D$20-'Iron &amp; Steelmaker Tool'!$D$16)&gt;0,'Iron &amp; Steelmaker Tool'!$D$17+('Iron &amp; Steelmaker Tool'!$D$22-'Iron &amp; Steelmaker Tool'!$D$17)*(F$1-'Iron &amp; Steelmaker Tool'!$D$16)/('Iron &amp; Steelmaker Tool'!$D$20-'Iron &amp; Steelmaker Tool'!$D$16),0.01))))</f>
        <v>#DIV/0!</v>
      </c>
      <c r="G34" s="2" t="e">
        <f>IF('Iron &amp; Steelmaker Tool'!$D$17&lt;0,"",IF(G$1&lt;'Iron &amp; Steelmaker Tool'!$D$16,"",IF(AND('Iron &amp; Steelmaker Tool'!$D$22&gt;'Iron &amp; Steelmaker Tool'!$D$17,G$1&gt;='Iron &amp; Steelmaker Tool'!$D$20),'Iron &amp; Steelmaker Tool'!$D$22,IF('Iron &amp; Steelmaker Tool'!$D$17+('Iron &amp; Steelmaker Tool'!$D$22-'Iron &amp; Steelmaker Tool'!$D$17)*(G$1-'Iron &amp; Steelmaker Tool'!$D$16)/('Iron &amp; Steelmaker Tool'!$D$20-'Iron &amp; Steelmaker Tool'!$D$16)&gt;0,'Iron &amp; Steelmaker Tool'!$D$17+('Iron &amp; Steelmaker Tool'!$D$22-'Iron &amp; Steelmaker Tool'!$D$17)*(G$1-'Iron &amp; Steelmaker Tool'!$D$16)/('Iron &amp; Steelmaker Tool'!$D$20-'Iron &amp; Steelmaker Tool'!$D$16),0.01))))</f>
        <v>#DIV/0!</v>
      </c>
      <c r="H34" s="2" t="e">
        <f>IF('Iron &amp; Steelmaker Tool'!$D$17&lt;0,"",IF(H$1&lt;'Iron &amp; Steelmaker Tool'!$D$16,"",IF(AND('Iron &amp; Steelmaker Tool'!$D$22&gt;'Iron &amp; Steelmaker Tool'!$D$17,H$1&gt;='Iron &amp; Steelmaker Tool'!$D$20),'Iron &amp; Steelmaker Tool'!$D$22,IF('Iron &amp; Steelmaker Tool'!$D$17+('Iron &amp; Steelmaker Tool'!$D$22-'Iron &amp; Steelmaker Tool'!$D$17)*(H$1-'Iron &amp; Steelmaker Tool'!$D$16)/('Iron &amp; Steelmaker Tool'!$D$20-'Iron &amp; Steelmaker Tool'!$D$16)&gt;0,'Iron &amp; Steelmaker Tool'!$D$17+('Iron &amp; Steelmaker Tool'!$D$22-'Iron &amp; Steelmaker Tool'!$D$17)*(H$1-'Iron &amp; Steelmaker Tool'!$D$16)/('Iron &amp; Steelmaker Tool'!$D$20-'Iron &amp; Steelmaker Tool'!$D$16),0.01))))</f>
        <v>#DIV/0!</v>
      </c>
      <c r="I34" s="2" t="e">
        <f>IF('Iron &amp; Steelmaker Tool'!$D$17&lt;0,"",IF(I$1&lt;'Iron &amp; Steelmaker Tool'!$D$16,"",IF(AND('Iron &amp; Steelmaker Tool'!$D$22&gt;'Iron &amp; Steelmaker Tool'!$D$17,I$1&gt;='Iron &amp; Steelmaker Tool'!$D$20),'Iron &amp; Steelmaker Tool'!$D$22,IF('Iron &amp; Steelmaker Tool'!$D$17+('Iron &amp; Steelmaker Tool'!$D$22-'Iron &amp; Steelmaker Tool'!$D$17)*(I$1-'Iron &amp; Steelmaker Tool'!$D$16)/('Iron &amp; Steelmaker Tool'!$D$20-'Iron &amp; Steelmaker Tool'!$D$16)&gt;0,'Iron &amp; Steelmaker Tool'!$D$17+('Iron &amp; Steelmaker Tool'!$D$22-'Iron &amp; Steelmaker Tool'!$D$17)*(I$1-'Iron &amp; Steelmaker Tool'!$D$16)/('Iron &amp; Steelmaker Tool'!$D$20-'Iron &amp; Steelmaker Tool'!$D$16),0.01))))</f>
        <v>#DIV/0!</v>
      </c>
      <c r="J34" s="2" t="e">
        <f>IF('Iron &amp; Steelmaker Tool'!$D$17&lt;0,"",IF(J$1&lt;'Iron &amp; Steelmaker Tool'!$D$16,"",IF(AND('Iron &amp; Steelmaker Tool'!$D$22&gt;'Iron &amp; Steelmaker Tool'!$D$17,J$1&gt;='Iron &amp; Steelmaker Tool'!$D$20),'Iron &amp; Steelmaker Tool'!$D$22,IF('Iron &amp; Steelmaker Tool'!$D$17+('Iron &amp; Steelmaker Tool'!$D$22-'Iron &amp; Steelmaker Tool'!$D$17)*(J$1-'Iron &amp; Steelmaker Tool'!$D$16)/('Iron &amp; Steelmaker Tool'!$D$20-'Iron &amp; Steelmaker Tool'!$D$16)&gt;0,'Iron &amp; Steelmaker Tool'!$D$17+('Iron &amp; Steelmaker Tool'!$D$22-'Iron &amp; Steelmaker Tool'!$D$17)*(J$1-'Iron &amp; Steelmaker Tool'!$D$16)/('Iron &amp; Steelmaker Tool'!$D$20-'Iron &amp; Steelmaker Tool'!$D$16),0.01))))</f>
        <v>#DIV/0!</v>
      </c>
      <c r="K34" s="2" t="e">
        <f>IF('Iron &amp; Steelmaker Tool'!$D$17&lt;0,"",IF(K$1&lt;'Iron &amp; Steelmaker Tool'!$D$16,"",IF(AND('Iron &amp; Steelmaker Tool'!$D$22&gt;'Iron &amp; Steelmaker Tool'!$D$17,K$1&gt;='Iron &amp; Steelmaker Tool'!$D$20),'Iron &amp; Steelmaker Tool'!$D$22,IF('Iron &amp; Steelmaker Tool'!$D$17+('Iron &amp; Steelmaker Tool'!$D$22-'Iron &amp; Steelmaker Tool'!$D$17)*(K$1-'Iron &amp; Steelmaker Tool'!$D$16)/('Iron &amp; Steelmaker Tool'!$D$20-'Iron &amp; Steelmaker Tool'!$D$16)&gt;0,'Iron &amp; Steelmaker Tool'!$D$17+('Iron &amp; Steelmaker Tool'!$D$22-'Iron &amp; Steelmaker Tool'!$D$17)*(K$1-'Iron &amp; Steelmaker Tool'!$D$16)/('Iron &amp; Steelmaker Tool'!$D$20-'Iron &amp; Steelmaker Tool'!$D$16),0.01))))</f>
        <v>#DIV/0!</v>
      </c>
      <c r="L34" s="2" t="e">
        <f>IF('Iron &amp; Steelmaker Tool'!$D$17&lt;0,"",IF(L$1&lt;'Iron &amp; Steelmaker Tool'!$D$16,"",IF(AND('Iron &amp; Steelmaker Tool'!$D$22&gt;'Iron &amp; Steelmaker Tool'!$D$17,L$1&gt;='Iron &amp; Steelmaker Tool'!$D$20),'Iron &amp; Steelmaker Tool'!$D$22,IF('Iron &amp; Steelmaker Tool'!$D$17+('Iron &amp; Steelmaker Tool'!$D$22-'Iron &amp; Steelmaker Tool'!$D$17)*(L$1-'Iron &amp; Steelmaker Tool'!$D$16)/('Iron &amp; Steelmaker Tool'!$D$20-'Iron &amp; Steelmaker Tool'!$D$16)&gt;0,'Iron &amp; Steelmaker Tool'!$D$17+('Iron &amp; Steelmaker Tool'!$D$22-'Iron &amp; Steelmaker Tool'!$D$17)*(L$1-'Iron &amp; Steelmaker Tool'!$D$16)/('Iron &amp; Steelmaker Tool'!$D$20-'Iron &amp; Steelmaker Tool'!$D$16),0.01))))</f>
        <v>#DIV/0!</v>
      </c>
      <c r="M34" s="2" t="e">
        <f>IF('Iron &amp; Steelmaker Tool'!$D$17&lt;0,"",IF(M$1&lt;'Iron &amp; Steelmaker Tool'!$D$16,"",IF(AND('Iron &amp; Steelmaker Tool'!$D$22&gt;'Iron &amp; Steelmaker Tool'!$D$17,M$1&gt;='Iron &amp; Steelmaker Tool'!$D$20),'Iron &amp; Steelmaker Tool'!$D$22,IF('Iron &amp; Steelmaker Tool'!$D$17+('Iron &amp; Steelmaker Tool'!$D$22-'Iron &amp; Steelmaker Tool'!$D$17)*(M$1-'Iron &amp; Steelmaker Tool'!$D$16)/('Iron &amp; Steelmaker Tool'!$D$20-'Iron &amp; Steelmaker Tool'!$D$16)&gt;0,'Iron &amp; Steelmaker Tool'!$D$17+('Iron &amp; Steelmaker Tool'!$D$22-'Iron &amp; Steelmaker Tool'!$D$17)*(M$1-'Iron &amp; Steelmaker Tool'!$D$16)/('Iron &amp; Steelmaker Tool'!$D$20-'Iron &amp; Steelmaker Tool'!$D$16),0.01))))</f>
        <v>#DIV/0!</v>
      </c>
      <c r="N34" s="2" t="e">
        <f>IF('Iron &amp; Steelmaker Tool'!$D$17&lt;0,"",IF(N$1&lt;'Iron &amp; Steelmaker Tool'!$D$16,"",IF(AND('Iron &amp; Steelmaker Tool'!$D$22&gt;'Iron &amp; Steelmaker Tool'!$D$17,N$1&gt;='Iron &amp; Steelmaker Tool'!$D$20),'Iron &amp; Steelmaker Tool'!$D$22,IF('Iron &amp; Steelmaker Tool'!$D$17+('Iron &amp; Steelmaker Tool'!$D$22-'Iron &amp; Steelmaker Tool'!$D$17)*(N$1-'Iron &amp; Steelmaker Tool'!$D$16)/('Iron &amp; Steelmaker Tool'!$D$20-'Iron &amp; Steelmaker Tool'!$D$16)&gt;0,'Iron &amp; Steelmaker Tool'!$D$17+('Iron &amp; Steelmaker Tool'!$D$22-'Iron &amp; Steelmaker Tool'!$D$17)*(N$1-'Iron &amp; Steelmaker Tool'!$D$16)/('Iron &amp; Steelmaker Tool'!$D$20-'Iron &amp; Steelmaker Tool'!$D$16),0.01))))</f>
        <v>#DIV/0!</v>
      </c>
      <c r="O34" s="2" t="e">
        <f>IF('Iron &amp; Steelmaker Tool'!$D$17&lt;0,"",IF(O$1&lt;'Iron &amp; Steelmaker Tool'!$D$16,"",IF(AND('Iron &amp; Steelmaker Tool'!$D$22&gt;'Iron &amp; Steelmaker Tool'!$D$17,O$1&gt;='Iron &amp; Steelmaker Tool'!$D$20),'Iron &amp; Steelmaker Tool'!$D$22,IF('Iron &amp; Steelmaker Tool'!$D$17+('Iron &amp; Steelmaker Tool'!$D$22-'Iron &amp; Steelmaker Tool'!$D$17)*(O$1-'Iron &amp; Steelmaker Tool'!$D$16)/('Iron &amp; Steelmaker Tool'!$D$20-'Iron &amp; Steelmaker Tool'!$D$16)&gt;0,'Iron &amp; Steelmaker Tool'!$D$17+('Iron &amp; Steelmaker Tool'!$D$22-'Iron &amp; Steelmaker Tool'!$D$17)*(O$1-'Iron &amp; Steelmaker Tool'!$D$16)/('Iron &amp; Steelmaker Tool'!$D$20-'Iron &amp; Steelmaker Tool'!$D$16),0.01))))</f>
        <v>#DIV/0!</v>
      </c>
      <c r="P34" s="2" t="e">
        <f>IF('Iron &amp; Steelmaker Tool'!$D$17&lt;0,"",IF(P$1&lt;'Iron &amp; Steelmaker Tool'!$D$16,"",IF(AND('Iron &amp; Steelmaker Tool'!$D$22&gt;'Iron &amp; Steelmaker Tool'!$D$17,P$1&gt;='Iron &amp; Steelmaker Tool'!$D$20),'Iron &amp; Steelmaker Tool'!$D$22,IF('Iron &amp; Steelmaker Tool'!$D$17+('Iron &amp; Steelmaker Tool'!$D$22-'Iron &amp; Steelmaker Tool'!$D$17)*(P$1-'Iron &amp; Steelmaker Tool'!$D$16)/('Iron &amp; Steelmaker Tool'!$D$20-'Iron &amp; Steelmaker Tool'!$D$16)&gt;0,'Iron &amp; Steelmaker Tool'!$D$17+('Iron &amp; Steelmaker Tool'!$D$22-'Iron &amp; Steelmaker Tool'!$D$17)*(P$1-'Iron &amp; Steelmaker Tool'!$D$16)/('Iron &amp; Steelmaker Tool'!$D$20-'Iron &amp; Steelmaker Tool'!$D$16),0.01))))</f>
        <v>#DIV/0!</v>
      </c>
      <c r="Q34" s="2" t="e">
        <f>IF('Iron &amp; Steelmaker Tool'!$D$17&lt;0,"",IF(Q$1&lt;'Iron &amp; Steelmaker Tool'!$D$16,"",IF(AND('Iron &amp; Steelmaker Tool'!$D$22&gt;'Iron &amp; Steelmaker Tool'!$D$17,Q$1&gt;='Iron &amp; Steelmaker Tool'!$D$20),'Iron &amp; Steelmaker Tool'!$D$22,IF('Iron &amp; Steelmaker Tool'!$D$17+('Iron &amp; Steelmaker Tool'!$D$22-'Iron &amp; Steelmaker Tool'!$D$17)*(Q$1-'Iron &amp; Steelmaker Tool'!$D$16)/('Iron &amp; Steelmaker Tool'!$D$20-'Iron &amp; Steelmaker Tool'!$D$16)&gt;0,'Iron &amp; Steelmaker Tool'!$D$17+('Iron &amp; Steelmaker Tool'!$D$22-'Iron &amp; Steelmaker Tool'!$D$17)*(Q$1-'Iron &amp; Steelmaker Tool'!$D$16)/('Iron &amp; Steelmaker Tool'!$D$20-'Iron &amp; Steelmaker Tool'!$D$16),0.01))))</f>
        <v>#DIV/0!</v>
      </c>
      <c r="R34" s="2" t="e">
        <f>IF('Iron &amp; Steelmaker Tool'!$D$17&lt;0,"",IF(R$1&lt;'Iron &amp; Steelmaker Tool'!$D$16,"",IF(AND('Iron &amp; Steelmaker Tool'!$D$22&gt;'Iron &amp; Steelmaker Tool'!$D$17,R$1&gt;='Iron &amp; Steelmaker Tool'!$D$20),'Iron &amp; Steelmaker Tool'!$D$22,IF('Iron &amp; Steelmaker Tool'!$D$17+('Iron &amp; Steelmaker Tool'!$D$22-'Iron &amp; Steelmaker Tool'!$D$17)*(R$1-'Iron &amp; Steelmaker Tool'!$D$16)/('Iron &amp; Steelmaker Tool'!$D$20-'Iron &amp; Steelmaker Tool'!$D$16)&gt;0,'Iron &amp; Steelmaker Tool'!$D$17+('Iron &amp; Steelmaker Tool'!$D$22-'Iron &amp; Steelmaker Tool'!$D$17)*(R$1-'Iron &amp; Steelmaker Tool'!$D$16)/('Iron &amp; Steelmaker Tool'!$D$20-'Iron &amp; Steelmaker Tool'!$D$16),0.01))))</f>
        <v>#DIV/0!</v>
      </c>
      <c r="S34" s="2" t="e">
        <f>IF('Iron &amp; Steelmaker Tool'!$D$17&lt;0,"",IF(S$1&lt;'Iron &amp; Steelmaker Tool'!$D$16,"",IF(AND('Iron &amp; Steelmaker Tool'!$D$22&gt;'Iron &amp; Steelmaker Tool'!$D$17,S$1&gt;='Iron &amp; Steelmaker Tool'!$D$20),'Iron &amp; Steelmaker Tool'!$D$22,IF('Iron &amp; Steelmaker Tool'!$D$17+('Iron &amp; Steelmaker Tool'!$D$22-'Iron &amp; Steelmaker Tool'!$D$17)*(S$1-'Iron &amp; Steelmaker Tool'!$D$16)/('Iron &amp; Steelmaker Tool'!$D$20-'Iron &amp; Steelmaker Tool'!$D$16)&gt;0,'Iron &amp; Steelmaker Tool'!$D$17+('Iron &amp; Steelmaker Tool'!$D$22-'Iron &amp; Steelmaker Tool'!$D$17)*(S$1-'Iron &amp; Steelmaker Tool'!$D$16)/('Iron &amp; Steelmaker Tool'!$D$20-'Iron &amp; Steelmaker Tool'!$D$16),0.01))))</f>
        <v>#DIV/0!</v>
      </c>
      <c r="T34" s="2" t="e">
        <f>IF('Iron &amp; Steelmaker Tool'!$D$17&lt;0,"",IF(T$1&lt;'Iron &amp; Steelmaker Tool'!$D$16,"",IF(AND('Iron &amp; Steelmaker Tool'!$D$22&gt;'Iron &amp; Steelmaker Tool'!$D$17,T$1&gt;='Iron &amp; Steelmaker Tool'!$D$20),'Iron &amp; Steelmaker Tool'!$D$22,IF('Iron &amp; Steelmaker Tool'!$D$17+('Iron &amp; Steelmaker Tool'!$D$22-'Iron &amp; Steelmaker Tool'!$D$17)*(T$1-'Iron &amp; Steelmaker Tool'!$D$16)/('Iron &amp; Steelmaker Tool'!$D$20-'Iron &amp; Steelmaker Tool'!$D$16)&gt;0,'Iron &amp; Steelmaker Tool'!$D$17+('Iron &amp; Steelmaker Tool'!$D$22-'Iron &amp; Steelmaker Tool'!$D$17)*(T$1-'Iron &amp; Steelmaker Tool'!$D$16)/('Iron &amp; Steelmaker Tool'!$D$20-'Iron &amp; Steelmaker Tool'!$D$16),0.01))))</f>
        <v>#DIV/0!</v>
      </c>
      <c r="U34" s="2" t="e">
        <f>IF('Iron &amp; Steelmaker Tool'!$D$17&lt;0,"",IF(U$1&lt;'Iron &amp; Steelmaker Tool'!$D$16,"",IF(AND('Iron &amp; Steelmaker Tool'!$D$22&gt;'Iron &amp; Steelmaker Tool'!$D$17,U$1&gt;='Iron &amp; Steelmaker Tool'!$D$20),'Iron &amp; Steelmaker Tool'!$D$22,IF('Iron &amp; Steelmaker Tool'!$D$17+('Iron &amp; Steelmaker Tool'!$D$22-'Iron &amp; Steelmaker Tool'!$D$17)*(U$1-'Iron &amp; Steelmaker Tool'!$D$16)/('Iron &amp; Steelmaker Tool'!$D$20-'Iron &amp; Steelmaker Tool'!$D$16)&gt;0,'Iron &amp; Steelmaker Tool'!$D$17+('Iron &amp; Steelmaker Tool'!$D$22-'Iron &amp; Steelmaker Tool'!$D$17)*(U$1-'Iron &amp; Steelmaker Tool'!$D$16)/('Iron &amp; Steelmaker Tool'!$D$20-'Iron &amp; Steelmaker Tool'!$D$16),0.01))))</f>
        <v>#DIV/0!</v>
      </c>
      <c r="V34" s="2" t="e">
        <f>IF('Iron &amp; Steelmaker Tool'!$D$17&lt;0,"",IF(V$1&lt;'Iron &amp; Steelmaker Tool'!$D$16,"",IF(AND('Iron &amp; Steelmaker Tool'!$D$22&gt;'Iron &amp; Steelmaker Tool'!$D$17,V$1&gt;='Iron &amp; Steelmaker Tool'!$D$20),'Iron &amp; Steelmaker Tool'!$D$22,IF('Iron &amp; Steelmaker Tool'!$D$17+('Iron &amp; Steelmaker Tool'!$D$22-'Iron &amp; Steelmaker Tool'!$D$17)*(V$1-'Iron &amp; Steelmaker Tool'!$D$16)/('Iron &amp; Steelmaker Tool'!$D$20-'Iron &amp; Steelmaker Tool'!$D$16)&gt;0,'Iron &amp; Steelmaker Tool'!$D$17+('Iron &amp; Steelmaker Tool'!$D$22-'Iron &amp; Steelmaker Tool'!$D$17)*(V$1-'Iron &amp; Steelmaker Tool'!$D$16)/('Iron &amp; Steelmaker Tool'!$D$20-'Iron &amp; Steelmaker Tool'!$D$16),0.01))))</f>
        <v>#DIV/0!</v>
      </c>
      <c r="W34" s="2" t="e">
        <f>IF('Iron &amp; Steelmaker Tool'!$D$17&lt;0,"",IF(W$1&lt;'Iron &amp; Steelmaker Tool'!$D$16,"",IF(AND('Iron &amp; Steelmaker Tool'!$D$22&gt;'Iron &amp; Steelmaker Tool'!$D$17,W$1&gt;='Iron &amp; Steelmaker Tool'!$D$20),'Iron &amp; Steelmaker Tool'!$D$22,IF('Iron &amp; Steelmaker Tool'!$D$17+('Iron &amp; Steelmaker Tool'!$D$22-'Iron &amp; Steelmaker Tool'!$D$17)*(W$1-'Iron &amp; Steelmaker Tool'!$D$16)/('Iron &amp; Steelmaker Tool'!$D$20-'Iron &amp; Steelmaker Tool'!$D$16)&gt;0,'Iron &amp; Steelmaker Tool'!$D$17+('Iron &amp; Steelmaker Tool'!$D$22-'Iron &amp; Steelmaker Tool'!$D$17)*(W$1-'Iron &amp; Steelmaker Tool'!$D$16)/('Iron &amp; Steelmaker Tool'!$D$20-'Iron &amp; Steelmaker Tool'!$D$16),0.01))))</f>
        <v>#DIV/0!</v>
      </c>
      <c r="X34" s="2" t="e">
        <f>IF('Iron &amp; Steelmaker Tool'!$D$17&lt;0,"",IF(X$1&lt;'Iron &amp; Steelmaker Tool'!$D$16,"",IF(AND('Iron &amp; Steelmaker Tool'!$D$22&gt;'Iron &amp; Steelmaker Tool'!$D$17,X$1&gt;='Iron &amp; Steelmaker Tool'!$D$20),'Iron &amp; Steelmaker Tool'!$D$22,IF('Iron &amp; Steelmaker Tool'!$D$17+('Iron &amp; Steelmaker Tool'!$D$22-'Iron &amp; Steelmaker Tool'!$D$17)*(X$1-'Iron &amp; Steelmaker Tool'!$D$16)/('Iron &amp; Steelmaker Tool'!$D$20-'Iron &amp; Steelmaker Tool'!$D$16)&gt;0,'Iron &amp; Steelmaker Tool'!$D$17+('Iron &amp; Steelmaker Tool'!$D$22-'Iron &amp; Steelmaker Tool'!$D$17)*(X$1-'Iron &amp; Steelmaker Tool'!$D$16)/('Iron &amp; Steelmaker Tool'!$D$20-'Iron &amp; Steelmaker Tool'!$D$16),0.01))))</f>
        <v>#DIV/0!</v>
      </c>
      <c r="Y34" s="2" t="e">
        <f>IF('Iron &amp; Steelmaker Tool'!$D$17&lt;0,"",IF(Y$1&lt;'Iron &amp; Steelmaker Tool'!$D$16,"",IF(AND('Iron &amp; Steelmaker Tool'!$D$22&gt;'Iron &amp; Steelmaker Tool'!$D$17,Y$1&gt;='Iron &amp; Steelmaker Tool'!$D$20),'Iron &amp; Steelmaker Tool'!$D$22,IF('Iron &amp; Steelmaker Tool'!$D$17+('Iron &amp; Steelmaker Tool'!$D$22-'Iron &amp; Steelmaker Tool'!$D$17)*(Y$1-'Iron &amp; Steelmaker Tool'!$D$16)/('Iron &amp; Steelmaker Tool'!$D$20-'Iron &amp; Steelmaker Tool'!$D$16)&gt;0,'Iron &amp; Steelmaker Tool'!$D$17+('Iron &amp; Steelmaker Tool'!$D$22-'Iron &amp; Steelmaker Tool'!$D$17)*(Y$1-'Iron &amp; Steelmaker Tool'!$D$16)/('Iron &amp; Steelmaker Tool'!$D$20-'Iron &amp; Steelmaker Tool'!$D$16),0.01))))</f>
        <v>#DIV/0!</v>
      </c>
      <c r="Z34" s="2" t="e">
        <f>IF('Iron &amp; Steelmaker Tool'!$D$17&lt;0,"",IF(Z$1&lt;'Iron &amp; Steelmaker Tool'!$D$16,"",IF(AND('Iron &amp; Steelmaker Tool'!$D$22&gt;'Iron &amp; Steelmaker Tool'!$D$17,Z$1&gt;='Iron &amp; Steelmaker Tool'!$D$20),'Iron &amp; Steelmaker Tool'!$D$22,IF('Iron &amp; Steelmaker Tool'!$D$17+('Iron &amp; Steelmaker Tool'!$D$22-'Iron &amp; Steelmaker Tool'!$D$17)*(Z$1-'Iron &amp; Steelmaker Tool'!$D$16)/('Iron &amp; Steelmaker Tool'!$D$20-'Iron &amp; Steelmaker Tool'!$D$16)&gt;0,'Iron &amp; Steelmaker Tool'!$D$17+('Iron &amp; Steelmaker Tool'!$D$22-'Iron &amp; Steelmaker Tool'!$D$17)*(Z$1-'Iron &amp; Steelmaker Tool'!$D$16)/('Iron &amp; Steelmaker Tool'!$D$20-'Iron &amp; Steelmaker Tool'!$D$16),0.01))))</f>
        <v>#DIV/0!</v>
      </c>
      <c r="AA34" s="2" t="e">
        <f>IF('Iron &amp; Steelmaker Tool'!$D$17&lt;0,"",IF(AA$1&lt;'Iron &amp; Steelmaker Tool'!$D$16,"",IF(AND('Iron &amp; Steelmaker Tool'!$D$22&gt;'Iron &amp; Steelmaker Tool'!$D$17,AA$1&gt;='Iron &amp; Steelmaker Tool'!$D$20),'Iron &amp; Steelmaker Tool'!$D$22,IF('Iron &amp; Steelmaker Tool'!$D$17+('Iron &amp; Steelmaker Tool'!$D$22-'Iron &amp; Steelmaker Tool'!$D$17)*(AA$1-'Iron &amp; Steelmaker Tool'!$D$16)/('Iron &amp; Steelmaker Tool'!$D$20-'Iron &amp; Steelmaker Tool'!$D$16)&gt;0,'Iron &amp; Steelmaker Tool'!$D$17+('Iron &amp; Steelmaker Tool'!$D$22-'Iron &amp; Steelmaker Tool'!$D$17)*(AA$1-'Iron &amp; Steelmaker Tool'!$D$16)/('Iron &amp; Steelmaker Tool'!$D$20-'Iron &amp; Steelmaker Tool'!$D$16),0.01))))</f>
        <v>#DIV/0!</v>
      </c>
      <c r="AB34" s="2" t="e">
        <f>IF('Iron &amp; Steelmaker Tool'!$D$17&lt;0,"",IF(AB$1&lt;'Iron &amp; Steelmaker Tool'!$D$16,"",IF(AND('Iron &amp; Steelmaker Tool'!$D$22&gt;'Iron &amp; Steelmaker Tool'!$D$17,AB$1&gt;='Iron &amp; Steelmaker Tool'!$D$20),'Iron &amp; Steelmaker Tool'!$D$22,IF('Iron &amp; Steelmaker Tool'!$D$17+('Iron &amp; Steelmaker Tool'!$D$22-'Iron &amp; Steelmaker Tool'!$D$17)*(AB$1-'Iron &amp; Steelmaker Tool'!$D$16)/('Iron &amp; Steelmaker Tool'!$D$20-'Iron &amp; Steelmaker Tool'!$D$16)&gt;0,'Iron &amp; Steelmaker Tool'!$D$17+('Iron &amp; Steelmaker Tool'!$D$22-'Iron &amp; Steelmaker Tool'!$D$17)*(AB$1-'Iron &amp; Steelmaker Tool'!$D$16)/('Iron &amp; Steelmaker Tool'!$D$20-'Iron &amp; Steelmaker Tool'!$D$16),0.01))))</f>
        <v>#DIV/0!</v>
      </c>
      <c r="AC34" s="2" t="e">
        <f>IF('Iron &amp; Steelmaker Tool'!$D$17&lt;0,"",IF(AC$1&lt;'Iron &amp; Steelmaker Tool'!$D$16,"",IF(AND('Iron &amp; Steelmaker Tool'!$D$22&gt;'Iron &amp; Steelmaker Tool'!$D$17,AC$1&gt;='Iron &amp; Steelmaker Tool'!$D$20),'Iron &amp; Steelmaker Tool'!$D$22,IF('Iron &amp; Steelmaker Tool'!$D$17+('Iron &amp; Steelmaker Tool'!$D$22-'Iron &amp; Steelmaker Tool'!$D$17)*(AC$1-'Iron &amp; Steelmaker Tool'!$D$16)/('Iron &amp; Steelmaker Tool'!$D$20-'Iron &amp; Steelmaker Tool'!$D$16)&gt;0,'Iron &amp; Steelmaker Tool'!$D$17+('Iron &amp; Steelmaker Tool'!$D$22-'Iron &amp; Steelmaker Tool'!$D$17)*(AC$1-'Iron &amp; Steelmaker Tool'!$D$16)/('Iron &amp; Steelmaker Tool'!$D$20-'Iron &amp; Steelmaker Tool'!$D$16),0.01))))</f>
        <v>#DIV/0!</v>
      </c>
      <c r="AD34" s="2" t="e">
        <f>IF('Iron &amp; Steelmaker Tool'!$D$17&lt;0,"",IF(AD$1&lt;'Iron &amp; Steelmaker Tool'!$D$16,"",IF(AND('Iron &amp; Steelmaker Tool'!$D$22&gt;'Iron &amp; Steelmaker Tool'!$D$17,AD$1&gt;='Iron &amp; Steelmaker Tool'!$D$20),'Iron &amp; Steelmaker Tool'!$D$22,IF('Iron &amp; Steelmaker Tool'!$D$17+('Iron &amp; Steelmaker Tool'!$D$22-'Iron &amp; Steelmaker Tool'!$D$17)*(AD$1-'Iron &amp; Steelmaker Tool'!$D$16)/('Iron &amp; Steelmaker Tool'!$D$20-'Iron &amp; Steelmaker Tool'!$D$16)&gt;0,'Iron &amp; Steelmaker Tool'!$D$17+('Iron &amp; Steelmaker Tool'!$D$22-'Iron &amp; Steelmaker Tool'!$D$17)*(AD$1-'Iron &amp; Steelmaker Tool'!$D$16)/('Iron &amp; Steelmaker Tool'!$D$20-'Iron &amp; Steelmaker Tool'!$D$16),0.01))))</f>
        <v>#DIV/0!</v>
      </c>
      <c r="AE34" s="2" t="e">
        <f>IF('Iron &amp; Steelmaker Tool'!$D$17&lt;0,"",IF(AE$1&lt;'Iron &amp; Steelmaker Tool'!$D$16,"",IF(AND('Iron &amp; Steelmaker Tool'!$D$22&gt;'Iron &amp; Steelmaker Tool'!$D$17,AE$1&gt;='Iron &amp; Steelmaker Tool'!$D$20),'Iron &amp; Steelmaker Tool'!$D$22,IF('Iron &amp; Steelmaker Tool'!$D$17+('Iron &amp; Steelmaker Tool'!$D$22-'Iron &amp; Steelmaker Tool'!$D$17)*(AE$1-'Iron &amp; Steelmaker Tool'!$D$16)/('Iron &amp; Steelmaker Tool'!$D$20-'Iron &amp; Steelmaker Tool'!$D$16)&gt;0,'Iron &amp; Steelmaker Tool'!$D$17+('Iron &amp; Steelmaker Tool'!$D$22-'Iron &amp; Steelmaker Tool'!$D$17)*(AE$1-'Iron &amp; Steelmaker Tool'!$D$16)/('Iron &amp; Steelmaker Tool'!$D$20-'Iron &amp; Steelmaker Tool'!$D$16),0.01))))</f>
        <v>#DIV/0!</v>
      </c>
      <c r="AF34" s="2" t="e">
        <f>IF('Iron &amp; Steelmaker Tool'!$D$17&lt;0,"",IF(AF$1&lt;'Iron &amp; Steelmaker Tool'!$D$16,"",IF(AND('Iron &amp; Steelmaker Tool'!$D$22&gt;'Iron &amp; Steelmaker Tool'!$D$17,AF$1&gt;='Iron &amp; Steelmaker Tool'!$D$20),'Iron &amp; Steelmaker Tool'!$D$22,IF('Iron &amp; Steelmaker Tool'!$D$17+('Iron &amp; Steelmaker Tool'!$D$22-'Iron &amp; Steelmaker Tool'!$D$17)*(AF$1-'Iron &amp; Steelmaker Tool'!$D$16)/('Iron &amp; Steelmaker Tool'!$D$20-'Iron &amp; Steelmaker Tool'!$D$16)&gt;0,'Iron &amp; Steelmaker Tool'!$D$17+('Iron &amp; Steelmaker Tool'!$D$22-'Iron &amp; Steelmaker Tool'!$D$17)*(AF$1-'Iron &amp; Steelmaker Tool'!$D$16)/('Iron &amp; Steelmaker Tool'!$D$20-'Iron &amp; Steelmaker Tool'!$D$16),0.01))))</f>
        <v>#DIV/0!</v>
      </c>
      <c r="AG34" s="2" t="e">
        <f>IF('Iron &amp; Steelmaker Tool'!$D$17&lt;0,"",IF(AG$1&lt;'Iron &amp; Steelmaker Tool'!$D$16,"",IF(AND('Iron &amp; Steelmaker Tool'!$D$22&gt;'Iron &amp; Steelmaker Tool'!$D$17,AG$1&gt;='Iron &amp; Steelmaker Tool'!$D$20),'Iron &amp; Steelmaker Tool'!$D$22,IF('Iron &amp; Steelmaker Tool'!$D$17+('Iron &amp; Steelmaker Tool'!$D$22-'Iron &amp; Steelmaker Tool'!$D$17)*(AG$1-'Iron &amp; Steelmaker Tool'!$D$16)/('Iron &amp; Steelmaker Tool'!$D$20-'Iron &amp; Steelmaker Tool'!$D$16)&gt;0,'Iron &amp; Steelmaker Tool'!$D$17+('Iron &amp; Steelmaker Tool'!$D$22-'Iron &amp; Steelmaker Tool'!$D$17)*(AG$1-'Iron &amp; Steelmaker Tool'!$D$16)/('Iron &amp; Steelmaker Tool'!$D$20-'Iron &amp; Steelmaker Tool'!$D$16),0.01))))</f>
        <v>#DIV/0!</v>
      </c>
      <c r="AH34" s="2" t="e">
        <f>IF('Iron &amp; Steelmaker Tool'!$D$17&lt;0,"",IF(AH$1&lt;'Iron &amp; Steelmaker Tool'!$D$16,"",IF(AND('Iron &amp; Steelmaker Tool'!$D$22&gt;'Iron &amp; Steelmaker Tool'!$D$17,AH$1&gt;='Iron &amp; Steelmaker Tool'!$D$20),'Iron &amp; Steelmaker Tool'!$D$22,IF('Iron &amp; Steelmaker Tool'!$D$17+('Iron &amp; Steelmaker Tool'!$D$22-'Iron &amp; Steelmaker Tool'!$D$17)*(AH$1-'Iron &amp; Steelmaker Tool'!$D$16)/('Iron &amp; Steelmaker Tool'!$D$20-'Iron &amp; Steelmaker Tool'!$D$16)&gt;0,'Iron &amp; Steelmaker Tool'!$D$17+('Iron &amp; Steelmaker Tool'!$D$22-'Iron &amp; Steelmaker Tool'!$D$17)*(AH$1-'Iron &amp; Steelmaker Tool'!$D$16)/('Iron &amp; Steelmaker Tool'!$D$20-'Iron &amp; Steelmaker Tool'!$D$16),0.01))))</f>
        <v>#DIV/0!</v>
      </c>
      <c r="AI34" s="2" t="e">
        <f>IF('Iron &amp; Steelmaker Tool'!$D$17&lt;0,"",IF(AI$1&lt;'Iron &amp; Steelmaker Tool'!$D$16,"",IF(AND('Iron &amp; Steelmaker Tool'!$D$22&gt;'Iron &amp; Steelmaker Tool'!$D$17,AI$1&gt;='Iron &amp; Steelmaker Tool'!$D$20),'Iron &amp; Steelmaker Tool'!$D$22,IF('Iron &amp; Steelmaker Tool'!$D$17+('Iron &amp; Steelmaker Tool'!$D$22-'Iron &amp; Steelmaker Tool'!$D$17)*(AI$1-'Iron &amp; Steelmaker Tool'!$D$16)/('Iron &amp; Steelmaker Tool'!$D$20-'Iron &amp; Steelmaker Tool'!$D$16)&gt;0,'Iron &amp; Steelmaker Tool'!$D$17+('Iron &amp; Steelmaker Tool'!$D$22-'Iron &amp; Steelmaker Tool'!$D$17)*(AI$1-'Iron &amp; Steelmaker Tool'!$D$16)/('Iron &amp; Steelmaker Tool'!$D$20-'Iron &amp; Steelmaker Tool'!$D$16),0.01))))</f>
        <v>#DIV/0!</v>
      </c>
      <c r="AJ34" s="2" t="e">
        <f>IF('Iron &amp; Steelmaker Tool'!$D$17&lt;0,"",IF(AJ$1&lt;'Iron &amp; Steelmaker Tool'!$D$16,"",IF(AND('Iron &amp; Steelmaker Tool'!$D$22&gt;'Iron &amp; Steelmaker Tool'!$D$17,AJ$1&gt;='Iron &amp; Steelmaker Tool'!$D$20),'Iron &amp; Steelmaker Tool'!$D$22,IF('Iron &amp; Steelmaker Tool'!$D$17+('Iron &amp; Steelmaker Tool'!$D$22-'Iron &amp; Steelmaker Tool'!$D$17)*(AJ$1-'Iron &amp; Steelmaker Tool'!$D$16)/('Iron &amp; Steelmaker Tool'!$D$20-'Iron &amp; Steelmaker Tool'!$D$16)&gt;0,'Iron &amp; Steelmaker Tool'!$D$17+('Iron &amp; Steelmaker Tool'!$D$22-'Iron &amp; Steelmaker Tool'!$D$17)*(AJ$1-'Iron &amp; Steelmaker Tool'!$D$16)/('Iron &amp; Steelmaker Tool'!$D$20-'Iron &amp; Steelmaker Tool'!$D$16),0.01))))</f>
        <v>#DIV/0!</v>
      </c>
      <c r="AK34" s="2" t="e">
        <f>IF('Iron &amp; Steelmaker Tool'!$D$17&lt;0,"",IF(AK$1&lt;'Iron &amp; Steelmaker Tool'!$D$16,"",IF(AND('Iron &amp; Steelmaker Tool'!$D$22&gt;'Iron &amp; Steelmaker Tool'!$D$17,AK$1&gt;='Iron &amp; Steelmaker Tool'!$D$20),'Iron &amp; Steelmaker Tool'!$D$22,IF('Iron &amp; Steelmaker Tool'!$D$17+('Iron &amp; Steelmaker Tool'!$D$22-'Iron &amp; Steelmaker Tool'!$D$17)*(AK$1-'Iron &amp; Steelmaker Tool'!$D$16)/('Iron &amp; Steelmaker Tool'!$D$20-'Iron &amp; Steelmaker Tool'!$D$16)&gt;0,'Iron &amp; Steelmaker Tool'!$D$17+('Iron &amp; Steelmaker Tool'!$D$22-'Iron &amp; Steelmaker Tool'!$D$17)*(AK$1-'Iron &amp; Steelmaker Tool'!$D$16)/('Iron &amp; Steelmaker Tool'!$D$20-'Iron &amp; Steelmaker Tool'!$D$16),0.01))))</f>
        <v>#DIV/0!</v>
      </c>
      <c r="AL34" s="2" t="e">
        <f>IF('Iron &amp; Steelmaker Tool'!$D$17&lt;0,"",IF(AL$1&lt;'Iron &amp; Steelmaker Tool'!$D$16,"",IF(AND('Iron &amp; Steelmaker Tool'!$D$22&gt;'Iron &amp; Steelmaker Tool'!$D$17,AL$1&gt;='Iron &amp; Steelmaker Tool'!$D$20),'Iron &amp; Steelmaker Tool'!$D$22,IF('Iron &amp; Steelmaker Tool'!$D$17+('Iron &amp; Steelmaker Tool'!$D$22-'Iron &amp; Steelmaker Tool'!$D$17)*(AL$1-'Iron &amp; Steelmaker Tool'!$D$16)/('Iron &amp; Steelmaker Tool'!$D$20-'Iron &amp; Steelmaker Tool'!$D$16)&gt;0,'Iron &amp; Steelmaker Tool'!$D$17+('Iron &amp; Steelmaker Tool'!$D$22-'Iron &amp; Steelmaker Tool'!$D$17)*(AL$1-'Iron &amp; Steelmaker Tool'!$D$16)/('Iron &amp; Steelmaker Tool'!$D$20-'Iron &amp; Steelmaker Tool'!$D$16),0.01))))</f>
        <v>#DIV/0!</v>
      </c>
      <c r="AM34" s="2" t="e">
        <f>IF('Iron &amp; Steelmaker Tool'!$D$17&lt;0,"",IF(AM$1&lt;'Iron &amp; Steelmaker Tool'!$D$16,"",IF(AND('Iron &amp; Steelmaker Tool'!$D$22&gt;'Iron &amp; Steelmaker Tool'!$D$17,AM$1&gt;='Iron &amp; Steelmaker Tool'!$D$20),'Iron &amp; Steelmaker Tool'!$D$22,IF('Iron &amp; Steelmaker Tool'!$D$17+('Iron &amp; Steelmaker Tool'!$D$22-'Iron &amp; Steelmaker Tool'!$D$17)*(AM$1-'Iron &amp; Steelmaker Tool'!$D$16)/('Iron &amp; Steelmaker Tool'!$D$20-'Iron &amp; Steelmaker Tool'!$D$16)&gt;0,'Iron &amp; Steelmaker Tool'!$D$17+('Iron &amp; Steelmaker Tool'!$D$22-'Iron &amp; Steelmaker Tool'!$D$17)*(AM$1-'Iron &amp; Steelmaker Tool'!$D$16)/('Iron &amp; Steelmaker Tool'!$D$20-'Iron &amp; Steelmaker Tool'!$D$16),0.01))))</f>
        <v>#DIV/0!</v>
      </c>
      <c r="AN34" s="2" t="e">
        <f>IF('Iron &amp; Steelmaker Tool'!$D$17&lt;0,"",IF(AN$1&lt;'Iron &amp; Steelmaker Tool'!$D$16,"",IF(AND('Iron &amp; Steelmaker Tool'!$D$22&gt;'Iron &amp; Steelmaker Tool'!$D$17,AN$1&gt;='Iron &amp; Steelmaker Tool'!$D$20),'Iron &amp; Steelmaker Tool'!$D$22,IF('Iron &amp; Steelmaker Tool'!$D$17+('Iron &amp; Steelmaker Tool'!$D$22-'Iron &amp; Steelmaker Tool'!$D$17)*(AN$1-'Iron &amp; Steelmaker Tool'!$D$16)/('Iron &amp; Steelmaker Tool'!$D$20-'Iron &amp; Steelmaker Tool'!$D$16)&gt;0,'Iron &amp; Steelmaker Tool'!$D$17+('Iron &amp; Steelmaker Tool'!$D$22-'Iron &amp; Steelmaker Tool'!$D$17)*(AN$1-'Iron &amp; Steelmaker Tool'!$D$16)/('Iron &amp; Steelmaker Tool'!$D$20-'Iron &amp; Steelmaker Tool'!$D$16),0.01))))</f>
        <v>#DIV/0!</v>
      </c>
      <c r="AO34" s="2" t="e">
        <f>IF('Iron &amp; Steelmaker Tool'!$D$17&lt;0,"",IF(AO$1&lt;'Iron &amp; Steelmaker Tool'!$D$16,"",IF('Iron &amp; Steelmaker Tool'!$D$17+('Iron &amp; Steelmaker Tool'!$D$22-'Iron &amp; Steelmaker Tool'!$D$17)*(AO$1-'Iron &amp; Steelmaker Tool'!$D$16)/('Iron &amp; Steelmaker Tool'!$D$20-'Iron &amp; Steelmaker Tool'!$D$16)&gt;0,'Iron &amp; Steelmaker Tool'!$D$17+('Iron &amp; Steelmaker Tool'!$D$22-'Iron &amp; Steelmaker Tool'!$D$17)*(AO$1-'Iron &amp; Steelmaker Tool'!$D$16)/('Iron &amp; Steelmaker Tool'!$D$20-'Iron &amp; Steelmaker Tool'!$D$16),0.01)))</f>
        <v>#DIV/0!</v>
      </c>
      <c r="AP34" s="2" t="e">
        <f>IF('Iron &amp; Steelmaker Tool'!$D$17&lt;0,"",IF(AP$1&lt;'Iron &amp; Steelmaker Tool'!$D$16,"",IF('Iron &amp; Steelmaker Tool'!$D$17+('Iron &amp; Steelmaker Tool'!$D$22-'Iron &amp; Steelmaker Tool'!$D$17)*(AP$1-'Iron &amp; Steelmaker Tool'!$D$16)/('Iron &amp; Steelmaker Tool'!$D$20-'Iron &amp; Steelmaker Tool'!$D$16)&gt;0,'Iron &amp; Steelmaker Tool'!$D$17+('Iron &amp; Steelmaker Tool'!$D$22-'Iron &amp; Steelmaker Tool'!$D$17)*(AP$1-'Iron &amp; Steelmaker Tool'!$D$16)/('Iron &amp; Steelmaker Tool'!$D$20-'Iron &amp; Steelmaker Tool'!$D$16),0.01)))</f>
        <v>#DIV/0!</v>
      </c>
      <c r="AQ34" s="2" t="e">
        <f>IF('Iron &amp; Steelmaker Tool'!$D$17&lt;0,"",IF(AQ$1&lt;'Iron &amp; Steelmaker Tool'!$D$16,"",IF('Iron &amp; Steelmaker Tool'!$D$17+('Iron &amp; Steelmaker Tool'!$D$22-'Iron &amp; Steelmaker Tool'!$D$17)*(AQ$1-'Iron &amp; Steelmaker Tool'!$D$16)/('Iron &amp; Steelmaker Tool'!$D$20-'Iron &amp; Steelmaker Tool'!$D$16)&gt;0,'Iron &amp; Steelmaker Tool'!$D$17+('Iron &amp; Steelmaker Tool'!$D$22-'Iron &amp; Steelmaker Tool'!$D$17)*(AQ$1-'Iron &amp; Steelmaker Tool'!$D$16)/('Iron &amp; Steelmaker Tool'!$D$20-'Iron &amp; Steelmaker Tool'!$D$16),0.01)))</f>
        <v>#DIV/0!</v>
      </c>
      <c r="AR34" s="2" t="e">
        <f>IF('Iron &amp; Steelmaker Tool'!$D$17&lt;0,"",IF(AR$1&lt;'Iron &amp; Steelmaker Tool'!$D$16,"",IF('Iron &amp; Steelmaker Tool'!$D$17+('Iron &amp; Steelmaker Tool'!$D$22-'Iron &amp; Steelmaker Tool'!$D$17)*(AR$1-'Iron &amp; Steelmaker Tool'!$D$16)/('Iron &amp; Steelmaker Tool'!$D$20-'Iron &amp; Steelmaker Tool'!$D$16)&gt;0,'Iron &amp; Steelmaker Tool'!$D$17+('Iron &amp; Steelmaker Tool'!$D$22-'Iron &amp; Steelmaker Tool'!$D$17)*(AR$1-'Iron &amp; Steelmaker Tool'!$D$16)/('Iron &amp; Steelmaker Tool'!$D$20-'Iron &amp; Steelmaker Tool'!$D$16),0.01)))</f>
        <v>#DIV/0!</v>
      </c>
      <c r="AS34" s="2" t="e">
        <f>IF('Iron &amp; Steelmaker Tool'!$D$17&lt;0,"",IF(AS$1&lt;'Iron &amp; Steelmaker Tool'!$D$16,"",IF('Iron &amp; Steelmaker Tool'!$D$17+('Iron &amp; Steelmaker Tool'!$D$22-'Iron &amp; Steelmaker Tool'!$D$17)*(AS$1-'Iron &amp; Steelmaker Tool'!$D$16)/('Iron &amp; Steelmaker Tool'!$D$20-'Iron &amp; Steelmaker Tool'!$D$16)&gt;0,'Iron &amp; Steelmaker Tool'!$D$17+('Iron &amp; Steelmaker Tool'!$D$22-'Iron &amp; Steelmaker Tool'!$D$17)*(AS$1-'Iron &amp; Steelmaker Tool'!$D$16)/('Iron &amp; Steelmaker Tool'!$D$20-'Iron &amp; Steelmaker Tool'!$D$16),0.01)))</f>
        <v>#DIV/0!</v>
      </c>
      <c r="AT34" s="2" t="e">
        <f>IF('Iron &amp; Steelmaker Tool'!$D$17&lt;0,"",IF(AT$1&lt;'Iron &amp; Steelmaker Tool'!$D$16,"",IF('Iron &amp; Steelmaker Tool'!$D$17+('Iron &amp; Steelmaker Tool'!$D$22-'Iron &amp; Steelmaker Tool'!$D$17)*(AT$1-'Iron &amp; Steelmaker Tool'!$D$16)/('Iron &amp; Steelmaker Tool'!$D$20-'Iron &amp; Steelmaker Tool'!$D$16)&gt;0,'Iron &amp; Steelmaker Tool'!$D$17+('Iron &amp; Steelmaker Tool'!$D$22-'Iron &amp; Steelmaker Tool'!$D$17)*(AT$1-'Iron &amp; Steelmaker Tool'!$D$16)/('Iron &amp; Steelmaker Tool'!$D$20-'Iron &amp; Steelmaker Tool'!$D$16),0.01)))</f>
        <v>#DIV/0!</v>
      </c>
      <c r="AU34" s="2" t="e">
        <f>IF('Iron &amp; Steelmaker Tool'!$D$17&lt;0,"",IF(AU$1&lt;'Iron &amp; Steelmaker Tool'!$D$16,"",IF('Iron &amp; Steelmaker Tool'!$D$17+('Iron &amp; Steelmaker Tool'!$D$22-'Iron &amp; Steelmaker Tool'!$D$17)*(AU$1-'Iron &amp; Steelmaker Tool'!$D$16)/('Iron &amp; Steelmaker Tool'!$D$20-'Iron &amp; Steelmaker Tool'!$D$16)&gt;0,'Iron &amp; Steelmaker Tool'!$D$17+('Iron &amp; Steelmaker Tool'!$D$22-'Iron &amp; Steelmaker Tool'!$D$17)*(AU$1-'Iron &amp; Steelmaker Tool'!$D$16)/('Iron &amp; Steelmaker Tool'!$D$20-'Iron &amp; Steelmaker Tool'!$D$16),0.01)))</f>
        <v>#DIV/0!</v>
      </c>
      <c r="AV34" s="2" t="e">
        <f>IF('Iron &amp; Steelmaker Tool'!$D$17&lt;0,"",IF(AV$1&lt;'Iron &amp; Steelmaker Tool'!$D$16,"",IF('Iron &amp; Steelmaker Tool'!$D$17+('Iron &amp; Steelmaker Tool'!$D$22-'Iron &amp; Steelmaker Tool'!$D$17)*(AV$1-'Iron &amp; Steelmaker Tool'!$D$16)/('Iron &amp; Steelmaker Tool'!$D$20-'Iron &amp; Steelmaker Tool'!$D$16)&gt;0,'Iron &amp; Steelmaker Tool'!$D$17+('Iron &amp; Steelmaker Tool'!$D$22-'Iron &amp; Steelmaker Tool'!$D$17)*(AV$1-'Iron &amp; Steelmaker Tool'!$D$16)/('Iron &amp; Steelmaker Tool'!$D$20-'Iron &amp; Steelmaker Tool'!$D$16),0.01)))</f>
        <v>#DIV/0!</v>
      </c>
      <c r="AW34" s="2" t="e">
        <f>IF('Iron &amp; Steelmaker Tool'!$D$17&lt;0,"",IF(AW$1&lt;'Iron &amp; Steelmaker Tool'!$D$16,"",IF('Iron &amp; Steelmaker Tool'!$D$17+('Iron &amp; Steelmaker Tool'!$D$22-'Iron &amp; Steelmaker Tool'!$D$17)*(AW$1-'Iron &amp; Steelmaker Tool'!$D$16)/('Iron &amp; Steelmaker Tool'!$D$20-'Iron &amp; Steelmaker Tool'!$D$16)&gt;0,'Iron &amp; Steelmaker Tool'!$D$17+('Iron &amp; Steelmaker Tool'!$D$22-'Iron &amp; Steelmaker Tool'!$D$17)*(AW$1-'Iron &amp; Steelmaker Tool'!$D$16)/('Iron &amp; Steelmaker Tool'!$D$20-'Iron &amp; Steelmaker Tool'!$D$16),0.01)))</f>
        <v>#DIV/0!</v>
      </c>
      <c r="AX34" s="2" t="e">
        <f>IF('Iron &amp; Steelmaker Tool'!$D$17&lt;0,"",IF(AX$1&lt;'Iron &amp; Steelmaker Tool'!$D$16,"",IF('Iron &amp; Steelmaker Tool'!$D$17+('Iron &amp; Steelmaker Tool'!$D$22-'Iron &amp; Steelmaker Tool'!$D$17)*(AX$1-'Iron &amp; Steelmaker Tool'!$D$16)/('Iron &amp; Steelmaker Tool'!$D$20-'Iron &amp; Steelmaker Tool'!$D$16)&gt;0,'Iron &amp; Steelmaker Tool'!$D$17+('Iron &amp; Steelmaker Tool'!$D$22-'Iron &amp; Steelmaker Tool'!$D$17)*(AX$1-'Iron &amp; Steelmaker Tool'!$D$16)/('Iron &amp; Steelmaker Tool'!$D$20-'Iron &amp; Steelmaker Tool'!$D$16),0.01)))</f>
        <v>#DIV/0!</v>
      </c>
    </row>
    <row r="36" spans="1:90" x14ac:dyDescent="0.15">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582"/>
      <c r="AL36" s="582"/>
      <c r="AM36" s="582"/>
      <c r="AN36" s="582"/>
    </row>
    <row r="37" spans="1:90" s="43" customFormat="1" ht="23" x14ac:dyDescent="0.25">
      <c r="A37" s="64" t="s">
        <v>251</v>
      </c>
      <c r="D37" s="56"/>
      <c r="E37" s="56"/>
      <c r="F37" s="150"/>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row>
    <row r="38" spans="1:90" x14ac:dyDescent="0.15">
      <c r="A38" s="1" t="s">
        <v>54</v>
      </c>
    </row>
    <row r="39" spans="1:90" x14ac:dyDescent="0.15">
      <c r="A39" s="1"/>
      <c r="B39" t="s">
        <v>221</v>
      </c>
      <c r="D39" s="1">
        <f>IF(AND(D$1&gt;='Iron &amp; Steelmaker Tool'!$D$16,D$1&lt;=2060),IF(D$1='Iron &amp; Steelmaker Tool'!$D$16,'Iron &amp; Steelmaker Tool'!$D$16,D$1),NA())</f>
        <v>2014</v>
      </c>
      <c r="E39" s="1">
        <f>IF(AND(E$1&gt;='Iron &amp; Steelmaker Tool'!$D$16,E$1&lt;=2060),IF(E$1='Iron &amp; Steelmaker Tool'!$D$16,'Iron &amp; Steelmaker Tool'!$D$16,E$1),NA())</f>
        <v>2015</v>
      </c>
      <c r="F39" s="1">
        <f>IF(AND(F$1&gt;='Iron &amp; Steelmaker Tool'!$D$16,F$1&lt;=2060),IF(F$1='Iron &amp; Steelmaker Tool'!$D$16,'Iron &amp; Steelmaker Tool'!$D$16,F$1),NA())</f>
        <v>2016</v>
      </c>
      <c r="G39" s="1">
        <f>IF(AND(G$1&gt;='Iron &amp; Steelmaker Tool'!$D$16,G$1&lt;=2060),IF(G$1='Iron &amp; Steelmaker Tool'!$D$16,'Iron &amp; Steelmaker Tool'!$D$16,G$1),NA())</f>
        <v>2017</v>
      </c>
      <c r="H39" s="1">
        <f>IF(AND(H$1&gt;='Iron &amp; Steelmaker Tool'!$D$16,H$1&lt;=2060),IF(H$1='Iron &amp; Steelmaker Tool'!$D$16,'Iron &amp; Steelmaker Tool'!$D$16,H$1),NA())</f>
        <v>2018</v>
      </c>
      <c r="I39" s="1">
        <f>IF(AND(I$1&gt;='Iron &amp; Steelmaker Tool'!$D$16,I$1&lt;=2060),IF(I$1='Iron &amp; Steelmaker Tool'!$D$16,'Iron &amp; Steelmaker Tool'!$D$16,I$1),NA())</f>
        <v>2019</v>
      </c>
      <c r="J39" s="1">
        <f>IF(AND(J$1&gt;='Iron &amp; Steelmaker Tool'!$D$16,J$1&lt;=2060),IF(J$1='Iron &amp; Steelmaker Tool'!$D$16,'Iron &amp; Steelmaker Tool'!$D$16,J$1),NA())</f>
        <v>2020</v>
      </c>
      <c r="K39" s="1">
        <f>IF(AND(K$1&gt;='Iron &amp; Steelmaker Tool'!$D$16,K$1&lt;=2060),IF(K$1='Iron &amp; Steelmaker Tool'!$D$16,'Iron &amp; Steelmaker Tool'!$D$16,K$1),NA())</f>
        <v>2021</v>
      </c>
      <c r="L39" s="1">
        <f>IF(AND(L$1&gt;='Iron &amp; Steelmaker Tool'!$D$16,L$1&lt;=2060),IF(L$1='Iron &amp; Steelmaker Tool'!$D$16,'Iron &amp; Steelmaker Tool'!$D$16,L$1),NA())</f>
        <v>2022</v>
      </c>
      <c r="M39" s="1">
        <f>IF(AND(M$1&gt;='Iron &amp; Steelmaker Tool'!$D$16,M$1&lt;=2060),IF(M$1='Iron &amp; Steelmaker Tool'!$D$16,'Iron &amp; Steelmaker Tool'!$D$16,M$1),NA())</f>
        <v>2023</v>
      </c>
      <c r="N39" s="1">
        <f>IF(AND(N$1&gt;='Iron &amp; Steelmaker Tool'!$D$16,N$1&lt;=2060),IF(N$1='Iron &amp; Steelmaker Tool'!$D$16,'Iron &amp; Steelmaker Tool'!$D$16,N$1),NA())</f>
        <v>2024</v>
      </c>
      <c r="O39" s="1">
        <f>IF(AND(O$1&gt;='Iron &amp; Steelmaker Tool'!$D$16,O$1&lt;=2060),IF(O$1='Iron &amp; Steelmaker Tool'!$D$16,'Iron &amp; Steelmaker Tool'!$D$16,O$1),NA())</f>
        <v>2025</v>
      </c>
      <c r="P39" s="1">
        <f>IF(AND(P$1&gt;='Iron &amp; Steelmaker Tool'!$D$16,P$1&lt;=2060),IF(P$1='Iron &amp; Steelmaker Tool'!$D$16,'Iron &amp; Steelmaker Tool'!$D$16,P$1),NA())</f>
        <v>2026</v>
      </c>
      <c r="Q39" s="1">
        <f>IF(AND(Q$1&gt;='Iron &amp; Steelmaker Tool'!$D$16,Q$1&lt;=2060),IF(Q$1='Iron &amp; Steelmaker Tool'!$D$16,'Iron &amp; Steelmaker Tool'!$D$16,Q$1),NA())</f>
        <v>2027</v>
      </c>
      <c r="R39" s="1">
        <f>IF(AND(R$1&gt;='Iron &amp; Steelmaker Tool'!$D$16,R$1&lt;=2060),IF(R$1='Iron &amp; Steelmaker Tool'!$D$16,'Iron &amp; Steelmaker Tool'!$D$16,R$1),NA())</f>
        <v>2028</v>
      </c>
      <c r="S39" s="1">
        <f>IF(AND(S$1&gt;='Iron &amp; Steelmaker Tool'!$D$16,S$1&lt;=2060),IF(S$1='Iron &amp; Steelmaker Tool'!$D$16,'Iron &amp; Steelmaker Tool'!$D$16,S$1),NA())</f>
        <v>2029</v>
      </c>
      <c r="T39" s="1">
        <f>IF(AND(T$1&gt;='Iron &amp; Steelmaker Tool'!$D$16,T$1&lt;=2060),IF(T$1='Iron &amp; Steelmaker Tool'!$D$16,'Iron &amp; Steelmaker Tool'!$D$16,T$1),NA())</f>
        <v>2030</v>
      </c>
      <c r="U39" s="1">
        <f>IF(AND(U$1&gt;='Iron &amp; Steelmaker Tool'!$D$16,U$1&lt;=2060),IF(U$1='Iron &amp; Steelmaker Tool'!$D$16,'Iron &amp; Steelmaker Tool'!$D$16,U$1),NA())</f>
        <v>2031</v>
      </c>
      <c r="V39" s="1">
        <f>IF(AND(V$1&gt;='Iron &amp; Steelmaker Tool'!$D$16,V$1&lt;=2060),IF(V$1='Iron &amp; Steelmaker Tool'!$D$16,'Iron &amp; Steelmaker Tool'!$D$16,V$1),NA())</f>
        <v>2032</v>
      </c>
      <c r="W39" s="1">
        <f>IF(AND(W$1&gt;='Iron &amp; Steelmaker Tool'!$D$16,W$1&lt;=2060),IF(W$1='Iron &amp; Steelmaker Tool'!$D$16,'Iron &amp; Steelmaker Tool'!$D$16,W$1),NA())</f>
        <v>2033</v>
      </c>
      <c r="X39" s="1">
        <f>IF(AND(X$1&gt;='Iron &amp; Steelmaker Tool'!$D$16,X$1&lt;=2060),IF(X$1='Iron &amp; Steelmaker Tool'!$D$16,'Iron &amp; Steelmaker Tool'!$D$16,X$1),NA())</f>
        <v>2034</v>
      </c>
      <c r="Y39" s="1">
        <f>IF(AND(Y$1&gt;='Iron &amp; Steelmaker Tool'!$D$16,Y$1&lt;=2060),IF(Y$1='Iron &amp; Steelmaker Tool'!$D$16,'Iron &amp; Steelmaker Tool'!$D$16,Y$1),NA())</f>
        <v>2035</v>
      </c>
      <c r="Z39" s="1">
        <f>IF(AND(Z$1&gt;='Iron &amp; Steelmaker Tool'!$D$16,Z$1&lt;=2060),IF(Z$1='Iron &amp; Steelmaker Tool'!$D$16,'Iron &amp; Steelmaker Tool'!$D$16,Z$1),NA())</f>
        <v>2036</v>
      </c>
      <c r="AA39" s="1">
        <f>IF(AND(AA$1&gt;='Iron &amp; Steelmaker Tool'!$D$16,AA$1&lt;=2060),IF(AA$1='Iron &amp; Steelmaker Tool'!$D$16,'Iron &amp; Steelmaker Tool'!$D$16,AA$1),NA())</f>
        <v>2037</v>
      </c>
      <c r="AB39" s="1">
        <f>IF(AND(AB$1&gt;='Iron &amp; Steelmaker Tool'!$D$16,AB$1&lt;=2060),IF(AB$1='Iron &amp; Steelmaker Tool'!$D$16,'Iron &amp; Steelmaker Tool'!$D$16,AB$1),NA())</f>
        <v>2038</v>
      </c>
      <c r="AC39" s="1">
        <f>IF(AND(AC$1&gt;='Iron &amp; Steelmaker Tool'!$D$16,AC$1&lt;=2060),IF(AC$1='Iron &amp; Steelmaker Tool'!$D$16,'Iron &amp; Steelmaker Tool'!$D$16,AC$1),NA())</f>
        <v>2039</v>
      </c>
      <c r="AD39" s="1">
        <f>IF(AND(AD$1&gt;='Iron &amp; Steelmaker Tool'!$D$16,AD$1&lt;=2060),IF(AD$1='Iron &amp; Steelmaker Tool'!$D$16,'Iron &amp; Steelmaker Tool'!$D$16,AD$1),NA())</f>
        <v>2040</v>
      </c>
      <c r="AE39" s="1">
        <f>IF(AND(AE$1&gt;='Iron &amp; Steelmaker Tool'!$D$16,AE$1&lt;=2060),IF(AE$1='Iron &amp; Steelmaker Tool'!$D$16,'Iron &amp; Steelmaker Tool'!$D$16,AE$1),NA())</f>
        <v>2041</v>
      </c>
      <c r="AF39" s="1">
        <f>IF(AND(AF$1&gt;='Iron &amp; Steelmaker Tool'!$D$16,AF$1&lt;=2060),IF(AF$1='Iron &amp; Steelmaker Tool'!$D$16,'Iron &amp; Steelmaker Tool'!$D$16,AF$1),NA())</f>
        <v>2042</v>
      </c>
      <c r="AG39" s="1">
        <f>IF(AND(AG$1&gt;='Iron &amp; Steelmaker Tool'!$D$16,AG$1&lt;=2060),IF(AG$1='Iron &amp; Steelmaker Tool'!$D$16,'Iron &amp; Steelmaker Tool'!$D$16,AG$1),NA())</f>
        <v>2043</v>
      </c>
      <c r="AH39" s="1">
        <f>IF(AND(AH$1&gt;='Iron &amp; Steelmaker Tool'!$D$16,AH$1&lt;=2060),IF(AH$1='Iron &amp; Steelmaker Tool'!$D$16,'Iron &amp; Steelmaker Tool'!$D$16,AH$1),NA())</f>
        <v>2044</v>
      </c>
      <c r="AI39" s="1">
        <f>IF(AND(AI$1&gt;='Iron &amp; Steelmaker Tool'!$D$16,AI$1&lt;=2060),IF(AI$1='Iron &amp; Steelmaker Tool'!$D$16,'Iron &amp; Steelmaker Tool'!$D$16,AI$1),NA())</f>
        <v>2045</v>
      </c>
      <c r="AJ39" s="1">
        <f>IF(AND(AJ$1&gt;='Iron &amp; Steelmaker Tool'!$D$16,AJ$1&lt;=2060),IF(AJ$1='Iron &amp; Steelmaker Tool'!$D$16,'Iron &amp; Steelmaker Tool'!$D$16,AJ$1),NA())</f>
        <v>2046</v>
      </c>
      <c r="AK39" s="1">
        <f>IF(AND(AK$1&gt;='Iron &amp; Steelmaker Tool'!$D$16,AK$1&lt;=2060),IF(AK$1='Iron &amp; Steelmaker Tool'!$D$16,'Iron &amp; Steelmaker Tool'!$D$16,AK$1),NA())</f>
        <v>2047</v>
      </c>
      <c r="AL39" s="1">
        <f>IF(AND(AL$1&gt;='Iron &amp; Steelmaker Tool'!$D$16,AL$1&lt;=2060),IF(AL$1='Iron &amp; Steelmaker Tool'!$D$16,'Iron &amp; Steelmaker Tool'!$D$16,AL$1),NA())</f>
        <v>2048</v>
      </c>
      <c r="AM39" s="1">
        <f>IF(AND(AM$1&gt;='Iron &amp; Steelmaker Tool'!$D$16,AM$1&lt;=2060),IF(AM$1='Iron &amp; Steelmaker Tool'!$D$16,'Iron &amp; Steelmaker Tool'!$D$16,AM$1),NA())</f>
        <v>2049</v>
      </c>
      <c r="AN39" s="1">
        <f>IF(AND(AN$1&gt;='Iron &amp; Steelmaker Tool'!$D$16,AN$1&lt;=2060),IF(AN$1='Iron &amp; Steelmaker Tool'!$D$16,'Iron &amp; Steelmaker Tool'!$D$16,AN$1),NA())</f>
        <v>2050</v>
      </c>
      <c r="AO39" s="63"/>
      <c r="AP39" s="63"/>
      <c r="AQ39" s="63"/>
      <c r="AR39" s="63"/>
      <c r="AS39" s="63"/>
      <c r="AT39" s="63"/>
      <c r="AU39" s="63"/>
      <c r="AV39" s="63"/>
      <c r="AW39" s="63"/>
      <c r="AX39" s="63"/>
    </row>
    <row r="40" spans="1:90" x14ac:dyDescent="0.15">
      <c r="A40" s="487"/>
      <c r="B40" s="487" t="s">
        <v>477</v>
      </c>
      <c r="C40" s="487" t="s">
        <v>220</v>
      </c>
      <c r="D40" s="543">
        <f>IF(D$1&gt;='Iron &amp; Steelmaker Tool'!$D$20,'Iron &amp; Steelmaker Tool'!$D$25,IF(D$1&lt;'Iron &amp; Steelmaker Tool'!$D$16,"",INDEX('Steel-data'!$J$26:$AN$26,MATCH(D$1,'Steel-data'!$J$25:$AN$25,0))))</f>
        <v>0</v>
      </c>
      <c r="E40" s="543">
        <f>IF(E$1&lt;'Iron &amp; Steelmaker Tool'!$D$16,"",INDEX('Steel-data'!$E$26:$AN$26,MATCH(E$1,'Steel-data'!$E$25:$AN$25,0)))</f>
        <v>0</v>
      </c>
      <c r="F40" s="543">
        <f>IF(F$1&lt;'Iron &amp; Steelmaker Tool'!$D$16,"",INDEX('Steel-data'!$E$26:$AN$26,MATCH(F$1,'Steel-data'!$E$25:$AN$25,0)))</f>
        <v>0</v>
      </c>
      <c r="G40" s="543">
        <f>IF(G$1&lt;'Iron &amp; Steelmaker Tool'!$D$16,"",INDEX('Steel-data'!$E$26:$AN$26,MATCH(G$1,'Steel-data'!$E$25:$AN$25,0)))</f>
        <v>0</v>
      </c>
      <c r="H40" s="543">
        <f>IF(H$1&lt;'Iron &amp; Steelmaker Tool'!$D$16,"",INDEX('Steel-data'!$E$26:$AN$26,MATCH(H$1,'Steel-data'!$E$25:$AN$25,0)))</f>
        <v>0</v>
      </c>
      <c r="I40" s="543">
        <f>IF(I$1&lt;'Iron &amp; Steelmaker Tool'!$D$16,"",INDEX('Steel-data'!$E$26:$AN$26,MATCH(I$1,'Steel-data'!$E$25:$AN$25,0)))</f>
        <v>0</v>
      </c>
      <c r="J40" s="543">
        <f>IF(J$1&lt;'Iron &amp; Steelmaker Tool'!$D$16,"",INDEX('Steel-data'!$E$26:$AN$26,MATCH(J$1,'Steel-data'!$E$25:$AN$25,0)))</f>
        <v>0</v>
      </c>
      <c r="K40" s="543">
        <f>IF(K$1&lt;'Iron &amp; Steelmaker Tool'!$D$16,"",INDEX('Steel-data'!$E$26:$AN$26,MATCH(K$1,'Steel-data'!$E$25:$AN$25,0)))</f>
        <v>0</v>
      </c>
      <c r="L40" s="543">
        <f>IF(L$1&lt;'Iron &amp; Steelmaker Tool'!$D$16,"",INDEX('Steel-data'!$E$26:$AN$26,MATCH(L$1,'Steel-data'!$E$25:$AN$25,0)))</f>
        <v>0</v>
      </c>
      <c r="M40" s="543">
        <f>IF(M$1&lt;'Iron &amp; Steelmaker Tool'!$D$16,"",INDEX('Steel-data'!$E$26:$AN$26,MATCH(M$1,'Steel-data'!$E$25:$AN$25,0)))</f>
        <v>0</v>
      </c>
      <c r="N40" s="543">
        <f>IF(N$1&lt;'Iron &amp; Steelmaker Tool'!$D$16,"",INDEX('Steel-data'!$E$26:$AN$26,MATCH(N$1,'Steel-data'!$E$25:$AN$25,0)))</f>
        <v>0</v>
      </c>
      <c r="O40" s="543">
        <f>IF(O$1&lt;'Iron &amp; Steelmaker Tool'!$D$16,"",INDEX('Steel-data'!$E$26:$AN$26,MATCH(O$1,'Steel-data'!$E$25:$AN$25,0)))</f>
        <v>0</v>
      </c>
      <c r="P40" s="543">
        <f>IF(P$1&lt;'Iron &amp; Steelmaker Tool'!$D$16,"",INDEX('Steel-data'!$E$26:$AN$26,MATCH(P$1,'Steel-data'!$E$25:$AN$25,0)))</f>
        <v>0</v>
      </c>
      <c r="Q40" s="543">
        <f>IF(Q$1&lt;'Iron &amp; Steelmaker Tool'!$D$16,"",INDEX('Steel-data'!$E$26:$AN$26,MATCH(Q$1,'Steel-data'!$E$25:$AN$25,0)))</f>
        <v>0</v>
      </c>
      <c r="R40" s="543">
        <f>IF(R$1&lt;'Iron &amp; Steelmaker Tool'!$D$16,"",INDEX('Steel-data'!$E$26:$AN$26,MATCH(R$1,'Steel-data'!$E$25:$AN$25,0)))</f>
        <v>0</v>
      </c>
      <c r="S40" s="543">
        <f>IF(S$1&lt;'Iron &amp; Steelmaker Tool'!$D$16,"",INDEX('Steel-data'!$E$26:$AN$26,MATCH(S$1,'Steel-data'!$E$25:$AN$25,0)))</f>
        <v>0</v>
      </c>
      <c r="T40" s="543">
        <f>IF(T$1&lt;'Iron &amp; Steelmaker Tool'!$D$16,"",INDEX('Steel-data'!$E$26:$AN$26,MATCH(T$1,'Steel-data'!$E$25:$AN$25,0)))</f>
        <v>0</v>
      </c>
      <c r="U40" s="543">
        <f>IF(U$1&lt;'Iron &amp; Steelmaker Tool'!$D$16,"",INDEX('Steel-data'!$E$26:$AN$26,MATCH(U$1,'Steel-data'!$E$25:$AN$25,0)))</f>
        <v>0</v>
      </c>
      <c r="V40" s="543">
        <f>IF(V$1&lt;'Iron &amp; Steelmaker Tool'!$D$16,"",INDEX('Steel-data'!$E$26:$AN$26,MATCH(V$1,'Steel-data'!$E$25:$AN$25,0)))</f>
        <v>0</v>
      </c>
      <c r="W40" s="543">
        <f>IF(W$1&lt;'Iron &amp; Steelmaker Tool'!$D$16,"",INDEX('Steel-data'!$E$26:$AN$26,MATCH(W$1,'Steel-data'!$E$25:$AN$25,0)))</f>
        <v>0</v>
      </c>
      <c r="X40" s="543">
        <f>IF(X$1&lt;'Iron &amp; Steelmaker Tool'!$D$16,"",INDEX('Steel-data'!$E$26:$AN$26,MATCH(X$1,'Steel-data'!$E$25:$AN$25,0)))</f>
        <v>0</v>
      </c>
      <c r="Y40" s="543">
        <f>IF(Y$1&lt;'Iron &amp; Steelmaker Tool'!$D$16,"",INDEX('Steel-data'!$E$26:$AN$26,MATCH(Y$1,'Steel-data'!$E$25:$AN$25,0)))</f>
        <v>0</v>
      </c>
      <c r="Z40" s="543">
        <f>IF(Z$1&lt;'Iron &amp; Steelmaker Tool'!$D$16,"",INDEX('Steel-data'!$E$26:$AN$26,MATCH(Z$1,'Steel-data'!$E$25:$AN$25,0)))</f>
        <v>0</v>
      </c>
      <c r="AA40" s="543">
        <f>IF(AA$1&lt;'Iron &amp; Steelmaker Tool'!$D$16,"",INDEX('Steel-data'!$E$26:$AN$26,MATCH(AA$1,'Steel-data'!$E$25:$AN$25,0)))</f>
        <v>0</v>
      </c>
      <c r="AB40" s="543">
        <f>IF(AB$1&lt;'Iron &amp; Steelmaker Tool'!$D$16,"",INDEX('Steel-data'!$E$26:$AN$26,MATCH(AB$1,'Steel-data'!$E$25:$AN$25,0)))</f>
        <v>0</v>
      </c>
      <c r="AC40" s="543">
        <f>IF(AC$1&lt;'Iron &amp; Steelmaker Tool'!$D$16,"",INDEX('Steel-data'!$E$26:$AN$26,MATCH(AC$1,'Steel-data'!$E$25:$AN$25,0)))</f>
        <v>0</v>
      </c>
      <c r="AD40" s="543">
        <f>IF(AD$1&lt;'Iron &amp; Steelmaker Tool'!$D$16,"",INDEX('Steel-data'!$E$26:$AN$26,MATCH(AD$1,'Steel-data'!$E$25:$AN$25,0)))</f>
        <v>0</v>
      </c>
      <c r="AE40" s="543">
        <f>IF(AE$1&lt;'Iron &amp; Steelmaker Tool'!$D$16,"",INDEX('Steel-data'!$E$26:$AN$26,MATCH(AE$1,'Steel-data'!$E$25:$AN$25,0)))</f>
        <v>0</v>
      </c>
      <c r="AF40" s="543">
        <f>IF(AF$1&lt;'Iron &amp; Steelmaker Tool'!$D$16,"",INDEX('Steel-data'!$E$26:$AN$26,MATCH(AF$1,'Steel-data'!$E$25:$AN$25,0)))</f>
        <v>0</v>
      </c>
      <c r="AG40" s="543">
        <f>IF(AG$1&lt;'Iron &amp; Steelmaker Tool'!$D$16,"",INDEX('Steel-data'!$E$26:$AN$26,MATCH(AG$1,'Steel-data'!$E$25:$AN$25,0)))</f>
        <v>0</v>
      </c>
      <c r="AH40" s="543">
        <f>IF(AH$1&lt;'Iron &amp; Steelmaker Tool'!$D$16,"",INDEX('Steel-data'!$E$26:$AN$26,MATCH(AH$1,'Steel-data'!$E$25:$AN$25,0)))</f>
        <v>0</v>
      </c>
      <c r="AI40" s="543">
        <f>IF(AI$1&lt;'Iron &amp; Steelmaker Tool'!$D$16,"",INDEX('Steel-data'!$E$26:$AN$26,MATCH(AI$1,'Steel-data'!$E$25:$AN$25,0)))</f>
        <v>0</v>
      </c>
      <c r="AJ40" s="543">
        <f>IF(AJ$1&lt;'Iron &amp; Steelmaker Tool'!$D$16,"",INDEX('Steel-data'!$E$26:$AN$26,MATCH(AJ$1,'Steel-data'!$E$25:$AN$25,0)))</f>
        <v>0</v>
      </c>
      <c r="AK40" s="543">
        <f>IF(AK$1&lt;'Iron &amp; Steelmaker Tool'!$D$16,"",INDEX('Steel-data'!$E$26:$AN$26,MATCH(AK$1,'Steel-data'!$E$25:$AN$25,0)))</f>
        <v>0</v>
      </c>
      <c r="AL40" s="543">
        <f>IF(AL$1&lt;'Iron &amp; Steelmaker Tool'!$D$16,"",INDEX('Steel-data'!$E$26:$AN$26,MATCH(AL$1,'Steel-data'!$E$25:$AN$25,0)))</f>
        <v>0</v>
      </c>
      <c r="AM40" s="543">
        <f>IF(AM$1&lt;'Iron &amp; Steelmaker Tool'!$D$16,"",INDEX('Steel-data'!$E$26:$AN$26,MATCH(AM$1,'Steel-data'!$E$25:$AN$25,0)))</f>
        <v>0</v>
      </c>
      <c r="AN40" s="543">
        <f>IF(AN$1&lt;'Iron &amp; Steelmaker Tool'!$D$16,"",INDEX('Steel-data'!$E$26:$AN$26,MATCH(AN$1,'Steel-data'!$E$25:$AN$25,0)))</f>
        <v>0</v>
      </c>
      <c r="AO40" s="544"/>
      <c r="AP40" s="544"/>
      <c r="AQ40" s="544"/>
      <c r="AR40" s="544"/>
      <c r="AS40" s="544"/>
      <c r="AT40" s="544"/>
      <c r="AU40" s="544"/>
      <c r="AV40" s="544"/>
      <c r="AW40" s="544"/>
      <c r="AX40" s="544"/>
    </row>
    <row r="41" spans="1:90" x14ac:dyDescent="0.15">
      <c r="A41" s="487" t="s">
        <v>480</v>
      </c>
      <c r="B41" s="487" t="s">
        <v>479</v>
      </c>
      <c r="C41" s="487" t="str">
        <f>INDEX(Lists!$E$2:$E$50,MATCH('Iron &amp; Steelmaker Tool'!$D$15,Lists!$B$2:$B$50,0))</f>
        <v>tCO2/t</v>
      </c>
      <c r="D41" s="543" t="e">
        <f>IF(D$1&lt;'Iron &amp; Steelmaker Tool'!$D$16,"",INDEX('Steel-data'!$J$27:$AN$27,MATCH(D$1,'Steel-data'!$J$25:$AN$25,0)))</f>
        <v>#N/A</v>
      </c>
      <c r="E41" s="543">
        <f>IF(E$1&lt;'Iron &amp; Steelmaker Tool'!$D$16,"",INDEX('Steel-data'!$E$27:$AN$27,MATCH(E$1,'Steel-data'!$E$25:$AN$25,0)))</f>
        <v>0.10932603940472095</v>
      </c>
      <c r="F41" s="543">
        <f>IF(F$1&lt;'Iron &amp; Steelmaker Tool'!$D$16,"",INDEX('Steel-data'!$E$27:$AN$27,MATCH(F$1,'Steel-data'!$E$25:$AN$25,0)))</f>
        <v>0.10932603940472095</v>
      </c>
      <c r="G41" s="543">
        <f>IF(G$1&lt;'Iron &amp; Steelmaker Tool'!$D$16,"",INDEX('Steel-data'!$E$27:$AN$27,MATCH(G$1,'Steel-data'!$E$25:$AN$25,0)))</f>
        <v>0.10932603940472095</v>
      </c>
      <c r="H41" s="543">
        <f>IF(H$1&lt;'Iron &amp; Steelmaker Tool'!$D$16,"",INDEX('Steel-data'!$E$27:$AN$27,MATCH(H$1,'Steel-data'!$E$25:$AN$25,0)))</f>
        <v>0.10932603940472095</v>
      </c>
      <c r="I41" s="543">
        <f>IF(I$1&lt;'Iron &amp; Steelmaker Tool'!$D$16,"",INDEX('Steel-data'!$E$27:$AN$27,MATCH(I$1,'Steel-data'!$E$25:$AN$25,0)))</f>
        <v>0.10932603940472095</v>
      </c>
      <c r="J41" s="543">
        <f>IF(J$1&lt;'Iron &amp; Steelmaker Tool'!$D$16,"",INDEX('Steel-data'!$E$27:$AN$27,MATCH(J$1,'Steel-data'!$E$25:$AN$25,0)))</f>
        <v>0.10932603940472095</v>
      </c>
      <c r="K41" s="543">
        <f>IF(K$1&lt;'Iron &amp; Steelmaker Tool'!$D$16,"",INDEX('Steel-data'!$E$27:$AN$27,MATCH(K$1,'Steel-data'!$E$25:$AN$25,0)))</f>
        <v>0.10932603940472095</v>
      </c>
      <c r="L41" s="543">
        <f>IF(L$1&lt;'Iron &amp; Steelmaker Tool'!$D$16,"",INDEX('Steel-data'!$E$27:$AN$27,MATCH(L$1,'Steel-data'!$E$25:$AN$25,0)))</f>
        <v>0.10932603940472095</v>
      </c>
      <c r="M41" s="543">
        <f>IF(M$1&lt;'Iron &amp; Steelmaker Tool'!$D$16,"",INDEX('Steel-data'!$E$27:$AN$27,MATCH(M$1,'Steel-data'!$E$25:$AN$25,0)))</f>
        <v>0.10932603940472095</v>
      </c>
      <c r="N41" s="543">
        <f>IF(N$1&lt;'Iron &amp; Steelmaker Tool'!$D$16,"",INDEX('Steel-data'!$E$27:$AN$27,MATCH(N$1,'Steel-data'!$E$25:$AN$25,0)))</f>
        <v>0.10932603940472095</v>
      </c>
      <c r="O41" s="543">
        <f>IF(O$1&lt;'Iron &amp; Steelmaker Tool'!$D$16,"",INDEX('Steel-data'!$E$27:$AN$27,MATCH(O$1,'Steel-data'!$E$25:$AN$25,0)))</f>
        <v>0.10932603940472095</v>
      </c>
      <c r="P41" s="543">
        <f>IF(P$1&lt;'Iron &amp; Steelmaker Tool'!$D$16,"",INDEX('Steel-data'!$E$27:$AN$27,MATCH(P$1,'Steel-data'!$E$25:$AN$25,0)))</f>
        <v>0.10932603940472095</v>
      </c>
      <c r="Q41" s="543">
        <f>IF(Q$1&lt;'Iron &amp; Steelmaker Tool'!$D$16,"",INDEX('Steel-data'!$E$27:$AN$27,MATCH(Q$1,'Steel-data'!$E$25:$AN$25,0)))</f>
        <v>0.10932603940472095</v>
      </c>
      <c r="R41" s="543">
        <f>IF(R$1&lt;'Iron &amp; Steelmaker Tool'!$D$16,"",INDEX('Steel-data'!$E$27:$AN$27,MATCH(R$1,'Steel-data'!$E$25:$AN$25,0)))</f>
        <v>0.10932603940472095</v>
      </c>
      <c r="S41" s="543">
        <f>IF(S$1&lt;'Iron &amp; Steelmaker Tool'!$D$16,"",INDEX('Steel-data'!$E$27:$AN$27,MATCH(S$1,'Steel-data'!$E$25:$AN$25,0)))</f>
        <v>0.10932603940472095</v>
      </c>
      <c r="T41" s="543">
        <f>IF(T$1&lt;'Iron &amp; Steelmaker Tool'!$D$16,"",INDEX('Steel-data'!$E$27:$AN$27,MATCH(T$1,'Steel-data'!$E$25:$AN$25,0)))</f>
        <v>0.10932603940472095</v>
      </c>
      <c r="U41" s="543">
        <f>IF(U$1&lt;'Iron &amp; Steelmaker Tool'!$D$16,"",INDEX('Steel-data'!$E$27:$AN$27,MATCH(U$1,'Steel-data'!$E$25:$AN$25,0)))</f>
        <v>0.10932603940472095</v>
      </c>
      <c r="V41" s="543">
        <f>IF(V$1&lt;'Iron &amp; Steelmaker Tool'!$D$16,"",INDEX('Steel-data'!$E$27:$AN$27,MATCH(V$1,'Steel-data'!$E$25:$AN$25,0)))</f>
        <v>0.10932603940472095</v>
      </c>
      <c r="W41" s="543">
        <f>IF(W$1&lt;'Iron &amp; Steelmaker Tool'!$D$16,"",INDEX('Steel-data'!$E$27:$AN$27,MATCH(W$1,'Steel-data'!$E$25:$AN$25,0)))</f>
        <v>0.10932603940472095</v>
      </c>
      <c r="X41" s="543">
        <f>IF(X$1&lt;'Iron &amp; Steelmaker Tool'!$D$16,"",INDEX('Steel-data'!$E$27:$AN$27,MATCH(X$1,'Steel-data'!$E$25:$AN$25,0)))</f>
        <v>0.10932603940472095</v>
      </c>
      <c r="Y41" s="543">
        <f>IF(Y$1&lt;'Iron &amp; Steelmaker Tool'!$D$16,"",INDEX('Steel-data'!$E$27:$AN$27,MATCH(Y$1,'Steel-data'!$E$25:$AN$25,0)))</f>
        <v>0.10932603940472095</v>
      </c>
      <c r="Z41" s="543">
        <f>IF(Z$1&lt;'Iron &amp; Steelmaker Tool'!$D$16,"",INDEX('Steel-data'!$E$27:$AN$27,MATCH(Z$1,'Steel-data'!$E$25:$AN$25,0)))</f>
        <v>0.10932603940472095</v>
      </c>
      <c r="AA41" s="543">
        <f>IF(AA$1&lt;'Iron &amp; Steelmaker Tool'!$D$16,"",INDEX('Steel-data'!$E$27:$AN$27,MATCH(AA$1,'Steel-data'!$E$25:$AN$25,0)))</f>
        <v>0.10932603940472095</v>
      </c>
      <c r="AB41" s="543">
        <f>IF(AB$1&lt;'Iron &amp; Steelmaker Tool'!$D$16,"",INDEX('Steel-data'!$E$27:$AN$27,MATCH(AB$1,'Steel-data'!$E$25:$AN$25,0)))</f>
        <v>0.10932603940472095</v>
      </c>
      <c r="AC41" s="543">
        <f>IF(AC$1&lt;'Iron &amp; Steelmaker Tool'!$D$16,"",INDEX('Steel-data'!$E$27:$AN$27,MATCH(AC$1,'Steel-data'!$E$25:$AN$25,0)))</f>
        <v>0.10932603940472095</v>
      </c>
      <c r="AD41" s="543">
        <f>IF(AD$1&lt;'Iron &amp; Steelmaker Tool'!$D$16,"",INDEX('Steel-data'!$E$27:$AN$27,MATCH(AD$1,'Steel-data'!$E$25:$AN$25,0)))</f>
        <v>0.10932603940472095</v>
      </c>
      <c r="AE41" s="543">
        <f>IF(AE$1&lt;'Iron &amp; Steelmaker Tool'!$D$16,"",INDEX('Steel-data'!$E$27:$AN$27,MATCH(AE$1,'Steel-data'!$E$25:$AN$25,0)))</f>
        <v>0.10932603940472095</v>
      </c>
      <c r="AF41" s="543">
        <f>IF(AF$1&lt;'Iron &amp; Steelmaker Tool'!$D$16,"",INDEX('Steel-data'!$E$27:$AN$27,MATCH(AF$1,'Steel-data'!$E$25:$AN$25,0)))</f>
        <v>0.10932603940472095</v>
      </c>
      <c r="AG41" s="543">
        <f>IF(AG$1&lt;'Iron &amp; Steelmaker Tool'!$D$16,"",INDEX('Steel-data'!$E$27:$AN$27,MATCH(AG$1,'Steel-data'!$E$25:$AN$25,0)))</f>
        <v>0.10932603940472095</v>
      </c>
      <c r="AH41" s="543">
        <f>IF(AH$1&lt;'Iron &amp; Steelmaker Tool'!$D$16,"",INDEX('Steel-data'!$E$27:$AN$27,MATCH(AH$1,'Steel-data'!$E$25:$AN$25,0)))</f>
        <v>0.10932603940472095</v>
      </c>
      <c r="AI41" s="543">
        <f>IF(AI$1&lt;'Iron &amp; Steelmaker Tool'!$D$16,"",INDEX('Steel-data'!$E$27:$AN$27,MATCH(AI$1,'Steel-data'!$E$25:$AN$25,0)))</f>
        <v>0.10932603940472095</v>
      </c>
      <c r="AJ41" s="543">
        <f>IF(AJ$1&lt;'Iron &amp; Steelmaker Tool'!$D$16,"",INDEX('Steel-data'!$E$27:$AN$27,MATCH(AJ$1,'Steel-data'!$E$25:$AN$25,0)))</f>
        <v>0.10932603940472095</v>
      </c>
      <c r="AK41" s="543">
        <f>IF(AK$1&lt;'Iron &amp; Steelmaker Tool'!$D$16,"",INDEX('Steel-data'!$E$27:$AN$27,MATCH(AK$1,'Steel-data'!$E$25:$AN$25,0)))</f>
        <v>0.10932603940472095</v>
      </c>
      <c r="AL41" s="543">
        <f>IF(AL$1&lt;'Iron &amp; Steelmaker Tool'!$D$16,"",INDEX('Steel-data'!$E$27:$AN$27,MATCH(AL$1,'Steel-data'!$E$25:$AN$25,0)))</f>
        <v>0.10932603940472095</v>
      </c>
      <c r="AM41" s="543">
        <f>IF(AM$1&lt;'Iron &amp; Steelmaker Tool'!$D$16,"",INDEX('Steel-data'!$E$27:$AN$27,MATCH(AM$1,'Steel-data'!$E$25:$AN$25,0)))</f>
        <v>0.10932603940472095</v>
      </c>
      <c r="AN41" s="543">
        <f>IF(AN$1&lt;'Iron &amp; Steelmaker Tool'!$D$16,"",INDEX('Steel-data'!$E$27:$AN$27,MATCH(AN$1,'Steel-data'!$E$25:$AN$25,0)))</f>
        <v>0.10932603940472095</v>
      </c>
      <c r="AO41" s="544"/>
      <c r="AP41" s="544"/>
      <c r="AQ41" s="544"/>
      <c r="AR41" s="544"/>
      <c r="AS41" s="544"/>
      <c r="AT41" s="544"/>
      <c r="AU41" s="544"/>
      <c r="AV41" s="544"/>
      <c r="AW41" s="544"/>
      <c r="AX41" s="544"/>
    </row>
    <row r="42" spans="1:90" x14ac:dyDescent="0.15">
      <c r="A42" s="487" t="s">
        <v>505</v>
      </c>
      <c r="B42" s="487" t="s">
        <v>615</v>
      </c>
      <c r="C42" s="487" t="str">
        <f>INDEX(Lists!$E$2:$E$50,MATCH('Iron &amp; Steelmaker Tool'!$D$15,Lists!$B$2:$B$50,0))</f>
        <v>tCO2/t</v>
      </c>
      <c r="D42" s="544" t="e">
        <f>IF(D$1&lt;'Iron &amp; Steelmaker Tool'!$D$16,"",INDEX('Steel-data'!$J$29:$AN$29,MATCH(D$1,'Steel-data'!$J$25:$AN$25,0)))</f>
        <v>#N/A</v>
      </c>
      <c r="E42" s="544">
        <f>IF(E$1&lt;'Iron &amp; Steelmaker Tool'!$D$16,"",INDEX('Steel-data'!$E$29:$AN$29,MATCH(E$1,'Steel-data'!$E$25:$AN$25,0)))</f>
        <v>2.4211073569206505</v>
      </c>
      <c r="F42" s="544">
        <f>IF(F$1&lt;'Iron &amp; Steelmaker Tool'!$D$16,"",INDEX('Steel-data'!$E$29:$AN$29,MATCH(F$1,'Steel-data'!$E$25:$AN$25,0)))</f>
        <v>2.4424018088262245</v>
      </c>
      <c r="G42" s="544">
        <f>IF(G$1&lt;'Iron &amp; Steelmaker Tool'!$D$16,"",INDEX('Steel-data'!$E$29:$AN$29,MATCH(G$1,'Steel-data'!$E$25:$AN$25,0)))</f>
        <v>2.4642862799622671</v>
      </c>
      <c r="H42" s="544">
        <f>IF(H$1&lt;'Iron &amp; Steelmaker Tool'!$D$16,"",INDEX('Steel-data'!$E$29:$AN$29,MATCH(H$1,'Steel-data'!$E$25:$AN$25,0)))</f>
        <v>2.4870676905034186</v>
      </c>
      <c r="I42" s="544">
        <f>IF(I$1&lt;'Iron &amp; Steelmaker Tool'!$D$16,"",INDEX('Steel-data'!$E$29:$AN$29,MATCH(I$1,'Steel-data'!$E$25:$AN$25,0)))</f>
        <v>2.509887206142364</v>
      </c>
      <c r="J42" s="544">
        <f>IF(J$1&lt;'Iron &amp; Steelmaker Tool'!$D$16,"",INDEX('Steel-data'!$E$29:$AN$29,MATCH(J$1,'Steel-data'!$E$25:$AN$25,0)))</f>
        <v>2.4232181366275407</v>
      </c>
      <c r="K42" s="544">
        <f>IF(K$1&lt;'Iron &amp; Steelmaker Tool'!$D$16,"",INDEX('Steel-data'!$E$29:$AN$29,MATCH(K$1,'Steel-data'!$E$25:$AN$25,0)))</f>
        <v>2.2970289089871687</v>
      </c>
      <c r="L42" s="544">
        <f>IF(L$1&lt;'Iron &amp; Steelmaker Tool'!$D$16,"",INDEX('Steel-data'!$E$29:$AN$29,MATCH(L$1,'Steel-data'!$E$25:$AN$25,0)))</f>
        <v>2.2325564833920861</v>
      </c>
      <c r="M42" s="544">
        <f>IF(M$1&lt;'Iron &amp; Steelmaker Tool'!$D$16,"",INDEX('Steel-data'!$E$29:$AN$29,MATCH(M$1,'Steel-data'!$E$25:$AN$25,0)))</f>
        <v>2.169051892996543</v>
      </c>
      <c r="N42" s="544">
        <f>IF(N$1&lt;'Iron &amp; Steelmaker Tool'!$D$16,"",INDEX('Steel-data'!$E$29:$AN$29,MATCH(N$1,'Steel-data'!$E$25:$AN$25,0)))</f>
        <v>2.1051540203912005</v>
      </c>
      <c r="O42" s="544">
        <f>IF(O$1&lt;'Iron &amp; Steelmaker Tool'!$D$16,"",INDEX('Steel-data'!$E$29:$AN$29,MATCH(O$1,'Steel-data'!$E$25:$AN$25,0)))</f>
        <v>2.0408469220445022</v>
      </c>
      <c r="P42" s="544">
        <f>IF(P$1&lt;'Iron &amp; Steelmaker Tool'!$D$16,"",INDEX('Steel-data'!$E$29:$AN$29,MATCH(P$1,'Steel-data'!$E$25:$AN$25,0)))</f>
        <v>1.9761141242691576</v>
      </c>
      <c r="Q42" s="544">
        <f>IF(Q$1&lt;'Iron &amp; Steelmaker Tool'!$D$16,"",INDEX('Steel-data'!$E$29:$AN$29,MATCH(Q$1,'Steel-data'!$E$25:$AN$25,0)))</f>
        <v>1.9109385972825268</v>
      </c>
      <c r="R42" s="544">
        <f>IF(R$1&lt;'Iron &amp; Steelmaker Tool'!$D$16,"",INDEX('Steel-data'!$E$29:$AN$29,MATCH(R$1,'Steel-data'!$E$25:$AN$25,0)))</f>
        <v>1.8442244064835336</v>
      </c>
      <c r="S42" s="544">
        <f>IF(S$1&lt;'Iron &amp; Steelmaker Tool'!$D$16,"",INDEX('Steel-data'!$E$29:$AN$29,MATCH(S$1,'Steel-data'!$E$25:$AN$25,0)))</f>
        <v>1.778148479169098</v>
      </c>
      <c r="T42" s="544">
        <f>IF(T$1&lt;'Iron &amp; Steelmaker Tool'!$D$16,"",INDEX('Steel-data'!$E$29:$AN$29,MATCH(T$1,'Steel-data'!$E$25:$AN$25,0)))</f>
        <v>1.7115752810089704</v>
      </c>
      <c r="U42" s="544">
        <f>IF(U$1&lt;'Iron &amp; Steelmaker Tool'!$D$16,"",INDEX('Steel-data'!$E$29:$AN$29,MATCH(U$1,'Steel-data'!$E$25:$AN$25,0)))</f>
        <v>1.6209301110839105</v>
      </c>
      <c r="V42" s="544">
        <f>IF(V$1&lt;'Iron &amp; Steelmaker Tool'!$D$16,"",INDEX('Steel-data'!$E$29:$AN$29,MATCH(V$1,'Steel-data'!$E$25:$AN$25,0)))</f>
        <v>1.5294901639860059</v>
      </c>
      <c r="W42" s="544">
        <f>IF(W$1&lt;'Iron &amp; Steelmaker Tool'!$D$16,"",INDEX('Steel-data'!$E$29:$AN$29,MATCH(W$1,'Steel-data'!$E$25:$AN$25,0)))</f>
        <v>1.4372390699102371</v>
      </c>
      <c r="X42" s="544">
        <f>IF(X$1&lt;'Iron &amp; Steelmaker Tool'!$D$16,"",INDEX('Steel-data'!$E$29:$AN$29,MATCH(X$1,'Steel-data'!$E$25:$AN$25,0)))</f>
        <v>1.3441600282439394</v>
      </c>
      <c r="Y42" s="544">
        <f>IF(Y$1&lt;'Iron &amp; Steelmaker Tool'!$D$16,"",INDEX('Steel-data'!$E$29:$AN$29,MATCH(Y$1,'Steel-data'!$E$25:$AN$25,0)))</f>
        <v>1.2494897361454405</v>
      </c>
      <c r="Z42" s="544">
        <f>IF(Z$1&lt;'Iron &amp; Steelmaker Tool'!$D$16,"",INDEX('Steel-data'!$E$29:$AN$29,MATCH(Z$1,'Steel-data'!$E$25:$AN$25,0)))</f>
        <v>1.1547547560515972</v>
      </c>
      <c r="AA42" s="544">
        <f>IF(AA$1&lt;'Iron &amp; Steelmaker Tool'!$D$16,"",INDEX('Steel-data'!$E$29:$AN$29,MATCH(AA$1,'Steel-data'!$E$25:$AN$25,0)))</f>
        <v>1.0591391672172181</v>
      </c>
      <c r="AB42" s="544">
        <f>IF(AB$1&lt;'Iron &amp; Steelmaker Tool'!$D$16,"",INDEX('Steel-data'!$E$29:$AN$29,MATCH(AB$1,'Steel-data'!$E$25:$AN$25,0)))</f>
        <v>0.9626243068343302</v>
      </c>
      <c r="AC42" s="544">
        <f>IF(AC$1&lt;'Iron &amp; Steelmaker Tool'!$D$16,"",INDEX('Steel-data'!$E$29:$AN$29,MATCH(AC$1,'Steel-data'!$E$25:$AN$25,0)))</f>
        <v>0.86519100363151391</v>
      </c>
      <c r="AD42" s="544">
        <f>IF(AD$1&lt;'Iron &amp; Steelmaker Tool'!$D$16,"",INDEX('Steel-data'!$E$29:$AN$29,MATCH(AD$1,'Steel-data'!$E$25:$AN$25,0)))</f>
        <v>0.76681956032604404</v>
      </c>
      <c r="AE42" s="544">
        <f>IF(AE$1&lt;'Iron &amp; Steelmaker Tool'!$D$16,"",INDEX('Steel-data'!$E$29:$AN$29,MATCH(AE$1,'Steel-data'!$E$25:$AN$25,0)))</f>
        <v>0.70331405454615814</v>
      </c>
      <c r="AF42" s="544">
        <f>IF(AF$1&lt;'Iron &amp; Steelmaker Tool'!$D$16,"",INDEX('Steel-data'!$E$29:$AN$29,MATCH(AF$1,'Steel-data'!$E$25:$AN$25,0)))</f>
        <v>0.63933852504435629</v>
      </c>
      <c r="AG42" s="544">
        <f>IF(AG$1&lt;'Iron &amp; Steelmaker Tool'!$D$16,"",INDEX('Steel-data'!$E$29:$AN$29,MATCH(AG$1,'Steel-data'!$E$25:$AN$25,0)))</f>
        <v>0.5748819543329472</v>
      </c>
      <c r="AH42" s="544">
        <f>IF(AH$1&lt;'Iron &amp; Steelmaker Tool'!$D$16,"",INDEX('Steel-data'!$E$29:$AN$29,MATCH(AH$1,'Steel-data'!$E$25:$AN$25,0)))</f>
        <v>0.50993301904218591</v>
      </c>
      <c r="AI42" s="544">
        <f>IF(AI$1&lt;'Iron &amp; Steelmaker Tool'!$D$16,"",INDEX('Steel-data'!$E$29:$AN$29,MATCH(AI$1,'Steel-data'!$E$25:$AN$25,0)))</f>
        <v>0.44448007894483826</v>
      </c>
      <c r="AJ42" s="544">
        <f>IF(AJ$1&lt;'Iron &amp; Steelmaker Tool'!$D$16,"",INDEX('Steel-data'!$E$29:$AN$29,MATCH(AJ$1,'Steel-data'!$E$25:$AN$25,0)))</f>
        <v>0.37876805614402498</v>
      </c>
      <c r="AK42" s="544">
        <f>IF(AK$1&lt;'Iron &amp; Steelmaker Tool'!$D$16,"",INDEX('Steel-data'!$E$29:$AN$29,MATCH(AK$1,'Steel-data'!$E$25:$AN$25,0)))</f>
        <v>0.31223257140038119</v>
      </c>
      <c r="AL42" s="544">
        <f>IF(AL$1&lt;'Iron &amp; Steelmaker Tool'!$D$16,"",INDEX('Steel-data'!$E$29:$AN$29,MATCH(AL$1,'Steel-data'!$E$25:$AN$25,0)))</f>
        <v>0.24515582753873061</v>
      </c>
      <c r="AM42" s="544">
        <f>IF(AM$1&lt;'Iron &amp; Steelmaker Tool'!$D$16,"",INDEX('Steel-data'!$E$29:$AN$29,MATCH(AM$1,'Steel-data'!$E$25:$AN$25,0)))</f>
        <v>0.17752478868938304</v>
      </c>
      <c r="AN42" s="544">
        <f>IF(AN$1&lt;'Iron &amp; Steelmaker Tool'!$D$16,"",INDEX('Steel-data'!$E$29:$AN$29,MATCH(AN$1,'Steel-data'!$E$25:$AN$25,0)))</f>
        <v>0.10932603940472095</v>
      </c>
      <c r="AO42" s="544"/>
      <c r="AP42" s="544"/>
      <c r="AQ42" s="544"/>
      <c r="AR42" s="544"/>
      <c r="AS42" s="544"/>
      <c r="AT42" s="544"/>
      <c r="AU42" s="544"/>
      <c r="AV42" s="544"/>
      <c r="AW42" s="544"/>
      <c r="AX42" s="544"/>
    </row>
    <row r="43" spans="1:90" x14ac:dyDescent="0.15">
      <c r="A43" s="487" t="s">
        <v>485</v>
      </c>
      <c r="B43" s="487" t="s">
        <v>607</v>
      </c>
      <c r="C43" s="487" t="str">
        <f>IF(ISTEXT('Iron &amp; Steelmaker Tool'!$D$15)=TRUE,INDEX(Lists!$C$2:$C$44,MATCH('Iron &amp; Steelmaker Tool'!$D$15,Lists!$B$2:$B$44,0)),"")</f>
        <v>Tonnes of hot rolled steel</v>
      </c>
      <c r="D43" s="544" t="e">
        <f>IF(D$1&lt;'Iron &amp; Steelmaker Tool'!$D$16,"",INDEX($D$31:$AN$31,MATCH(D$39,$D$1:$AN$1,0)))</f>
        <v>#N/A</v>
      </c>
      <c r="E43" s="544" t="e">
        <f>IF(E$1&lt;'Iron &amp; Steelmaker Tool'!$D$16,"",INDEX($D$31:$AN$31,MATCH(E$39,$D$1:$AN$1,0)))</f>
        <v>#N/A</v>
      </c>
      <c r="F43" s="544" t="e">
        <f>IF(F$1&lt;'Iron &amp; Steelmaker Tool'!$D$16,"",INDEX($D$31:$AN$31,MATCH(F$39,$D$1:$AN$1,0)))</f>
        <v>#N/A</v>
      </c>
      <c r="G43" s="544" t="e">
        <f>IF(G$1&lt;'Iron &amp; Steelmaker Tool'!$D$16,"",INDEX($D$31:$AN$31,MATCH(G$39,$D$1:$AN$1,0)))</f>
        <v>#N/A</v>
      </c>
      <c r="H43" s="544" t="e">
        <f>IF(H$1&lt;'Iron &amp; Steelmaker Tool'!$D$16,"",INDEX($D$31:$AN$31,MATCH(H$39,$D$1:$AN$1,0)))</f>
        <v>#N/A</v>
      </c>
      <c r="I43" s="544" t="e">
        <f>IF(I$1&lt;'Iron &amp; Steelmaker Tool'!$D$16,"",INDEX($D$31:$AN$31,MATCH(I$39,$D$1:$AN$1,0)))</f>
        <v>#N/A</v>
      </c>
      <c r="J43" s="544" t="e">
        <f>IF(J$1&lt;'Iron &amp; Steelmaker Tool'!$D$16,"",INDEX($D$31:$AN$31,MATCH(J$39,$D$1:$AN$1,0)))</f>
        <v>#N/A</v>
      </c>
      <c r="K43" s="544" t="e">
        <f>IF(K$1&lt;'Iron &amp; Steelmaker Tool'!$D$16,"",INDEX($D$31:$AN$31,MATCH(K$39,$D$1:$AN$1,0)))</f>
        <v>#N/A</v>
      </c>
      <c r="L43" s="544" t="e">
        <f>IF(L$1&lt;'Iron &amp; Steelmaker Tool'!$D$16,"",INDEX($D$31:$AN$31,MATCH(L$39,$D$1:$AN$1,0)))</f>
        <v>#N/A</v>
      </c>
      <c r="M43" s="544" t="e">
        <f>IF(M$1&lt;'Iron &amp; Steelmaker Tool'!$D$16,"",INDEX($D$31:$AN$31,MATCH(M$39,$D$1:$AN$1,0)))</f>
        <v>#N/A</v>
      </c>
      <c r="N43" s="544" t="e">
        <f>IF(N$1&lt;'Iron &amp; Steelmaker Tool'!$D$16,"",INDEX($D$31:$AN$31,MATCH(N$39,$D$1:$AN$1,0)))</f>
        <v>#N/A</v>
      </c>
      <c r="O43" s="544" t="e">
        <f>IF(O$1&lt;'Iron &amp; Steelmaker Tool'!$D$16,"",INDEX($D$31:$AN$31,MATCH(O$39,$D$1:$AN$1,0)))</f>
        <v>#N/A</v>
      </c>
      <c r="P43" s="544" t="e">
        <f>IF(P$1&lt;'Iron &amp; Steelmaker Tool'!$D$16,"",INDEX($D$31:$AN$31,MATCH(P$39,$D$1:$AN$1,0)))</f>
        <v>#N/A</v>
      </c>
      <c r="Q43" s="544" t="e">
        <f>IF(Q$1&lt;'Iron &amp; Steelmaker Tool'!$D$16,"",INDEX($D$31:$AN$31,MATCH(Q$39,$D$1:$AN$1,0)))</f>
        <v>#N/A</v>
      </c>
      <c r="R43" s="544" t="e">
        <f>IF(R$1&lt;'Iron &amp; Steelmaker Tool'!$D$16,"",INDEX($D$31:$AN$31,MATCH(R$39,$D$1:$AN$1,0)))</f>
        <v>#N/A</v>
      </c>
      <c r="S43" s="544" t="e">
        <f>IF(S$1&lt;'Iron &amp; Steelmaker Tool'!$D$16,"",INDEX($D$31:$AN$31,MATCH(S$39,$D$1:$AN$1,0)))</f>
        <v>#N/A</v>
      </c>
      <c r="T43" s="544" t="e">
        <f>IF(T$1&lt;'Iron &amp; Steelmaker Tool'!$D$16,"",INDEX($D$31:$AN$31,MATCH(T$39,$D$1:$AN$1,0)))</f>
        <v>#N/A</v>
      </c>
      <c r="U43" s="544" t="e">
        <f>IF(U$1&lt;'Iron &amp; Steelmaker Tool'!$D$16,"",INDEX($D$31:$AN$31,MATCH(U$39,$D$1:$AN$1,0)))</f>
        <v>#N/A</v>
      </c>
      <c r="V43" s="544" t="e">
        <f>IF(V$1&lt;'Iron &amp; Steelmaker Tool'!$D$16,"",INDEX($D$31:$AN$31,MATCH(V$39,$D$1:$AN$1,0)))</f>
        <v>#N/A</v>
      </c>
      <c r="W43" s="544" t="e">
        <f>IF(W$1&lt;'Iron &amp; Steelmaker Tool'!$D$16,"",INDEX($D$31:$AN$31,MATCH(W$39,$D$1:$AN$1,0)))</f>
        <v>#N/A</v>
      </c>
      <c r="X43" s="544" t="e">
        <f>IF(X$1&lt;'Iron &amp; Steelmaker Tool'!$D$16,"",INDEX($D$31:$AN$31,MATCH(X$39,$D$1:$AN$1,0)))</f>
        <v>#N/A</v>
      </c>
      <c r="Y43" s="544" t="e">
        <f>IF(Y$1&lt;'Iron &amp; Steelmaker Tool'!$D$16,"",INDEX($D$31:$AN$31,MATCH(Y$39,$D$1:$AN$1,0)))</f>
        <v>#N/A</v>
      </c>
      <c r="Z43" s="544" t="e">
        <f>IF(Z$1&lt;'Iron &amp; Steelmaker Tool'!$D$16,"",INDEX($D$31:$AN$31,MATCH(Z$39,$D$1:$AN$1,0)))</f>
        <v>#N/A</v>
      </c>
      <c r="AA43" s="544" t="e">
        <f>IF(AA$1&lt;'Iron &amp; Steelmaker Tool'!$D$16,"",INDEX($D$31:$AN$31,MATCH(AA$39,$D$1:$AN$1,0)))</f>
        <v>#N/A</v>
      </c>
      <c r="AB43" s="544" t="e">
        <f>IF(AB$1&lt;'Iron &amp; Steelmaker Tool'!$D$16,"",INDEX($D$31:$AN$31,MATCH(AB$39,$D$1:$AN$1,0)))</f>
        <v>#N/A</v>
      </c>
      <c r="AC43" s="544" t="e">
        <f>IF(AC$1&lt;'Iron &amp; Steelmaker Tool'!$D$16,"",INDEX($D$31:$AN$31,MATCH(AC$39,$D$1:$AN$1,0)))</f>
        <v>#N/A</v>
      </c>
      <c r="AD43" s="544" t="e">
        <f>IF(AD$1&lt;'Iron &amp; Steelmaker Tool'!$D$16,"",INDEX($D$31:$AN$31,MATCH(AD$39,$D$1:$AN$1,0)))</f>
        <v>#N/A</v>
      </c>
      <c r="AE43" s="544" t="e">
        <f>IF(AE$1&lt;'Iron &amp; Steelmaker Tool'!$D$16,"",INDEX($D$31:$AN$31,MATCH(AE$39,$D$1:$AN$1,0)))</f>
        <v>#N/A</v>
      </c>
      <c r="AF43" s="544" t="e">
        <f>IF(AF$1&lt;'Iron &amp; Steelmaker Tool'!$D$16,"",INDEX($D$31:$AN$31,MATCH(AF$39,$D$1:$AN$1,0)))</f>
        <v>#N/A</v>
      </c>
      <c r="AG43" s="544" t="e">
        <f>IF(AG$1&lt;'Iron &amp; Steelmaker Tool'!$D$16,"",INDEX($D$31:$AN$31,MATCH(AG$39,$D$1:$AN$1,0)))</f>
        <v>#N/A</v>
      </c>
      <c r="AH43" s="544" t="e">
        <f>IF(AH$1&lt;'Iron &amp; Steelmaker Tool'!$D$16,"",INDEX($D$31:$AN$31,MATCH(AH$39,$D$1:$AN$1,0)))</f>
        <v>#N/A</v>
      </c>
      <c r="AI43" s="544" t="e">
        <f>IF(AI$1&lt;'Iron &amp; Steelmaker Tool'!$D$16,"",INDEX($D$31:$AN$31,MATCH(AI$39,$D$1:$AN$1,0)))</f>
        <v>#N/A</v>
      </c>
      <c r="AJ43" s="544" t="e">
        <f>IF(AJ$1&lt;'Iron &amp; Steelmaker Tool'!$D$16,"",INDEX($D$31:$AN$31,MATCH(AJ$39,$D$1:$AN$1,0)))</f>
        <v>#N/A</v>
      </c>
      <c r="AK43" s="544" t="e">
        <f>IF(AK$1&lt;'Iron &amp; Steelmaker Tool'!$D$16,"",INDEX($D$31:$AN$31,MATCH(AK$39,$D$1:$AN$1,0)))</f>
        <v>#N/A</v>
      </c>
      <c r="AL43" s="544" t="e">
        <f>IF(AL$1&lt;'Iron &amp; Steelmaker Tool'!$D$16,"",INDEX($D$31:$AN$31,MATCH(AL$39,$D$1:$AN$1,0)))</f>
        <v>#N/A</v>
      </c>
      <c r="AM43" s="544" t="e">
        <f>IF(AM$1&lt;'Iron &amp; Steelmaker Tool'!$D$16,"",INDEX($D$31:$AN$31,MATCH(AM$39,$D$1:$AN$1,0)))</f>
        <v>#N/A</v>
      </c>
      <c r="AN43" s="544" t="e">
        <f>IF(AN$1&lt;'Iron &amp; Steelmaker Tool'!$D$16,"",INDEX($D$31:$AN$31,MATCH(AN$39,$D$1:$AN$1,0)))</f>
        <v>#N/A</v>
      </c>
      <c r="AO43" s="544"/>
      <c r="AP43" s="544"/>
      <c r="AQ43" s="544"/>
      <c r="AR43" s="544"/>
      <c r="AS43" s="544"/>
      <c r="AT43" s="544"/>
      <c r="AU43" s="544"/>
      <c r="AV43" s="544"/>
      <c r="AW43" s="544"/>
      <c r="AX43" s="544"/>
    </row>
    <row r="44" spans="1:90" x14ac:dyDescent="0.15">
      <c r="A44" s="487" t="s">
        <v>613</v>
      </c>
      <c r="B44" s="487" t="s">
        <v>610</v>
      </c>
      <c r="C44" s="487" t="str">
        <f>INDEX(Lists!$E$2:$E$50,MATCH('Iron &amp; Steelmaker Tool'!$D$15,Lists!$B$2:$B$50,0))</f>
        <v>tCO2/t</v>
      </c>
      <c r="D44" s="544" t="e">
        <f>IF(D$1&lt;'Iron &amp; Steelmaker Tool'!$D$16,"",INDEX('Steel-data'!$J$28:$AN$28,MATCH(D$1,'Steel-data'!$J$25:$AN$25,0)))</f>
        <v>#N/A</v>
      </c>
      <c r="E44" s="544" t="e">
        <f>IF(E$1&lt;'Iron &amp; Steelmaker Tool'!$D$16,"",INDEX('Steel-data'!$E$28:$AN$28,MATCH(E$1,'Steel-data'!$E$25:$AN$25,0)))</f>
        <v>#DIV/0!</v>
      </c>
      <c r="F44" s="544" t="e">
        <f>IF(F$1&lt;'Iron &amp; Steelmaker Tool'!$D$16,"",INDEX('Steel-data'!$E$28:$AN$28,MATCH(F$1,'Steel-data'!$E$25:$AN$25,0)))</f>
        <v>#DIV/0!</v>
      </c>
      <c r="G44" s="544" t="e">
        <f>IF(G$1&lt;'Iron &amp; Steelmaker Tool'!$D$16,"",INDEX('Steel-data'!$E$28:$AN$28,MATCH(G$1,'Steel-data'!$E$25:$AN$25,0)))</f>
        <v>#DIV/0!</v>
      </c>
      <c r="H44" s="544" t="e">
        <f>IF(H$1&lt;'Iron &amp; Steelmaker Tool'!$D$16,"",INDEX('Steel-data'!$E$28:$AN$28,MATCH(H$1,'Steel-data'!$E$25:$AN$25,0)))</f>
        <v>#DIV/0!</v>
      </c>
      <c r="I44" s="544" t="e">
        <f>IF(I$1&lt;'Iron &amp; Steelmaker Tool'!$D$16,"",INDEX('Steel-data'!$E$28:$AN$28,MATCH(I$1,'Steel-data'!$E$25:$AN$25,0)))</f>
        <v>#DIV/0!</v>
      </c>
      <c r="J44" s="544" t="e">
        <f>IF(J$1&lt;'Iron &amp; Steelmaker Tool'!$D$16,"",INDEX('Steel-data'!$E$28:$AN$28,MATCH(J$1,'Steel-data'!$E$25:$AN$25,0)))</f>
        <v>#DIV/0!</v>
      </c>
      <c r="K44" s="544" t="e">
        <f>IF(K$1&lt;'Iron &amp; Steelmaker Tool'!$D$16,"",INDEX('Steel-data'!$E$28:$AN$28,MATCH(K$1,'Steel-data'!$E$25:$AN$25,0)))</f>
        <v>#DIV/0!</v>
      </c>
      <c r="L44" s="544" t="e">
        <f>IF(L$1&lt;'Iron &amp; Steelmaker Tool'!$D$16,"",INDEX('Steel-data'!$E$28:$AN$28,MATCH(L$1,'Steel-data'!$E$25:$AN$25,0)))</f>
        <v>#DIV/0!</v>
      </c>
      <c r="M44" s="544" t="e">
        <f>IF(M$1&lt;'Iron &amp; Steelmaker Tool'!$D$16,"",INDEX('Steel-data'!$E$28:$AN$28,MATCH(M$1,'Steel-data'!$E$25:$AN$25,0)))</f>
        <v>#DIV/0!</v>
      </c>
      <c r="N44" s="544" t="e">
        <f>IF(N$1&lt;'Iron &amp; Steelmaker Tool'!$D$16,"",INDEX('Steel-data'!$E$28:$AN$28,MATCH(N$1,'Steel-data'!$E$25:$AN$25,0)))</f>
        <v>#DIV/0!</v>
      </c>
      <c r="O44" s="544" t="e">
        <f>IF(O$1&lt;'Iron &amp; Steelmaker Tool'!$D$16,"",INDEX('Steel-data'!$E$28:$AN$28,MATCH(O$1,'Steel-data'!$E$25:$AN$25,0)))</f>
        <v>#DIV/0!</v>
      </c>
      <c r="P44" s="544" t="e">
        <f>IF(P$1&lt;'Iron &amp; Steelmaker Tool'!$D$16,"",INDEX('Steel-data'!$E$28:$AN$28,MATCH(P$1,'Steel-data'!$E$25:$AN$25,0)))</f>
        <v>#DIV/0!</v>
      </c>
      <c r="Q44" s="544" t="e">
        <f>IF(Q$1&lt;'Iron &amp; Steelmaker Tool'!$D$16,"",INDEX('Steel-data'!$E$28:$AN$28,MATCH(Q$1,'Steel-data'!$E$25:$AN$25,0)))</f>
        <v>#DIV/0!</v>
      </c>
      <c r="R44" s="544" t="e">
        <f>IF(R$1&lt;'Iron &amp; Steelmaker Tool'!$D$16,"",INDEX('Steel-data'!$E$28:$AN$28,MATCH(R$1,'Steel-data'!$E$25:$AN$25,0)))</f>
        <v>#DIV/0!</v>
      </c>
      <c r="S44" s="544" t="e">
        <f>IF(S$1&lt;'Iron &amp; Steelmaker Tool'!$D$16,"",INDEX('Steel-data'!$E$28:$AN$28,MATCH(S$1,'Steel-data'!$E$25:$AN$25,0)))</f>
        <v>#DIV/0!</v>
      </c>
      <c r="T44" s="544" t="e">
        <f>IF(T$1&lt;'Iron &amp; Steelmaker Tool'!$D$16,"",INDEX('Steel-data'!$E$28:$AN$28,MATCH(T$1,'Steel-data'!$E$25:$AN$25,0)))</f>
        <v>#DIV/0!</v>
      </c>
      <c r="U44" s="544" t="e">
        <f>IF(U$1&lt;'Iron &amp; Steelmaker Tool'!$D$16,"",INDEX('Steel-data'!$E$28:$AN$28,MATCH(U$1,'Steel-data'!$E$25:$AN$25,0)))</f>
        <v>#DIV/0!</v>
      </c>
      <c r="V44" s="544" t="e">
        <f>IF(V$1&lt;'Iron &amp; Steelmaker Tool'!$D$16,"",INDEX('Steel-data'!$E$28:$AN$28,MATCH(V$1,'Steel-data'!$E$25:$AN$25,0)))</f>
        <v>#DIV/0!</v>
      </c>
      <c r="W44" s="544" t="e">
        <f>IF(W$1&lt;'Iron &amp; Steelmaker Tool'!$D$16,"",INDEX('Steel-data'!$E$28:$AN$28,MATCH(W$1,'Steel-data'!$E$25:$AN$25,0)))</f>
        <v>#DIV/0!</v>
      </c>
      <c r="X44" s="544" t="e">
        <f>IF(X$1&lt;'Iron &amp; Steelmaker Tool'!$D$16,"",INDEX('Steel-data'!$E$28:$AN$28,MATCH(X$1,'Steel-data'!$E$25:$AN$25,0)))</f>
        <v>#DIV/0!</v>
      </c>
      <c r="Y44" s="544" t="e">
        <f>IF(Y$1&lt;'Iron &amp; Steelmaker Tool'!$D$16,"",INDEX('Steel-data'!$E$28:$AN$28,MATCH(Y$1,'Steel-data'!$E$25:$AN$25,0)))</f>
        <v>#DIV/0!</v>
      </c>
      <c r="Z44" s="544" t="e">
        <f>IF(Z$1&lt;'Iron &amp; Steelmaker Tool'!$D$16,"",INDEX('Steel-data'!$E$28:$AN$28,MATCH(Z$1,'Steel-data'!$E$25:$AN$25,0)))</f>
        <v>#DIV/0!</v>
      </c>
      <c r="AA44" s="544" t="e">
        <f>IF(AA$1&lt;'Iron &amp; Steelmaker Tool'!$D$16,"",INDEX('Steel-data'!$E$28:$AN$28,MATCH(AA$1,'Steel-data'!$E$25:$AN$25,0)))</f>
        <v>#DIV/0!</v>
      </c>
      <c r="AB44" s="544" t="e">
        <f>IF(AB$1&lt;'Iron &amp; Steelmaker Tool'!$D$16,"",INDEX('Steel-data'!$E$28:$AN$28,MATCH(AB$1,'Steel-data'!$E$25:$AN$25,0)))</f>
        <v>#DIV/0!</v>
      </c>
      <c r="AC44" s="544" t="e">
        <f>IF(AC$1&lt;'Iron &amp; Steelmaker Tool'!$D$16,"",INDEX('Steel-data'!$E$28:$AN$28,MATCH(AC$1,'Steel-data'!$E$25:$AN$25,0)))</f>
        <v>#DIV/0!</v>
      </c>
      <c r="AD44" s="544" t="e">
        <f>IF(AD$1&lt;'Iron &amp; Steelmaker Tool'!$D$16,"",INDEX('Steel-data'!$E$28:$AN$28,MATCH(AD$1,'Steel-data'!$E$25:$AN$25,0)))</f>
        <v>#DIV/0!</v>
      </c>
      <c r="AE44" s="544" t="e">
        <f>IF(AE$1&lt;'Iron &amp; Steelmaker Tool'!$D$16,"",INDEX('Steel-data'!$E$28:$AN$28,MATCH(AE$1,'Steel-data'!$E$25:$AN$25,0)))</f>
        <v>#DIV/0!</v>
      </c>
      <c r="AF44" s="544" t="e">
        <f>IF(AF$1&lt;'Iron &amp; Steelmaker Tool'!$D$16,"",INDEX('Steel-data'!$E$28:$AN$28,MATCH(AF$1,'Steel-data'!$E$25:$AN$25,0)))</f>
        <v>#DIV/0!</v>
      </c>
      <c r="AG44" s="544" t="e">
        <f>IF(AG$1&lt;'Iron &amp; Steelmaker Tool'!$D$16,"",INDEX('Steel-data'!$E$28:$AN$28,MATCH(AG$1,'Steel-data'!$E$25:$AN$25,0)))</f>
        <v>#DIV/0!</v>
      </c>
      <c r="AH44" s="544" t="e">
        <f>IF(AH$1&lt;'Iron &amp; Steelmaker Tool'!$D$16,"",INDEX('Steel-data'!$E$28:$AN$28,MATCH(AH$1,'Steel-data'!$E$25:$AN$25,0)))</f>
        <v>#DIV/0!</v>
      </c>
      <c r="AI44" s="544" t="e">
        <f>IF(AI$1&lt;'Iron &amp; Steelmaker Tool'!$D$16,"",INDEX('Steel-data'!$E$28:$AN$28,MATCH(AI$1,'Steel-data'!$E$25:$AN$25,0)))</f>
        <v>#DIV/0!</v>
      </c>
      <c r="AJ44" s="544" t="e">
        <f>IF(AJ$1&lt;'Iron &amp; Steelmaker Tool'!$D$16,"",INDEX('Steel-data'!$E$28:$AN$28,MATCH(AJ$1,'Steel-data'!$E$25:$AN$25,0)))</f>
        <v>#DIV/0!</v>
      </c>
      <c r="AK44" s="544" t="e">
        <f>IF(AK$1&lt;'Iron &amp; Steelmaker Tool'!$D$16,"",INDEX('Steel-data'!$E$28:$AN$28,MATCH(AK$1,'Steel-data'!$E$25:$AN$25,0)))</f>
        <v>#DIV/0!</v>
      </c>
      <c r="AL44" s="544" t="e">
        <f>IF(AL$1&lt;'Iron &amp; Steelmaker Tool'!$D$16,"",INDEX('Steel-data'!$E$28:$AN$28,MATCH(AL$1,'Steel-data'!$E$25:$AN$25,0)))</f>
        <v>#DIV/0!</v>
      </c>
      <c r="AM44" s="544" t="e">
        <f>IF(AM$1&lt;'Iron &amp; Steelmaker Tool'!$D$16,"",INDEX('Steel-data'!$E$28:$AN$28,MATCH(AM$1,'Steel-data'!$E$25:$AN$25,0)))</f>
        <v>#DIV/0!</v>
      </c>
      <c r="AN44" s="544" t="e">
        <f>IF(AN$1&lt;'Iron &amp; Steelmaker Tool'!$D$16,"",INDEX('Steel-data'!$E$28:$AN$28,MATCH(AN$1,'Steel-data'!$E$25:$AN$25,0)))</f>
        <v>#DIV/0!</v>
      </c>
      <c r="AO44" s="544"/>
      <c r="AP44" s="544"/>
      <c r="AQ44" s="544"/>
      <c r="AR44" s="544"/>
      <c r="AS44" s="544"/>
      <c r="AT44" s="544"/>
      <c r="AU44" s="544"/>
      <c r="AV44" s="544"/>
      <c r="AW44" s="544"/>
      <c r="AX44" s="544"/>
    </row>
    <row r="45" spans="1:90" x14ac:dyDescent="0.15">
      <c r="A45" s="487" t="s">
        <v>614</v>
      </c>
      <c r="B45" s="487" t="s">
        <v>491</v>
      </c>
      <c r="C45" s="487" t="s">
        <v>65</v>
      </c>
      <c r="D45" s="544" t="e">
        <f>IF(D$1&lt;'Iron &amp; Steelmaker Tool'!$D$16,"",INDEX('Steel-data'!$J$32:$AN$32,MATCH(D$1,'Steel-data'!$J$25:$AN$25,0)))</f>
        <v>#N/A</v>
      </c>
      <c r="E45" s="544" t="e">
        <f>IF(E$1&lt;'Iron &amp; Steelmaker Tool'!$D$16,"",INDEX('Steel-data'!$E$32:$AN$32,MATCH(E$1,'Steel-data'!$E$25:$AN$25,0)))</f>
        <v>#N/A</v>
      </c>
      <c r="F45" s="544" t="e">
        <f>IF(F$1&lt;'Iron &amp; Steelmaker Tool'!$D$16,"",INDEX('Steel-data'!$E$32:$AN$32,MATCH(F$1,'Steel-data'!$E$25:$AN$25,0)))</f>
        <v>#N/A</v>
      </c>
      <c r="G45" s="544" t="e">
        <f>IF(G$1&lt;'Iron &amp; Steelmaker Tool'!$D$16,"",INDEX('Steel-data'!$E$32:$AN$32,MATCH(G$1,'Steel-data'!$E$25:$AN$25,0)))</f>
        <v>#N/A</v>
      </c>
      <c r="H45" s="544" t="e">
        <f>IF(H$1&lt;'Iron &amp; Steelmaker Tool'!$D$16,"",INDEX('Steel-data'!$E$32:$AN$32,MATCH(H$1,'Steel-data'!$E$25:$AN$25,0)))</f>
        <v>#N/A</v>
      </c>
      <c r="I45" s="544" t="e">
        <f>IF(I$1&lt;'Iron &amp; Steelmaker Tool'!$D$16,"",INDEX('Steel-data'!$E$32:$AN$32,MATCH(I$1,'Steel-data'!$E$25:$AN$25,0)))</f>
        <v>#N/A</v>
      </c>
      <c r="J45" s="544" t="e">
        <f>IF(J$1&lt;'Iron &amp; Steelmaker Tool'!$D$16,"",INDEX('Steel-data'!$E$32:$AN$32,MATCH(J$1,'Steel-data'!$E$25:$AN$25,0)))</f>
        <v>#N/A</v>
      </c>
      <c r="K45" s="544" t="e">
        <f>IF(K$1&lt;'Iron &amp; Steelmaker Tool'!$D$16,"",INDEX('Steel-data'!$E$32:$AN$32,MATCH(K$1,'Steel-data'!$E$25:$AN$25,0)))</f>
        <v>#N/A</v>
      </c>
      <c r="L45" s="544" t="e">
        <f>IF(L$1&lt;'Iron &amp; Steelmaker Tool'!$D$16,"",INDEX('Steel-data'!$E$32:$AN$32,MATCH(L$1,'Steel-data'!$E$25:$AN$25,0)))</f>
        <v>#N/A</v>
      </c>
      <c r="M45" s="544" t="e">
        <f>IF(M$1&lt;'Iron &amp; Steelmaker Tool'!$D$16,"",INDEX('Steel-data'!$E$32:$AN$32,MATCH(M$1,'Steel-data'!$E$25:$AN$25,0)))</f>
        <v>#N/A</v>
      </c>
      <c r="N45" s="544" t="e">
        <f>IF(N$1&lt;'Iron &amp; Steelmaker Tool'!$D$16,"",INDEX('Steel-data'!$E$32:$AN$32,MATCH(N$1,'Steel-data'!$E$25:$AN$25,0)))</f>
        <v>#N/A</v>
      </c>
      <c r="O45" s="544" t="e">
        <f>IF(O$1&lt;'Iron &amp; Steelmaker Tool'!$D$16,"",INDEX('Steel-data'!$E$32:$AN$32,MATCH(O$1,'Steel-data'!$E$25:$AN$25,0)))</f>
        <v>#N/A</v>
      </c>
      <c r="P45" s="544" t="e">
        <f>IF(P$1&lt;'Iron &amp; Steelmaker Tool'!$D$16,"",INDEX('Steel-data'!$E$32:$AN$32,MATCH(P$1,'Steel-data'!$E$25:$AN$25,0)))</f>
        <v>#N/A</v>
      </c>
      <c r="Q45" s="544" t="e">
        <f>IF(Q$1&lt;'Iron &amp; Steelmaker Tool'!$D$16,"",INDEX('Steel-data'!$E$32:$AN$32,MATCH(Q$1,'Steel-data'!$E$25:$AN$25,0)))</f>
        <v>#N/A</v>
      </c>
      <c r="R45" s="544" t="e">
        <f>IF(R$1&lt;'Iron &amp; Steelmaker Tool'!$D$16,"",INDEX('Steel-data'!$E$32:$AN$32,MATCH(R$1,'Steel-data'!$E$25:$AN$25,0)))</f>
        <v>#N/A</v>
      </c>
      <c r="S45" s="544" t="e">
        <f>IF(S$1&lt;'Iron &amp; Steelmaker Tool'!$D$16,"",INDEX('Steel-data'!$E$32:$AN$32,MATCH(S$1,'Steel-data'!$E$25:$AN$25,0)))</f>
        <v>#N/A</v>
      </c>
      <c r="T45" s="544" t="e">
        <f>IF(T$1&lt;'Iron &amp; Steelmaker Tool'!$D$16,"",INDEX('Steel-data'!$E$32:$AN$32,MATCH(T$1,'Steel-data'!$E$25:$AN$25,0)))</f>
        <v>#N/A</v>
      </c>
      <c r="U45" s="544" t="e">
        <f>IF(U$1&lt;'Iron &amp; Steelmaker Tool'!$D$16,"",INDEX('Steel-data'!$E$32:$AN$32,MATCH(U$1,'Steel-data'!$E$25:$AN$25,0)))</f>
        <v>#N/A</v>
      </c>
      <c r="V45" s="544" t="e">
        <f>IF(V$1&lt;'Iron &amp; Steelmaker Tool'!$D$16,"",INDEX('Steel-data'!$E$32:$AN$32,MATCH(V$1,'Steel-data'!$E$25:$AN$25,0)))</f>
        <v>#N/A</v>
      </c>
      <c r="W45" s="544" t="e">
        <f>IF(W$1&lt;'Iron &amp; Steelmaker Tool'!$D$16,"",INDEX('Steel-data'!$E$32:$AN$32,MATCH(W$1,'Steel-data'!$E$25:$AN$25,0)))</f>
        <v>#N/A</v>
      </c>
      <c r="X45" s="544" t="e">
        <f>IF(X$1&lt;'Iron &amp; Steelmaker Tool'!$D$16,"",INDEX('Steel-data'!$E$32:$AN$32,MATCH(X$1,'Steel-data'!$E$25:$AN$25,0)))</f>
        <v>#N/A</v>
      </c>
      <c r="Y45" s="544" t="e">
        <f>IF(Y$1&lt;'Iron &amp; Steelmaker Tool'!$D$16,"",INDEX('Steel-data'!$E$32:$AN$32,MATCH(Y$1,'Steel-data'!$E$25:$AN$25,0)))</f>
        <v>#N/A</v>
      </c>
      <c r="Z45" s="544" t="e">
        <f>IF(Z$1&lt;'Iron &amp; Steelmaker Tool'!$D$16,"",INDEX('Steel-data'!$E$32:$AN$32,MATCH(Z$1,'Steel-data'!$E$25:$AN$25,0)))</f>
        <v>#N/A</v>
      </c>
      <c r="AA45" s="544" t="e">
        <f>IF(AA$1&lt;'Iron &amp; Steelmaker Tool'!$D$16,"",INDEX('Steel-data'!$E$32:$AN$32,MATCH(AA$1,'Steel-data'!$E$25:$AN$25,0)))</f>
        <v>#N/A</v>
      </c>
      <c r="AB45" s="544" t="e">
        <f>IF(AB$1&lt;'Iron &amp; Steelmaker Tool'!$D$16,"",INDEX('Steel-data'!$E$32:$AN$32,MATCH(AB$1,'Steel-data'!$E$25:$AN$25,0)))</f>
        <v>#N/A</v>
      </c>
      <c r="AC45" s="544" t="e">
        <f>IF(AC$1&lt;'Iron &amp; Steelmaker Tool'!$D$16,"",INDEX('Steel-data'!$E$32:$AN$32,MATCH(AC$1,'Steel-data'!$E$25:$AN$25,0)))</f>
        <v>#N/A</v>
      </c>
      <c r="AD45" s="544" t="e">
        <f>IF(AD$1&lt;'Iron &amp; Steelmaker Tool'!$D$16,"",INDEX('Steel-data'!$E$32:$AN$32,MATCH(AD$1,'Steel-data'!$E$25:$AN$25,0)))</f>
        <v>#N/A</v>
      </c>
      <c r="AE45" s="544" t="e">
        <f>IF(AE$1&lt;'Iron &amp; Steelmaker Tool'!$D$16,"",INDEX('Steel-data'!$E$32:$AN$32,MATCH(AE$1,'Steel-data'!$E$25:$AN$25,0)))</f>
        <v>#N/A</v>
      </c>
      <c r="AF45" s="544" t="e">
        <f>IF(AF$1&lt;'Iron &amp; Steelmaker Tool'!$D$16,"",INDEX('Steel-data'!$E$32:$AN$32,MATCH(AF$1,'Steel-data'!$E$25:$AN$25,0)))</f>
        <v>#N/A</v>
      </c>
      <c r="AG45" s="544" t="e">
        <f>IF(AG$1&lt;'Iron &amp; Steelmaker Tool'!$D$16,"",INDEX('Steel-data'!$E$32:$AN$32,MATCH(AG$1,'Steel-data'!$E$25:$AN$25,0)))</f>
        <v>#N/A</v>
      </c>
      <c r="AH45" s="544" t="e">
        <f>IF(AH$1&lt;'Iron &amp; Steelmaker Tool'!$D$16,"",INDEX('Steel-data'!$E$32:$AN$32,MATCH(AH$1,'Steel-data'!$E$25:$AN$25,0)))</f>
        <v>#N/A</v>
      </c>
      <c r="AI45" s="544" t="e">
        <f>IF(AI$1&lt;'Iron &amp; Steelmaker Tool'!$D$16,"",INDEX('Steel-data'!$E$32:$AN$32,MATCH(AI$1,'Steel-data'!$E$25:$AN$25,0)))</f>
        <v>#N/A</v>
      </c>
      <c r="AJ45" s="544" t="e">
        <f>IF(AJ$1&lt;'Iron &amp; Steelmaker Tool'!$D$16,"",INDEX('Steel-data'!$E$32:$AN$32,MATCH(AJ$1,'Steel-data'!$E$25:$AN$25,0)))</f>
        <v>#N/A</v>
      </c>
      <c r="AK45" s="544" t="e">
        <f>IF(AK$1&lt;'Iron &amp; Steelmaker Tool'!$D$16,"",INDEX('Steel-data'!$E$32:$AN$32,MATCH(AK$1,'Steel-data'!$E$25:$AN$25,0)))</f>
        <v>#N/A</v>
      </c>
      <c r="AL45" s="544" t="e">
        <f>IF(AL$1&lt;'Iron &amp; Steelmaker Tool'!$D$16,"",INDEX('Steel-data'!$E$32:$AN$32,MATCH(AL$1,'Steel-data'!$E$25:$AN$25,0)))</f>
        <v>#N/A</v>
      </c>
      <c r="AM45" s="544" t="e">
        <f>IF(AM$1&lt;'Iron &amp; Steelmaker Tool'!$D$16,"",INDEX('Steel-data'!$E$32:$AN$32,MATCH(AM$1,'Steel-data'!$E$25:$AN$25,0)))</f>
        <v>#N/A</v>
      </c>
      <c r="AN45" s="544" t="e">
        <f>IF(AN$1&lt;'Iron &amp; Steelmaker Tool'!$D$16,"",INDEX('Steel-data'!$E$32:$AN$32,MATCH(AN$1,'Steel-data'!$E$25:$AN$25,0)))</f>
        <v>#N/A</v>
      </c>
      <c r="AO45" s="544"/>
      <c r="AP45" s="544"/>
      <c r="AQ45" s="544"/>
      <c r="AR45" s="544"/>
      <c r="AS45" s="544"/>
      <c r="AT45" s="544"/>
      <c r="AU45" s="544"/>
      <c r="AV45" s="544"/>
      <c r="AW45" s="544"/>
      <c r="AX45" s="544"/>
    </row>
    <row r="46" spans="1:90" x14ac:dyDescent="0.15">
      <c r="A46" s="487" t="s">
        <v>57</v>
      </c>
      <c r="B46" s="487" t="s">
        <v>71</v>
      </c>
      <c r="C46" s="487" t="s">
        <v>65</v>
      </c>
      <c r="D46" s="544" t="e">
        <f xml:space="preserve"> IF(D1&gt;='Iron &amp; Steelmaker Tool'!$D16,IF(('Iron &amp; Steelmaker Tool'!$D$17/HLOOKUP('Iron &amp; Steelmaker Tool'!$D$16,$D$1:$AN$8,ROW($A$8),))/(D$31/D$8)&lt;=1,('Iron &amp; Steelmaker Tool'!$D$17/HLOOKUP('Iron &amp; Steelmaker Tool'!$D$16,$D$1:$AN$8,ROW($A$8),))/(D$31/D$8),1),"")</f>
        <v>#N/A</v>
      </c>
      <c r="E46" s="544" t="e">
        <f xml:space="preserve"> IF(E1&gt;='Iron &amp; Steelmaker Tool'!$D16,IF(('Iron &amp; Steelmaker Tool'!$D$17/HLOOKUP('Iron &amp; Steelmaker Tool'!$D$16,$D$1:$AN$8,ROW($A$8),))/(E$31/E$8)&lt;=1,('Iron &amp; Steelmaker Tool'!$D$17/HLOOKUP('Iron &amp; Steelmaker Tool'!$D$16,$D$1:$AN$8,ROW($A$8),))/(E$31/E$8),1),"")</f>
        <v>#N/A</v>
      </c>
      <c r="F46" s="544" t="e">
        <f xml:space="preserve"> IF(F1&gt;='Iron &amp; Steelmaker Tool'!$D16,IF(('Iron &amp; Steelmaker Tool'!$D$17/HLOOKUP('Iron &amp; Steelmaker Tool'!$D$16,$D$1:$AN$8,ROW($A$8),))/(F$31/F$8)&lt;=1,('Iron &amp; Steelmaker Tool'!$D$17/HLOOKUP('Iron &amp; Steelmaker Tool'!$D$16,$D$1:$AN$8,ROW($A$8),))/(F$31/F$8),1),"")</f>
        <v>#N/A</v>
      </c>
      <c r="G46" s="544" t="e">
        <f xml:space="preserve"> IF(G1&gt;='Iron &amp; Steelmaker Tool'!$D16,IF(('Iron &amp; Steelmaker Tool'!$D$17/HLOOKUP('Iron &amp; Steelmaker Tool'!$D$16,$D$1:$AN$8,ROW($A$8),))/(G$31/G$8)&lt;=1,('Iron &amp; Steelmaker Tool'!$D$17/HLOOKUP('Iron &amp; Steelmaker Tool'!$D$16,$D$1:$AN$8,ROW($A$8),))/(G$31/G$8),1),"")</f>
        <v>#N/A</v>
      </c>
      <c r="H46" s="544" t="e">
        <f xml:space="preserve"> IF(H1&gt;='Iron &amp; Steelmaker Tool'!$D16,IF(('Iron &amp; Steelmaker Tool'!$D$17/HLOOKUP('Iron &amp; Steelmaker Tool'!$D$16,$D$1:$AN$8,ROW($A$8),))/(H$31/H$8)&lt;=1,('Iron &amp; Steelmaker Tool'!$D$17/HLOOKUP('Iron &amp; Steelmaker Tool'!$D$16,$D$1:$AN$8,ROW($A$8),))/(H$31/H$8),1),"")</f>
        <v>#N/A</v>
      </c>
      <c r="I46" s="544" t="e">
        <f xml:space="preserve"> IF(I1&gt;='Iron &amp; Steelmaker Tool'!$D16,IF(('Iron &amp; Steelmaker Tool'!$D$17/HLOOKUP('Iron &amp; Steelmaker Tool'!$D$16,$D$1:$AN$8,ROW($A$8),))/(I$31/I$8)&lt;=1,('Iron &amp; Steelmaker Tool'!$D$17/HLOOKUP('Iron &amp; Steelmaker Tool'!$D$16,$D$1:$AN$8,ROW($A$8),))/(I$31/I$8),1),"")</f>
        <v>#N/A</v>
      </c>
      <c r="J46" s="544" t="e">
        <f xml:space="preserve"> IF(J1&gt;='Iron &amp; Steelmaker Tool'!$D16,IF(('Iron &amp; Steelmaker Tool'!$D$17/HLOOKUP('Iron &amp; Steelmaker Tool'!$D$16,$D$1:$AN$8,ROW($A$8),))/(J$31/J$8)&lt;=1,('Iron &amp; Steelmaker Tool'!$D$17/HLOOKUP('Iron &amp; Steelmaker Tool'!$D$16,$D$1:$AN$8,ROW($A$8),))/(J$31/J$8),1),"")</f>
        <v>#N/A</v>
      </c>
      <c r="K46" s="544" t="e">
        <f xml:space="preserve"> IF(K1&gt;='Iron &amp; Steelmaker Tool'!$D16,IF(('Iron &amp; Steelmaker Tool'!$D$17/HLOOKUP('Iron &amp; Steelmaker Tool'!$D$16,$D$1:$AN$8,ROW($A$8),))/(K$31/K$8)&lt;=1,('Iron &amp; Steelmaker Tool'!$D$17/HLOOKUP('Iron &amp; Steelmaker Tool'!$D$16,$D$1:$AN$8,ROW($A$8),))/(K$31/K$8),1),"")</f>
        <v>#N/A</v>
      </c>
      <c r="L46" s="544" t="e">
        <f xml:space="preserve"> IF(L1&gt;='Iron &amp; Steelmaker Tool'!$D16,IF(('Iron &amp; Steelmaker Tool'!$D$17/HLOOKUP('Iron &amp; Steelmaker Tool'!$D$16,$D$1:$AN$8,ROW($A$8),))/(L$31/L$8)&lt;=1,('Iron &amp; Steelmaker Tool'!$D$17/HLOOKUP('Iron &amp; Steelmaker Tool'!$D$16,$D$1:$AN$8,ROW($A$8),))/(L$31/L$8),1),"")</f>
        <v>#N/A</v>
      </c>
      <c r="M46" s="544" t="e">
        <f xml:space="preserve"> IF(M1&gt;='Iron &amp; Steelmaker Tool'!$D16,IF(('Iron &amp; Steelmaker Tool'!$D$17/HLOOKUP('Iron &amp; Steelmaker Tool'!$D$16,$D$1:$AN$8,ROW($A$8),))/(M$31/M$8)&lt;=1,('Iron &amp; Steelmaker Tool'!$D$17/HLOOKUP('Iron &amp; Steelmaker Tool'!$D$16,$D$1:$AN$8,ROW($A$8),))/(M$31/M$8),1),"")</f>
        <v>#N/A</v>
      </c>
      <c r="N46" s="544" t="e">
        <f xml:space="preserve"> IF(N1&gt;='Iron &amp; Steelmaker Tool'!$D16,IF(('Iron &amp; Steelmaker Tool'!$D$17/HLOOKUP('Iron &amp; Steelmaker Tool'!$D$16,$D$1:$AN$8,ROW($A$8),))/(N$31/N$8)&lt;=1,('Iron &amp; Steelmaker Tool'!$D$17/HLOOKUP('Iron &amp; Steelmaker Tool'!$D$16,$D$1:$AN$8,ROW($A$8),))/(N$31/N$8),1),"")</f>
        <v>#N/A</v>
      </c>
      <c r="O46" s="544" t="e">
        <f xml:space="preserve"> IF(O1&gt;='Iron &amp; Steelmaker Tool'!$D16,IF(('Iron &amp; Steelmaker Tool'!$D$17/HLOOKUP('Iron &amp; Steelmaker Tool'!$D$16,$D$1:$AN$8,ROW($A$8),))/(O$31/O$8)&lt;=1,('Iron &amp; Steelmaker Tool'!$D$17/HLOOKUP('Iron &amp; Steelmaker Tool'!$D$16,$D$1:$AN$8,ROW($A$8),))/(O$31/O$8),1),"")</f>
        <v>#N/A</v>
      </c>
      <c r="P46" s="544" t="e">
        <f xml:space="preserve"> IF(P1&gt;='Iron &amp; Steelmaker Tool'!$D16,IF(('Iron &amp; Steelmaker Tool'!$D$17/HLOOKUP('Iron &amp; Steelmaker Tool'!$D$16,$D$1:$AN$8,ROW($A$8),))/(P$31/P$8)&lt;=1,('Iron &amp; Steelmaker Tool'!$D$17/HLOOKUP('Iron &amp; Steelmaker Tool'!$D$16,$D$1:$AN$8,ROW($A$8),))/(P$31/P$8),1),"")</f>
        <v>#N/A</v>
      </c>
      <c r="Q46" s="544" t="e">
        <f xml:space="preserve"> IF(Q1&gt;='Iron &amp; Steelmaker Tool'!$D16,IF(('Iron &amp; Steelmaker Tool'!$D$17/HLOOKUP('Iron &amp; Steelmaker Tool'!$D$16,$D$1:$AN$8,ROW($A$8),))/(Q$31/Q$8)&lt;=1,('Iron &amp; Steelmaker Tool'!$D$17/HLOOKUP('Iron &amp; Steelmaker Tool'!$D$16,$D$1:$AN$8,ROW($A$8),))/(Q$31/Q$8),1),"")</f>
        <v>#N/A</v>
      </c>
      <c r="R46" s="544" t="e">
        <f xml:space="preserve"> IF(R1&gt;='Iron &amp; Steelmaker Tool'!$D16,IF(('Iron &amp; Steelmaker Tool'!$D$17/HLOOKUP('Iron &amp; Steelmaker Tool'!$D$16,$D$1:$AN$8,ROW($A$8),))/(R$31/R$8)&lt;=1,('Iron &amp; Steelmaker Tool'!$D$17/HLOOKUP('Iron &amp; Steelmaker Tool'!$D$16,$D$1:$AN$8,ROW($A$8),))/(R$31/R$8),1),"")</f>
        <v>#N/A</v>
      </c>
      <c r="S46" s="544" t="e">
        <f xml:space="preserve"> IF(S1&gt;='Iron &amp; Steelmaker Tool'!$D16,IF(('Iron &amp; Steelmaker Tool'!$D$17/HLOOKUP('Iron &amp; Steelmaker Tool'!$D$16,$D$1:$AN$8,ROW($A$8),))/(S$31/S$8)&lt;=1,('Iron &amp; Steelmaker Tool'!$D$17/HLOOKUP('Iron &amp; Steelmaker Tool'!$D$16,$D$1:$AN$8,ROW($A$8),))/(S$31/S$8),1),"")</f>
        <v>#N/A</v>
      </c>
      <c r="T46" s="544" t="e">
        <f xml:space="preserve"> IF(T1&gt;='Iron &amp; Steelmaker Tool'!$D16,IF(('Iron &amp; Steelmaker Tool'!$D$17/HLOOKUP('Iron &amp; Steelmaker Tool'!$D$16,$D$1:$AN$8,ROW($A$8),))/(T$31/T$8)&lt;=1,('Iron &amp; Steelmaker Tool'!$D$17/HLOOKUP('Iron &amp; Steelmaker Tool'!$D$16,$D$1:$AN$8,ROW($A$8),))/(T$31/T$8),1),"")</f>
        <v>#N/A</v>
      </c>
      <c r="U46" s="544" t="e">
        <f xml:space="preserve"> IF(U1&gt;='Iron &amp; Steelmaker Tool'!$D16,IF(('Iron &amp; Steelmaker Tool'!$D$17/HLOOKUP('Iron &amp; Steelmaker Tool'!$D$16,$D$1:$AN$8,ROW($A$8),))/(U$31/U$8)&lt;=1,('Iron &amp; Steelmaker Tool'!$D$17/HLOOKUP('Iron &amp; Steelmaker Tool'!$D$16,$D$1:$AN$8,ROW($A$8),))/(U$31/U$8),1),"")</f>
        <v>#N/A</v>
      </c>
      <c r="V46" s="544" t="e">
        <f xml:space="preserve"> IF(V1&gt;='Iron &amp; Steelmaker Tool'!$D16,IF(('Iron &amp; Steelmaker Tool'!$D$17/HLOOKUP('Iron &amp; Steelmaker Tool'!$D$16,$D$1:$AN$8,ROW($A$8),))/(V$31/V$8)&lt;=1,('Iron &amp; Steelmaker Tool'!$D$17/HLOOKUP('Iron &amp; Steelmaker Tool'!$D$16,$D$1:$AN$8,ROW($A$8),))/(V$31/V$8),1),"")</f>
        <v>#N/A</v>
      </c>
      <c r="W46" s="544" t="e">
        <f xml:space="preserve"> IF(W1&gt;='Iron &amp; Steelmaker Tool'!$D16,IF(('Iron &amp; Steelmaker Tool'!$D$17/HLOOKUP('Iron &amp; Steelmaker Tool'!$D$16,$D$1:$AN$8,ROW($A$8),))/(W$31/W$8)&lt;=1,('Iron &amp; Steelmaker Tool'!$D$17/HLOOKUP('Iron &amp; Steelmaker Tool'!$D$16,$D$1:$AN$8,ROW($A$8),))/(W$31/W$8),1),"")</f>
        <v>#N/A</v>
      </c>
      <c r="X46" s="544" t="e">
        <f xml:space="preserve"> IF(X1&gt;='Iron &amp; Steelmaker Tool'!$D16,IF(('Iron &amp; Steelmaker Tool'!$D$17/HLOOKUP('Iron &amp; Steelmaker Tool'!$D$16,$D$1:$AN$8,ROW($A$8),))/(X$31/X$8)&lt;=1,('Iron &amp; Steelmaker Tool'!$D$17/HLOOKUP('Iron &amp; Steelmaker Tool'!$D$16,$D$1:$AN$8,ROW($A$8),))/(X$31/X$8),1),"")</f>
        <v>#N/A</v>
      </c>
      <c r="Y46" s="544" t="e">
        <f xml:space="preserve"> IF(Y1&gt;='Iron &amp; Steelmaker Tool'!$D16,IF(('Iron &amp; Steelmaker Tool'!$D$17/HLOOKUP('Iron &amp; Steelmaker Tool'!$D$16,$D$1:$AN$8,ROW($A$8),))/(Y$31/Y$8)&lt;=1,('Iron &amp; Steelmaker Tool'!$D$17/HLOOKUP('Iron &amp; Steelmaker Tool'!$D$16,$D$1:$AN$8,ROW($A$8),))/(Y$31/Y$8),1),"")</f>
        <v>#N/A</v>
      </c>
      <c r="Z46" s="544" t="e">
        <f xml:space="preserve"> IF(Z1&gt;='Iron &amp; Steelmaker Tool'!$D16,IF(('Iron &amp; Steelmaker Tool'!$D$17/HLOOKUP('Iron &amp; Steelmaker Tool'!$D$16,$D$1:$AN$8,ROW($A$8),))/(Z$31/Z$8)&lt;=1,('Iron &amp; Steelmaker Tool'!$D$17/HLOOKUP('Iron &amp; Steelmaker Tool'!$D$16,$D$1:$AN$8,ROW($A$8),))/(Z$31/Z$8),1),"")</f>
        <v>#N/A</v>
      </c>
      <c r="AA46" s="544" t="e">
        <f xml:space="preserve"> IF(AA1&gt;='Iron &amp; Steelmaker Tool'!$D16,IF(('Iron &amp; Steelmaker Tool'!$D$17/HLOOKUP('Iron &amp; Steelmaker Tool'!$D$16,$D$1:$AN$8,ROW($A$8),))/(AA$31/AA$8)&lt;=1,('Iron &amp; Steelmaker Tool'!$D$17/HLOOKUP('Iron &amp; Steelmaker Tool'!$D$16,$D$1:$AN$8,ROW($A$8),))/(AA$31/AA$8),1),"")</f>
        <v>#N/A</v>
      </c>
      <c r="AB46" s="544" t="e">
        <f xml:space="preserve"> IF(AB1&gt;='Iron &amp; Steelmaker Tool'!$D16,IF(('Iron &amp; Steelmaker Tool'!$D$17/HLOOKUP('Iron &amp; Steelmaker Tool'!$D$16,$D$1:$AN$8,ROW($A$8),))/(AB$31/AB$8)&lt;=1,('Iron &amp; Steelmaker Tool'!$D$17/HLOOKUP('Iron &amp; Steelmaker Tool'!$D$16,$D$1:$AN$8,ROW($A$8),))/(AB$31/AB$8),1),"")</f>
        <v>#N/A</v>
      </c>
      <c r="AC46" s="544" t="e">
        <f xml:space="preserve"> IF(AC1&gt;='Iron &amp; Steelmaker Tool'!$D16,IF(('Iron &amp; Steelmaker Tool'!$D$17/HLOOKUP('Iron &amp; Steelmaker Tool'!$D$16,$D$1:$AN$8,ROW($A$8),))/(AC$31/AC$8)&lt;=1,('Iron &amp; Steelmaker Tool'!$D$17/HLOOKUP('Iron &amp; Steelmaker Tool'!$D$16,$D$1:$AN$8,ROW($A$8),))/(AC$31/AC$8),1),"")</f>
        <v>#N/A</v>
      </c>
      <c r="AD46" s="544" t="e">
        <f xml:space="preserve"> IF(AD1&gt;='Iron &amp; Steelmaker Tool'!$D16,IF(('Iron &amp; Steelmaker Tool'!$D$17/HLOOKUP('Iron &amp; Steelmaker Tool'!$D$16,$D$1:$AN$8,ROW($A$8),))/(AD$31/AD$8)&lt;=1,('Iron &amp; Steelmaker Tool'!$D$17/HLOOKUP('Iron &amp; Steelmaker Tool'!$D$16,$D$1:$AN$8,ROW($A$8),))/(AD$31/AD$8),1),"")</f>
        <v>#N/A</v>
      </c>
      <c r="AE46" s="544" t="e">
        <f xml:space="preserve"> IF(AE1&gt;='Iron &amp; Steelmaker Tool'!$D16,IF(('Iron &amp; Steelmaker Tool'!$D$17/HLOOKUP('Iron &amp; Steelmaker Tool'!$D$16,$D$1:$AN$8,ROW($A$8),))/(AE$31/AE$8)&lt;=1,('Iron &amp; Steelmaker Tool'!$D$17/HLOOKUP('Iron &amp; Steelmaker Tool'!$D$16,$D$1:$AN$8,ROW($A$8),))/(AE$31/AE$8),1),"")</f>
        <v>#N/A</v>
      </c>
      <c r="AF46" s="544" t="e">
        <f xml:space="preserve"> IF(AF1&gt;='Iron &amp; Steelmaker Tool'!$D16,IF(('Iron &amp; Steelmaker Tool'!$D$17/HLOOKUP('Iron &amp; Steelmaker Tool'!$D$16,$D$1:$AN$8,ROW($A$8),))/(AF$31/AF$8)&lt;=1,('Iron &amp; Steelmaker Tool'!$D$17/HLOOKUP('Iron &amp; Steelmaker Tool'!$D$16,$D$1:$AN$8,ROW($A$8),))/(AF$31/AF$8),1),"")</f>
        <v>#N/A</v>
      </c>
      <c r="AG46" s="544" t="e">
        <f xml:space="preserve"> IF(AG1&gt;='Iron &amp; Steelmaker Tool'!$D16,IF(('Iron &amp; Steelmaker Tool'!$D$17/HLOOKUP('Iron &amp; Steelmaker Tool'!$D$16,$D$1:$AN$8,ROW($A$8),))/(AG$31/AG$8)&lt;=1,('Iron &amp; Steelmaker Tool'!$D$17/HLOOKUP('Iron &amp; Steelmaker Tool'!$D$16,$D$1:$AN$8,ROW($A$8),))/(AG$31/AG$8),1),"")</f>
        <v>#N/A</v>
      </c>
      <c r="AH46" s="544" t="e">
        <f xml:space="preserve"> IF(AH1&gt;='Iron &amp; Steelmaker Tool'!$D16,IF(('Iron &amp; Steelmaker Tool'!$D$17/HLOOKUP('Iron &amp; Steelmaker Tool'!$D$16,$D$1:$AN$8,ROW($A$8),))/(AH$31/AH$8)&lt;=1,('Iron &amp; Steelmaker Tool'!$D$17/HLOOKUP('Iron &amp; Steelmaker Tool'!$D$16,$D$1:$AN$8,ROW($A$8),))/(AH$31/AH$8),1),"")</f>
        <v>#N/A</v>
      </c>
      <c r="AI46" s="544" t="e">
        <f xml:space="preserve"> IF(AI1&gt;='Iron &amp; Steelmaker Tool'!$D16,IF(('Iron &amp; Steelmaker Tool'!$D$17/HLOOKUP('Iron &amp; Steelmaker Tool'!$D$16,$D$1:$AN$8,ROW($A$8),))/(AI$31/AI$8)&lt;=1,('Iron &amp; Steelmaker Tool'!$D$17/HLOOKUP('Iron &amp; Steelmaker Tool'!$D$16,$D$1:$AN$8,ROW($A$8),))/(AI$31/AI$8),1),"")</f>
        <v>#N/A</v>
      </c>
      <c r="AJ46" s="544" t="e">
        <f xml:space="preserve"> IF(AJ1&gt;='Iron &amp; Steelmaker Tool'!$D16,IF(('Iron &amp; Steelmaker Tool'!$D$17/HLOOKUP('Iron &amp; Steelmaker Tool'!$D$16,$D$1:$AN$8,ROW($A$8),))/(AJ$31/AJ$8)&lt;=1,('Iron &amp; Steelmaker Tool'!$D$17/HLOOKUP('Iron &amp; Steelmaker Tool'!$D$16,$D$1:$AN$8,ROW($A$8),))/(AJ$31/AJ$8),1),"")</f>
        <v>#N/A</v>
      </c>
      <c r="AK46" s="544" t="e">
        <f xml:space="preserve"> IF(AK1&gt;='Iron &amp; Steelmaker Tool'!$D16,IF(('Iron &amp; Steelmaker Tool'!$D$17/HLOOKUP('Iron &amp; Steelmaker Tool'!$D$16,$D$1:$AN$8,ROW($A$8),))/(AK$31/AK$8)&lt;=1,('Iron &amp; Steelmaker Tool'!$D$17/HLOOKUP('Iron &amp; Steelmaker Tool'!$D$16,$D$1:$AN$8,ROW($A$8),))/(AK$31/AK$8),1),"")</f>
        <v>#N/A</v>
      </c>
      <c r="AL46" s="544" t="e">
        <f xml:space="preserve"> IF(AL1&gt;='Iron &amp; Steelmaker Tool'!$D16,IF(('Iron &amp; Steelmaker Tool'!$D$17/HLOOKUP('Iron &amp; Steelmaker Tool'!$D$16,$D$1:$AN$8,ROW($A$8),))/(AL$31/AL$8)&lt;=1,('Iron &amp; Steelmaker Tool'!$D$17/HLOOKUP('Iron &amp; Steelmaker Tool'!$D$16,$D$1:$AN$8,ROW($A$8),))/(AL$31/AL$8),1),"")</f>
        <v>#N/A</v>
      </c>
      <c r="AM46" s="544" t="e">
        <f xml:space="preserve"> IF(AM1&gt;='Iron &amp; Steelmaker Tool'!$D16,IF(('Iron &amp; Steelmaker Tool'!$D$17/HLOOKUP('Iron &amp; Steelmaker Tool'!$D$16,$D$1:$AN$8,ROW($A$8),))/(AM$31/AM$8)&lt;=1,('Iron &amp; Steelmaker Tool'!$D$17/HLOOKUP('Iron &amp; Steelmaker Tool'!$D$16,$D$1:$AN$8,ROW($A$8),))/(AM$31/AM$8),1),"")</f>
        <v>#N/A</v>
      </c>
      <c r="AN46" s="544" t="e">
        <f xml:space="preserve"> IF(AN1&gt;='Iron &amp; Steelmaker Tool'!$D16,IF(('Iron &amp; Steelmaker Tool'!$D$17/HLOOKUP('Iron &amp; Steelmaker Tool'!$D$16,$D$1:$AN$8,ROW($A$8),))/(AN$31/AN$8)&lt;=1,('Iron &amp; Steelmaker Tool'!$D$17/HLOOKUP('Iron &amp; Steelmaker Tool'!$D$16,$D$1:$AN$8,ROW($A$8),))/(AN$31/AN$8),1),"")</f>
        <v>#N/A</v>
      </c>
      <c r="AO46" s="63"/>
      <c r="AP46" s="63"/>
      <c r="AQ46" s="63"/>
      <c r="AR46" s="63"/>
      <c r="AS46" s="63"/>
      <c r="AT46" s="63"/>
      <c r="AU46" s="63"/>
      <c r="AV46" s="63"/>
      <c r="AW46" s="63"/>
      <c r="AX46" s="63"/>
    </row>
    <row r="47" spans="1:90" x14ac:dyDescent="0.15">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63"/>
      <c r="AP47" s="63"/>
      <c r="AQ47" s="63"/>
      <c r="AR47" s="63"/>
      <c r="AS47" s="63"/>
      <c r="AT47" s="63"/>
      <c r="AU47" s="63"/>
      <c r="AV47" s="63"/>
      <c r="AW47" s="63"/>
      <c r="AX47" s="63"/>
    </row>
    <row r="48" spans="1:90" x14ac:dyDescent="0.15">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c r="AL48" s="582"/>
      <c r="AM48" s="582"/>
      <c r="AN48" s="582"/>
      <c r="AO48" s="63"/>
      <c r="AP48" s="63"/>
      <c r="AQ48" s="63"/>
      <c r="AR48" s="63"/>
      <c r="AS48" s="63"/>
      <c r="AT48" s="63"/>
      <c r="AU48" s="63"/>
      <c r="AV48" s="63"/>
      <c r="AW48" s="63"/>
      <c r="AX48" s="63"/>
    </row>
    <row r="49" spans="1:91" x14ac:dyDescent="0.15">
      <c r="A49" t="s">
        <v>45</v>
      </c>
      <c r="B49" t="str">
        <f>IF(ISTEXT('Iron &amp; Steelmaker Tool'!$D$15)=TRUE,IF('Iron &amp; Steelmaker Tool'!$D$15=Lists!$B$4, "Company | Emissions intensity within core boundary ("&amp;C49&amp;")", IF('Iron &amp; Steelmaker Tool'!D15=Lists!$B$2,"Company | Generation intensity ("&amp;C49&amp;")",IF('Iron &amp; Steelmaker Tool'!$D$15&lt;&gt;Lists!$B$2,"Company | Scope 1 emissions intensity ("&amp;C49&amp;")","select a SDA sector"))),"select a SDA sector")</f>
        <v>Company | Emissions intensity within core boundary (tCO2/t)</v>
      </c>
      <c r="C49" t="str">
        <f>INDEX(Lists!$E$2:$E$50,MATCH('Iron &amp; Steelmaker Tool'!$D$15,Lists!$B$2:$B$50,0))</f>
        <v>tCO2/t</v>
      </c>
      <c r="D49" s="2" t="e">
        <f>IF(D45="", NA(), IF(D$1&lt;'Iron &amp; Steelmaker Tool'!$D$16,"",D44*D45*D46+D41))</f>
        <v>#N/A</v>
      </c>
      <c r="E49" s="2" t="e">
        <f>IF(E45="", NA(), IF(E$1&lt;'Iron &amp; Steelmaker Tool'!$D$16,"",E44*E45*E46+E41))</f>
        <v>#N/A</v>
      </c>
      <c r="F49" s="2" t="e">
        <f>IF(F45="", NA(), IF(F$1&lt;'Iron &amp; Steelmaker Tool'!$D$16,"",F44*F45*F46+F41))</f>
        <v>#N/A</v>
      </c>
      <c r="G49" s="2" t="e">
        <f>IF(G45="", NA(), IF(G$1&lt;'Iron &amp; Steelmaker Tool'!$D$16,"",G44*G45*G46+G41))</f>
        <v>#N/A</v>
      </c>
      <c r="H49" s="2" t="e">
        <f>IF(H45="", NA(), IF(H$1&lt;'Iron &amp; Steelmaker Tool'!$D$16,"",H44*H45*H46+H41))</f>
        <v>#N/A</v>
      </c>
      <c r="I49" s="2" t="e">
        <f>IF(I45="", NA(), IF(I$1&lt;'Iron &amp; Steelmaker Tool'!$D$16,"",I44*I45*I46+I41))</f>
        <v>#N/A</v>
      </c>
      <c r="J49" s="2" t="e">
        <f>IF(J45="", NA(), IF(J$1&lt;'Iron &amp; Steelmaker Tool'!$D$16,"",J44*J45*J46+J41))</f>
        <v>#N/A</v>
      </c>
      <c r="K49" s="2" t="e">
        <f>IF(K45="", NA(), IF(K$1&lt;'Iron &amp; Steelmaker Tool'!$D$16,"",K44*K45*K46+K41))</f>
        <v>#N/A</v>
      </c>
      <c r="L49" s="2" t="e">
        <f>IF(L45="", NA(), IF(L$1&lt;'Iron &amp; Steelmaker Tool'!$D$16,"",L44*L45*L46+L41))</f>
        <v>#N/A</v>
      </c>
      <c r="M49" s="2" t="e">
        <f>IF(M45="", NA(), IF(M$1&lt;'Iron &amp; Steelmaker Tool'!$D$16,"",M44*M45*M46+M41))</f>
        <v>#N/A</v>
      </c>
      <c r="N49" s="2" t="e">
        <f>IF(N45="", NA(), IF(N$1&lt;'Iron &amp; Steelmaker Tool'!$D$16,"",N44*N45*N46+N41))</f>
        <v>#N/A</v>
      </c>
      <c r="O49" s="2" t="e">
        <f>IF(O45="", NA(), IF(O$1&lt;'Iron &amp; Steelmaker Tool'!$D$16,"",O44*O45*O46+O41))</f>
        <v>#N/A</v>
      </c>
      <c r="P49" s="2" t="e">
        <f>IF(P45="", NA(), IF(P$1&lt;'Iron &amp; Steelmaker Tool'!$D$16,"",P44*P45*P46+P41))</f>
        <v>#N/A</v>
      </c>
      <c r="Q49" s="2" t="e">
        <f>IF(Q45="", NA(), IF(Q$1&lt;'Iron &amp; Steelmaker Tool'!$D$16,"",Q44*Q45*Q46+Q41))</f>
        <v>#N/A</v>
      </c>
      <c r="R49" s="2" t="e">
        <f>IF(R45="", NA(), IF(R$1&lt;'Iron &amp; Steelmaker Tool'!$D$16,"",R44*R45*R46+R41))</f>
        <v>#N/A</v>
      </c>
      <c r="S49" s="2" t="e">
        <f>IF(S45="", NA(), IF(S$1&lt;'Iron &amp; Steelmaker Tool'!$D$16,"",S44*S45*S46+S41))</f>
        <v>#N/A</v>
      </c>
      <c r="T49" s="2" t="e">
        <f>IF(T45="", NA(), IF(T$1&lt;'Iron &amp; Steelmaker Tool'!$D$16,"",T44*T45*T46+T41))</f>
        <v>#N/A</v>
      </c>
      <c r="U49" s="2" t="e">
        <f>IF(U45="", NA(), IF(U$1&lt;'Iron &amp; Steelmaker Tool'!$D$16,"",U44*U45*U46+U41))</f>
        <v>#N/A</v>
      </c>
      <c r="V49" s="2" t="e">
        <f>IF(V45="", NA(), IF(V$1&lt;'Iron &amp; Steelmaker Tool'!$D$16,"",V44*V45*V46+V41))</f>
        <v>#N/A</v>
      </c>
      <c r="W49" s="2" t="e">
        <f>IF(W45="", NA(), IF(W$1&lt;'Iron &amp; Steelmaker Tool'!$D$16,"",W44*W45*W46+W41))</f>
        <v>#N/A</v>
      </c>
      <c r="X49" s="2" t="e">
        <f>IF(X45="", NA(), IF(X$1&lt;'Iron &amp; Steelmaker Tool'!$D$16,"",X44*X45*X46+X41))</f>
        <v>#N/A</v>
      </c>
      <c r="Y49" s="2" t="e">
        <f>IF(Y45="", NA(), IF(Y$1&lt;'Iron &amp; Steelmaker Tool'!$D$16,"",Y44*Y45*Y46+Y41))</f>
        <v>#N/A</v>
      </c>
      <c r="Z49" s="2" t="e">
        <f>IF(Z45="", NA(), IF(Z$1&lt;'Iron &amp; Steelmaker Tool'!$D$16,"",Z44*Z45*Z46+Z41))</f>
        <v>#N/A</v>
      </c>
      <c r="AA49" s="2" t="e">
        <f>IF(AA45="", NA(), IF(AA$1&lt;'Iron &amp; Steelmaker Tool'!$D$16,"",AA44*AA45*AA46+AA41))</f>
        <v>#N/A</v>
      </c>
      <c r="AB49" s="2" t="e">
        <f>IF(AB45="", NA(), IF(AB$1&lt;'Iron &amp; Steelmaker Tool'!$D$16,"",AB44*AB45*AB46+AB41))</f>
        <v>#N/A</v>
      </c>
      <c r="AC49" s="2" t="e">
        <f>IF(AC45="", NA(), IF(AC$1&lt;'Iron &amp; Steelmaker Tool'!$D$16,"",AC44*AC45*AC46+AC41))</f>
        <v>#N/A</v>
      </c>
      <c r="AD49" s="2" t="e">
        <f>IF(AD45="", NA(), IF(AD$1&lt;'Iron &amp; Steelmaker Tool'!$D$16,"",AD44*AD45*AD46+AD41))</f>
        <v>#N/A</v>
      </c>
      <c r="AE49" s="2" t="e">
        <f>IF(AE45="", NA(), IF(AE$1&lt;'Iron &amp; Steelmaker Tool'!$D$16,"",AE44*AE45*AE46+AE41))</f>
        <v>#N/A</v>
      </c>
      <c r="AF49" s="2" t="e">
        <f>IF(AF45="", NA(), IF(AF$1&lt;'Iron &amp; Steelmaker Tool'!$D$16,"",AF44*AF45*AF46+AF41))</f>
        <v>#N/A</v>
      </c>
      <c r="AG49" s="2" t="e">
        <f>IF(AG45="", NA(), IF(AG$1&lt;'Iron &amp; Steelmaker Tool'!$D$16,"",AG44*AG45*AG46+AG41))</f>
        <v>#N/A</v>
      </c>
      <c r="AH49" s="2" t="e">
        <f>IF(AH45="", NA(), IF(AH$1&lt;'Iron &amp; Steelmaker Tool'!$D$16,"",AH44*AH45*AH46+AH41))</f>
        <v>#N/A</v>
      </c>
      <c r="AI49" s="2" t="e">
        <f>IF(AI45="", NA(), IF(AI$1&lt;'Iron &amp; Steelmaker Tool'!$D$16,"",AI44*AI45*AI46+AI41))</f>
        <v>#N/A</v>
      </c>
      <c r="AJ49" s="2" t="e">
        <f>IF(AJ45="", NA(), IF(AJ$1&lt;'Iron &amp; Steelmaker Tool'!$D$16,"",AJ44*AJ45*AJ46+AJ41))</f>
        <v>#N/A</v>
      </c>
      <c r="AK49" s="2" t="e">
        <f>IF(AK45="", NA(), IF(AK$1&lt;'Iron &amp; Steelmaker Tool'!$D$16,"",AK44*AK45*AK46+AK41))</f>
        <v>#N/A</v>
      </c>
      <c r="AL49" s="2" t="e">
        <f>IF(AL45="", NA(), IF(AL$1&lt;'Iron &amp; Steelmaker Tool'!$D$16,"",AL44*AL45*AL46+AL41))</f>
        <v>#N/A</v>
      </c>
      <c r="AM49" s="2" t="e">
        <f>IF(AM45="", NA(), IF(AM$1&lt;'Iron &amp; Steelmaker Tool'!$D$16,"",AM44*AM45*AM46+AM41))</f>
        <v>#N/A</v>
      </c>
      <c r="AN49" s="2" t="e">
        <f>IF(AN45="", NA(), IF(AN$1&lt;'Iron &amp; Steelmaker Tool'!$D$16,"",AN44*AN45*AN46+AN41))</f>
        <v>#N/A</v>
      </c>
      <c r="AO49" s="63"/>
      <c r="AP49" s="63"/>
      <c r="AQ49" s="63"/>
      <c r="AR49" s="63"/>
      <c r="AS49" s="63"/>
      <c r="AT49" s="63"/>
      <c r="AU49" s="63"/>
      <c r="AV49" s="63"/>
      <c r="AW49" s="63"/>
      <c r="AX49" s="63"/>
    </row>
    <row r="50" spans="1:91" x14ac:dyDescent="0.15">
      <c r="A50" t="s">
        <v>43</v>
      </c>
      <c r="B50" t="str">
        <f>IF(ISTEXT('Iron &amp; Steelmaker Tool'!$D$15)=TRUE,IF('Iron &amp; Steelmaker Tool'!$D$15=Lists!$B$4,"Company | Emissions within core boundary ("&amp;C50&amp;")",IF('Iron &amp; Steelmaker Tool'!D15=Lists!$B$2,"Company | Generation related emissions ("&amp;C50&amp;")",IF('Iron &amp; Steelmaker Tool'!$D$15&lt;&gt;Lists!$B$2,"Company | Scope 1 emissions ("&amp;C50&amp;")","select a SDA sector"))),"select a SDA sector")</f>
        <v>Company | Emissions within core boundary (tCO2)</v>
      </c>
      <c r="C50" t="s">
        <v>212</v>
      </c>
      <c r="D50" s="2" t="e">
        <f>IF(D45="",NA(),IF(D39='Iron &amp; Steelmaker Tool'!$D$16,'Iron &amp; Steelmaker Tool'!$D$18,D49*D31))</f>
        <v>#N/A</v>
      </c>
      <c r="E50" s="2" t="e">
        <f>IF(E45="",NA(),IF(E39='Iron &amp; Steelmaker Tool'!$D$16,'Iron &amp; Steelmaker Tool'!$D$18,E49*E31))</f>
        <v>#N/A</v>
      </c>
      <c r="F50" s="2" t="e">
        <f>IF(F45="",NA(),IF(F39='Iron &amp; Steelmaker Tool'!$D$16,'Iron &amp; Steelmaker Tool'!$D$18,F49*F31))</f>
        <v>#N/A</v>
      </c>
      <c r="G50" s="2" t="e">
        <f>IF(G45="",NA(),IF(G39='Iron &amp; Steelmaker Tool'!$D$16,'Iron &amp; Steelmaker Tool'!$D$18,G49*G31))</f>
        <v>#N/A</v>
      </c>
      <c r="H50" s="2" t="e">
        <f>IF(H45="",NA(),IF(H39='Iron &amp; Steelmaker Tool'!$D$16,'Iron &amp; Steelmaker Tool'!$D$18,H49*H31))</f>
        <v>#N/A</v>
      </c>
      <c r="I50" s="2" t="e">
        <f>IF(I45="",NA(),IF(I39='Iron &amp; Steelmaker Tool'!$D$16,'Iron &amp; Steelmaker Tool'!$D$18,I49*I31))</f>
        <v>#N/A</v>
      </c>
      <c r="J50" s="2" t="e">
        <f>IF(J45="",NA(),IF(J39='Iron &amp; Steelmaker Tool'!$D$16,'Iron &amp; Steelmaker Tool'!$D$18,J49*J31))</f>
        <v>#N/A</v>
      </c>
      <c r="K50" s="2" t="e">
        <f>IF(K45="",NA(),IF(K39='Iron &amp; Steelmaker Tool'!$D$16,'Iron &amp; Steelmaker Tool'!$D$18,K49*K31))</f>
        <v>#N/A</v>
      </c>
      <c r="L50" s="2" t="e">
        <f>IF(L45="",NA(),IF(L39='Iron &amp; Steelmaker Tool'!$D$16,'Iron &amp; Steelmaker Tool'!$D$18,L49*L31))</f>
        <v>#N/A</v>
      </c>
      <c r="M50" s="2" t="e">
        <f>IF(M45="",NA(),IF(M39='Iron &amp; Steelmaker Tool'!$D$16,'Iron &amp; Steelmaker Tool'!$D$18,M49*M31))</f>
        <v>#N/A</v>
      </c>
      <c r="N50" s="2" t="e">
        <f>IF(N45="",NA(),IF(N39='Iron &amp; Steelmaker Tool'!$D$16,'Iron &amp; Steelmaker Tool'!$D$18,N49*N31))</f>
        <v>#N/A</v>
      </c>
      <c r="O50" s="2" t="e">
        <f>IF(O45="",NA(),IF(O39='Iron &amp; Steelmaker Tool'!$D$16,'Iron &amp; Steelmaker Tool'!$D$18,O49*O31))</f>
        <v>#N/A</v>
      </c>
      <c r="P50" s="2" t="e">
        <f>IF(P45="",NA(),IF(P39='Iron &amp; Steelmaker Tool'!$D$16,'Iron &amp; Steelmaker Tool'!$D$18,P49*P31))</f>
        <v>#N/A</v>
      </c>
      <c r="Q50" s="2" t="e">
        <f>IF(Q45="",NA(),IF(Q39='Iron &amp; Steelmaker Tool'!$D$16,'Iron &amp; Steelmaker Tool'!$D$18,Q49*Q31))</f>
        <v>#N/A</v>
      </c>
      <c r="R50" s="2" t="e">
        <f>IF(R45="",NA(),IF(R39='Iron &amp; Steelmaker Tool'!$D$16,'Iron &amp; Steelmaker Tool'!$D$18,R49*R31))</f>
        <v>#N/A</v>
      </c>
      <c r="S50" s="2" t="e">
        <f>IF(S45="",NA(),IF(S39='Iron &amp; Steelmaker Tool'!$D$16,'Iron &amp; Steelmaker Tool'!$D$18,S49*S31))</f>
        <v>#N/A</v>
      </c>
      <c r="T50" s="2" t="e">
        <f>IF(T45="",NA(),IF(T39='Iron &amp; Steelmaker Tool'!$D$16,'Iron &amp; Steelmaker Tool'!$D$18,T49*T31))</f>
        <v>#N/A</v>
      </c>
      <c r="U50" s="2" t="e">
        <f>IF(U45="",NA(),IF(U39='Iron &amp; Steelmaker Tool'!$D$16,'Iron &amp; Steelmaker Tool'!$D$18,U49*U31))</f>
        <v>#N/A</v>
      </c>
      <c r="V50" s="2" t="e">
        <f>IF(V45="",NA(),IF(V39='Iron &amp; Steelmaker Tool'!$D$16,'Iron &amp; Steelmaker Tool'!$D$18,V49*V31))</f>
        <v>#N/A</v>
      </c>
      <c r="W50" s="2" t="e">
        <f>IF(W45="",NA(),IF(W39='Iron &amp; Steelmaker Tool'!$D$16,'Iron &amp; Steelmaker Tool'!$D$18,W49*W31))</f>
        <v>#N/A</v>
      </c>
      <c r="X50" s="2" t="e">
        <f>IF(X45="",NA(),IF(X39='Iron &amp; Steelmaker Tool'!$D$16,'Iron &amp; Steelmaker Tool'!$D$18,X49*X31))</f>
        <v>#N/A</v>
      </c>
      <c r="Y50" s="2" t="e">
        <f>IF(Y45="",NA(),IF(Y39='Iron &amp; Steelmaker Tool'!$D$16,'Iron &amp; Steelmaker Tool'!$D$18,Y49*Y31))</f>
        <v>#N/A</v>
      </c>
      <c r="Z50" s="2" t="e">
        <f>IF(Z45="",NA(),IF(Z39='Iron &amp; Steelmaker Tool'!$D$16,'Iron &amp; Steelmaker Tool'!$D$18,Z49*Z31))</f>
        <v>#N/A</v>
      </c>
      <c r="AA50" s="2" t="e">
        <f>IF(AA45="",NA(),IF(AA39='Iron &amp; Steelmaker Tool'!$D$16,'Iron &amp; Steelmaker Tool'!$D$18,AA49*AA31))</f>
        <v>#N/A</v>
      </c>
      <c r="AB50" s="2" t="e">
        <f>IF(AB45="",NA(),IF(AB39='Iron &amp; Steelmaker Tool'!$D$16,'Iron &amp; Steelmaker Tool'!$D$18,AB49*AB31))</f>
        <v>#N/A</v>
      </c>
      <c r="AC50" s="2" t="e">
        <f>IF(AC45="",NA(),IF(AC39='Iron &amp; Steelmaker Tool'!$D$16,'Iron &amp; Steelmaker Tool'!$D$18,AC49*AC31))</f>
        <v>#N/A</v>
      </c>
      <c r="AD50" s="2" t="e">
        <f>IF(AD45="",NA(),IF(AD39='Iron &amp; Steelmaker Tool'!$D$16,'Iron &amp; Steelmaker Tool'!$D$18,AD49*AD31))</f>
        <v>#N/A</v>
      </c>
      <c r="AE50" s="2" t="e">
        <f>IF(AE45="",NA(),IF(AE39='Iron &amp; Steelmaker Tool'!$D$16,'Iron &amp; Steelmaker Tool'!$D$18,AE49*AE31))</f>
        <v>#N/A</v>
      </c>
      <c r="AF50" s="2" t="e">
        <f>IF(AF45="",NA(),IF(AF39='Iron &amp; Steelmaker Tool'!$D$16,'Iron &amp; Steelmaker Tool'!$D$18,AF49*AF31))</f>
        <v>#N/A</v>
      </c>
      <c r="AG50" s="2" t="e">
        <f>IF(AG45="",NA(),IF(AG39='Iron &amp; Steelmaker Tool'!$D$16,'Iron &amp; Steelmaker Tool'!$D$18,AG49*AG31))</f>
        <v>#N/A</v>
      </c>
      <c r="AH50" s="2" t="e">
        <f>IF(AH45="",NA(),IF(AH39='Iron &amp; Steelmaker Tool'!$D$16,'Iron &amp; Steelmaker Tool'!$D$18,AH49*AH31))</f>
        <v>#N/A</v>
      </c>
      <c r="AI50" s="2" t="e">
        <f>IF(AI45="",NA(),IF(AI39='Iron &amp; Steelmaker Tool'!$D$16,'Iron &amp; Steelmaker Tool'!$D$18,AI49*AI31))</f>
        <v>#N/A</v>
      </c>
      <c r="AJ50" s="2" t="e">
        <f>IF(AJ45="",NA(),IF(AJ39='Iron &amp; Steelmaker Tool'!$D$16,'Iron &amp; Steelmaker Tool'!$D$18,AJ49*AJ31))</f>
        <v>#N/A</v>
      </c>
      <c r="AK50" s="2" t="e">
        <f>IF(AK45="",NA(),IF(AK39='Iron &amp; Steelmaker Tool'!$D$16,'Iron &amp; Steelmaker Tool'!$D$18,AK49*AK31))</f>
        <v>#N/A</v>
      </c>
      <c r="AL50" s="2" t="e">
        <f>IF(AL45="",NA(),IF(AL39='Iron &amp; Steelmaker Tool'!$D$16,'Iron &amp; Steelmaker Tool'!$D$18,AL49*AL31))</f>
        <v>#N/A</v>
      </c>
      <c r="AM50" s="2" t="e">
        <f>IF(AM45="",NA(),IF(AM39='Iron &amp; Steelmaker Tool'!$D$16,'Iron &amp; Steelmaker Tool'!$D$18,AM49*AM31))</f>
        <v>#N/A</v>
      </c>
      <c r="AN50" s="2" t="e">
        <f>IF(AN45="",NA(),IF(AN39='Iron &amp; Steelmaker Tool'!$D$16,'Iron &amp; Steelmaker Tool'!$D$18,AN49*AN31))</f>
        <v>#N/A</v>
      </c>
      <c r="AO50" s="2" t="e">
        <f>IF(AO45="",NA(),IF(AO39='Iron &amp; Steelmaker Tool'!$D$16,'Iron &amp; Steelmaker Tool'!$D$18,AO49*AO31))</f>
        <v>#N/A</v>
      </c>
      <c r="AP50" s="2" t="e">
        <f>IF(AP45="",NA(),IF(AP39='Iron &amp; Steelmaker Tool'!$D$16,'Iron &amp; Steelmaker Tool'!$D$18,AP49*AP31))</f>
        <v>#N/A</v>
      </c>
      <c r="AQ50" s="2" t="e">
        <f>IF(AQ45="",NA(),IF(AQ39='Iron &amp; Steelmaker Tool'!$D$16,'Iron &amp; Steelmaker Tool'!$D$18,AQ49*AQ31))</f>
        <v>#N/A</v>
      </c>
      <c r="AR50" s="2" t="e">
        <f>IF(AR45="",NA(),IF(AR39='Iron &amp; Steelmaker Tool'!$D$16,'Iron &amp; Steelmaker Tool'!$D$18,AR49*AR31))</f>
        <v>#N/A</v>
      </c>
      <c r="AS50" s="2" t="e">
        <f>IF(AS45="",NA(),IF(AS39='Iron &amp; Steelmaker Tool'!$D$16,'Iron &amp; Steelmaker Tool'!$D$18,AS49*AS31))</f>
        <v>#N/A</v>
      </c>
      <c r="AT50" s="2" t="e">
        <f>IF(AT45="",NA(),IF(AT39='Iron &amp; Steelmaker Tool'!$D$16,'Iron &amp; Steelmaker Tool'!$D$18,AT49*AT31))</f>
        <v>#N/A</v>
      </c>
      <c r="AU50" s="2" t="e">
        <f>IF(AU45="",NA(),IF(AU39='Iron &amp; Steelmaker Tool'!$D$16,'Iron &amp; Steelmaker Tool'!$D$18,AU49*AU31))</f>
        <v>#N/A</v>
      </c>
      <c r="AV50" s="2" t="e">
        <f>IF(AV45="",NA(),IF(AV39='Iron &amp; Steelmaker Tool'!$D$16,'Iron &amp; Steelmaker Tool'!$D$18,AV49*AV31))</f>
        <v>#N/A</v>
      </c>
      <c r="AW50" s="2" t="e">
        <f>IF(AW45="",NA(),IF(AW39='Iron &amp; Steelmaker Tool'!$D$16,'Iron &amp; Steelmaker Tool'!$D$18,AW49*AW31))</f>
        <v>#N/A</v>
      </c>
      <c r="AX50" s="2" t="e">
        <f>IF(AX45="",NA(),IF(AX39='Iron &amp; Steelmaker Tool'!$D$16,'Iron &amp; Steelmaker Tool'!$D$18,AX49*AX31))</f>
        <v>#N/A</v>
      </c>
      <c r="CM50" s="2"/>
    </row>
    <row r="51" spans="1:91" x14ac:dyDescent="0.15">
      <c r="A51" s="1"/>
      <c r="B51" t="str">
        <f>IF('Iron &amp; Steelmaker Tool'!$D$15=Lists!$B$4, "Emissions Target", "Scope 1 target")</f>
        <v>Emissions Target</v>
      </c>
      <c r="C51" t="s">
        <v>212</v>
      </c>
      <c r="D51" s="63" t="e">
        <f>IF(AN44&lt;&gt;0,HLOOKUP('Iron &amp; Steelmaker Tool'!$D$20,Calculations!$M$1:$AN$53,ROW(Calculations!A50)),"")</f>
        <v>#DIV/0!</v>
      </c>
      <c r="T51" s="65"/>
      <c r="AO51" s="63"/>
      <c r="AP51" s="63"/>
      <c r="AQ51" s="63"/>
      <c r="AR51" s="63"/>
      <c r="AS51" s="63"/>
      <c r="AT51" s="63"/>
      <c r="AU51" s="63"/>
      <c r="AV51" s="63"/>
      <c r="AW51" s="63"/>
      <c r="AX51" s="63"/>
    </row>
    <row r="52" spans="1:91" x14ac:dyDescent="0.15">
      <c r="A52" s="1"/>
      <c r="B52" t="str">
        <f>IF('Iron &amp; Steelmaker Tool'!$D$15=Lists!$B$4, "Emissions intensity Target", "Scope 1 intensity target")</f>
        <v>Emissions intensity Target</v>
      </c>
      <c r="C52" t="str">
        <f>+C49</f>
        <v>tCO2/t</v>
      </c>
      <c r="D52" s="63" t="e">
        <f>IF(AN44&lt;&gt;0,HLOOKUP('Iron &amp; Steelmaker Tool'!$D$20,Calculations!$M$1:$AN$53,ROW(Calculations!A49)),"")</f>
        <v>#DIV/0!</v>
      </c>
      <c r="E52" s="2" t="e">
        <f>IF('Iron &amp; Steelmaker Tool'!$D$15=Lists!$B$4,IF(AN49=AN41,"CHECK","ERROR"),IF(AN49=AN12,"CHECK","ERROR"))</f>
        <v>#N/A</v>
      </c>
      <c r="AO52" s="63"/>
      <c r="AP52" s="63"/>
      <c r="AQ52" s="63"/>
      <c r="AR52" s="63"/>
      <c r="AS52" s="63"/>
      <c r="AT52" s="63"/>
      <c r="AU52" s="63"/>
      <c r="AV52" s="63"/>
      <c r="AW52" s="63"/>
      <c r="AX52" s="63"/>
    </row>
    <row r="53" spans="1:91" x14ac:dyDescent="0.15">
      <c r="A53" s="1"/>
    </row>
    <row r="56" spans="1:91" s="43" customFormat="1" ht="23" x14ac:dyDescent="0.25">
      <c r="A56" s="64" t="s">
        <v>252</v>
      </c>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row>
    <row r="57" spans="1:91" ht="12" customHeight="1" x14ac:dyDescent="0.15"/>
    <row r="58" spans="1:91" x14ac:dyDescent="0.15">
      <c r="A58" s="1" t="s">
        <v>61</v>
      </c>
    </row>
    <row r="60" spans="1:91" x14ac:dyDescent="0.15">
      <c r="A60" t="s">
        <v>44</v>
      </c>
      <c r="B60" s="2" t="str">
        <f>INDEX(B$61:B$63,MATCH('Steel Procurement Tool'!B16,$B$61:$B$63,0))</f>
        <v>Target year output</v>
      </c>
      <c r="C60" t="str">
        <f>'Steel Procurement Tool'!F15</f>
        <v>Tonnes of purchased steel</v>
      </c>
      <c r="D60" s="2" t="e">
        <f>INDEX(D61:D62,MATCH('Steel Procurement Tool'!$B$16,Calculations!$B$61:$B$62,0))</f>
        <v>#DIV/0!</v>
      </c>
      <c r="E60" s="2" t="e">
        <f>INDEX(E61:E62,MATCH('Steel Procurement Tool'!$B$16,Calculations!$B$61:$B$62,0))</f>
        <v>#DIV/0!</v>
      </c>
      <c r="F60" s="2" t="e">
        <f>INDEX(F61:F62,MATCH('Steel Procurement Tool'!$B$16,Calculations!$B$61:$B$62,0))</f>
        <v>#DIV/0!</v>
      </c>
      <c r="G60" s="2" t="e">
        <f>INDEX(G61:G62,MATCH('Steel Procurement Tool'!$B$16,Calculations!$B$61:$B$62,0))</f>
        <v>#DIV/0!</v>
      </c>
      <c r="H60" s="2" t="e">
        <f>INDEX(H61:H62,MATCH('Steel Procurement Tool'!$B$16,Calculations!$B$61:$B$62,0))</f>
        <v>#DIV/0!</v>
      </c>
      <c r="I60" s="2" t="e">
        <f>INDEX(I61:I62,MATCH('Steel Procurement Tool'!$B$16,Calculations!$B$61:$B$62,0))</f>
        <v>#DIV/0!</v>
      </c>
      <c r="J60" s="2" t="e">
        <f>INDEX(J61:J62,MATCH('Steel Procurement Tool'!$B$16,Calculations!$B$61:$B$62,0))</f>
        <v>#DIV/0!</v>
      </c>
      <c r="K60" s="2" t="e">
        <f>INDEX(K61:K62,MATCH('Steel Procurement Tool'!$B$16,Calculations!$B$61:$B$62,0))</f>
        <v>#DIV/0!</v>
      </c>
      <c r="L60" s="2" t="e">
        <f>INDEX(L61:L62,MATCH('Steel Procurement Tool'!$B$16,Calculations!$B$61:$B$62,0))</f>
        <v>#DIV/0!</v>
      </c>
      <c r="M60" s="2" t="e">
        <f>INDEX(M61:M62,MATCH('Steel Procurement Tool'!$B$16,Calculations!$B$61:$B$62,0))</f>
        <v>#DIV/0!</v>
      </c>
      <c r="N60" s="2" t="e">
        <f>INDEX(N61:N62,MATCH('Steel Procurement Tool'!$B$16,Calculations!$B$61:$B$62,0))</f>
        <v>#DIV/0!</v>
      </c>
      <c r="O60" s="2" t="e">
        <f>INDEX(O61:O62,MATCH('Steel Procurement Tool'!$B$16,Calculations!$B$61:$B$62,0))</f>
        <v>#DIV/0!</v>
      </c>
      <c r="P60" s="2" t="e">
        <f>INDEX(P61:P62,MATCH('Steel Procurement Tool'!$B$16,Calculations!$B$61:$B$62,0))</f>
        <v>#DIV/0!</v>
      </c>
      <c r="Q60" s="2" t="e">
        <f>INDEX(Q61:Q62,MATCH('Steel Procurement Tool'!$B$16,Calculations!$B$61:$B$62,0))</f>
        <v>#DIV/0!</v>
      </c>
      <c r="R60" s="2" t="e">
        <f>INDEX(R61:R62,MATCH('Steel Procurement Tool'!$B$16,Calculations!$B$61:$B$62,0))</f>
        <v>#DIV/0!</v>
      </c>
      <c r="S60" s="2" t="e">
        <f>INDEX(S61:S62,MATCH('Steel Procurement Tool'!$B$16,Calculations!$B$61:$B$62,0))</f>
        <v>#DIV/0!</v>
      </c>
      <c r="T60" s="2" t="e">
        <f>INDEX(T61:T62,MATCH('Steel Procurement Tool'!$B$16,Calculations!$B$61:$B$62,0))</f>
        <v>#DIV/0!</v>
      </c>
      <c r="U60" s="2" t="e">
        <f>INDEX(U61:U62,MATCH('Steel Procurement Tool'!$B$16,Calculations!$B$61:$B$62,0))</f>
        <v>#DIV/0!</v>
      </c>
      <c r="V60" s="2" t="e">
        <f>INDEX(V61:V62,MATCH('Steel Procurement Tool'!$B$16,Calculations!$B$61:$B$62,0))</f>
        <v>#DIV/0!</v>
      </c>
      <c r="W60" s="2" t="e">
        <f>INDEX(W61:W62,MATCH('Steel Procurement Tool'!$B$16,Calculations!$B$61:$B$62,0))</f>
        <v>#DIV/0!</v>
      </c>
      <c r="X60" s="2" t="e">
        <f>INDEX(X61:X62,MATCH('Steel Procurement Tool'!$B$16,Calculations!$B$61:$B$62,0))</f>
        <v>#DIV/0!</v>
      </c>
      <c r="Y60" s="2" t="e">
        <f>INDEX(Y61:Y62,MATCH('Steel Procurement Tool'!$B$16,Calculations!$B$61:$B$62,0))</f>
        <v>#DIV/0!</v>
      </c>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row>
    <row r="61" spans="1:91" x14ac:dyDescent="0.15">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row>
    <row r="62" spans="1:91" x14ac:dyDescent="0.15">
      <c r="A62" t="s">
        <v>44</v>
      </c>
      <c r="B62" t="str">
        <f>+Lists!L3</f>
        <v>Target year output</v>
      </c>
      <c r="C62" t="str">
        <f>+'Steel Procurement Tool'!F15</f>
        <v>Tonnes of purchased steel</v>
      </c>
      <c r="D62" s="2" t="e">
        <f>IF('Steel Procurement Tool'!$D$15&lt;0,"",IF(D$1&lt;'Steel Procurement Tool'!$D$13,"",'Steel Procurement Tool'!$D$15+('Steel Procurement Tool'!$D$16-'Steel Procurement Tool'!$D$15)*(D$1-'Steel Procurement Tool'!$D$13)/('Steel Procurement Tool'!$D$14-'Steel Procurement Tool'!$D$13)))</f>
        <v>#DIV/0!</v>
      </c>
      <c r="E62" s="2" t="e">
        <f>IF('Steel Procurement Tool'!$D$15&lt;0,"",IF(E$1&lt;'Steel Procurement Tool'!$D$13,"",'Steel Procurement Tool'!$D$15+('Steel Procurement Tool'!$D$16-'Steel Procurement Tool'!$D$15)*(E$1-'Steel Procurement Tool'!$D$13)/('Steel Procurement Tool'!$D$14-'Steel Procurement Tool'!$D$13)))</f>
        <v>#DIV/0!</v>
      </c>
      <c r="F62" s="2" t="e">
        <f>IF('Steel Procurement Tool'!$D$15&lt;0,"",IF(F$1&lt;'Steel Procurement Tool'!$D$13,"",'Steel Procurement Tool'!$D$15+('Steel Procurement Tool'!$D$16-'Steel Procurement Tool'!$D$15)*(F$1-'Steel Procurement Tool'!$D$13)/('Steel Procurement Tool'!$D$14-'Steel Procurement Tool'!$D$13)))</f>
        <v>#DIV/0!</v>
      </c>
      <c r="G62" s="2" t="e">
        <f>IF('Steel Procurement Tool'!$D$15&lt;0,"",IF(G$1&lt;'Steel Procurement Tool'!$D$13,"",'Steel Procurement Tool'!$D$15+('Steel Procurement Tool'!$D$16-'Steel Procurement Tool'!$D$15)*(G$1-'Steel Procurement Tool'!$D$13)/('Steel Procurement Tool'!$D$14-'Steel Procurement Tool'!$D$13)))</f>
        <v>#DIV/0!</v>
      </c>
      <c r="H62" s="2" t="e">
        <f>IF('Steel Procurement Tool'!$D$15&lt;0,"",IF(H$1&lt;'Steel Procurement Tool'!$D$13,"",'Steel Procurement Tool'!$D$15+('Steel Procurement Tool'!$D$16-'Steel Procurement Tool'!$D$15)*(H$1-'Steel Procurement Tool'!$D$13)/('Steel Procurement Tool'!$D$14-'Steel Procurement Tool'!$D$13)))</f>
        <v>#DIV/0!</v>
      </c>
      <c r="I62" s="2" t="e">
        <f>IF('Steel Procurement Tool'!$D$15&lt;0,"",IF(I$1&lt;'Steel Procurement Tool'!$D$13,"",'Steel Procurement Tool'!$D$15+('Steel Procurement Tool'!$D$16-'Steel Procurement Tool'!$D$15)*(I$1-'Steel Procurement Tool'!$D$13)/('Steel Procurement Tool'!$D$14-'Steel Procurement Tool'!$D$13)))</f>
        <v>#DIV/0!</v>
      </c>
      <c r="J62" s="2" t="e">
        <f>IF('Steel Procurement Tool'!$D$15&lt;0,"",IF(J$1&lt;'Steel Procurement Tool'!$D$13,"",'Steel Procurement Tool'!$D$15+('Steel Procurement Tool'!$D$16-'Steel Procurement Tool'!$D$15)*(J$1-'Steel Procurement Tool'!$D$13)/('Steel Procurement Tool'!$D$14-'Steel Procurement Tool'!$D$13)))</f>
        <v>#DIV/0!</v>
      </c>
      <c r="K62" s="2" t="e">
        <f>IF('Steel Procurement Tool'!$D$15&lt;0,"",IF(K$1&lt;'Steel Procurement Tool'!$D$13,"",'Steel Procurement Tool'!$D$15+('Steel Procurement Tool'!$D$16-'Steel Procurement Tool'!$D$15)*(K$1-'Steel Procurement Tool'!$D$13)/('Steel Procurement Tool'!$D$14-'Steel Procurement Tool'!$D$13)))</f>
        <v>#DIV/0!</v>
      </c>
      <c r="L62" s="2" t="e">
        <f>IF('Steel Procurement Tool'!$D$15&lt;0,"",IF(L$1&lt;'Steel Procurement Tool'!$D$13,"",'Steel Procurement Tool'!$D$15+('Steel Procurement Tool'!$D$16-'Steel Procurement Tool'!$D$15)*(L$1-'Steel Procurement Tool'!$D$13)/('Steel Procurement Tool'!$D$14-'Steel Procurement Tool'!$D$13)))</f>
        <v>#DIV/0!</v>
      </c>
      <c r="M62" s="2" t="e">
        <f>IF('Steel Procurement Tool'!$D$15&lt;0,"",IF(M$1&lt;'Steel Procurement Tool'!$D$13,"",'Steel Procurement Tool'!$D$15+('Steel Procurement Tool'!$D$16-'Steel Procurement Tool'!$D$15)*(M$1-'Steel Procurement Tool'!$D$13)/('Steel Procurement Tool'!$D$14-'Steel Procurement Tool'!$D$13)))</f>
        <v>#DIV/0!</v>
      </c>
      <c r="N62" s="2" t="e">
        <f>IF('Steel Procurement Tool'!$D$15&lt;0,"",IF(N$1&lt;'Steel Procurement Tool'!$D$13,"",'Steel Procurement Tool'!$D$15+('Steel Procurement Tool'!$D$16-'Steel Procurement Tool'!$D$15)*(N$1-'Steel Procurement Tool'!$D$13)/('Steel Procurement Tool'!$D$14-'Steel Procurement Tool'!$D$13)))</f>
        <v>#DIV/0!</v>
      </c>
      <c r="O62" s="2" t="e">
        <f>IF('Steel Procurement Tool'!$D$15&lt;0,"",IF(O$1&lt;'Steel Procurement Tool'!$D$13,"",'Steel Procurement Tool'!$D$15+('Steel Procurement Tool'!$D$16-'Steel Procurement Tool'!$D$15)*(O$1-'Steel Procurement Tool'!$D$13)/('Steel Procurement Tool'!$D$14-'Steel Procurement Tool'!$D$13)))</f>
        <v>#DIV/0!</v>
      </c>
      <c r="P62" s="2" t="e">
        <f>IF('Steel Procurement Tool'!$D$15&lt;0,"",IF(P$1&lt;'Steel Procurement Tool'!$D$13,"",'Steel Procurement Tool'!$D$15+('Steel Procurement Tool'!$D$16-'Steel Procurement Tool'!$D$15)*(P$1-'Steel Procurement Tool'!$D$13)/('Steel Procurement Tool'!$D$14-'Steel Procurement Tool'!$D$13)))</f>
        <v>#DIV/0!</v>
      </c>
      <c r="Q62" s="2" t="e">
        <f>IF('Steel Procurement Tool'!$D$15&lt;0,"",IF(Q$1&lt;'Steel Procurement Tool'!$D$13,"",'Steel Procurement Tool'!$D$15+('Steel Procurement Tool'!$D$16-'Steel Procurement Tool'!$D$15)*(Q$1-'Steel Procurement Tool'!$D$13)/('Steel Procurement Tool'!$D$14-'Steel Procurement Tool'!$D$13)))</f>
        <v>#DIV/0!</v>
      </c>
      <c r="R62" s="2" t="e">
        <f>IF('Steel Procurement Tool'!$D$15&lt;0,"",IF(R$1&lt;'Steel Procurement Tool'!$D$13,"",'Steel Procurement Tool'!$D$15+('Steel Procurement Tool'!$D$16-'Steel Procurement Tool'!$D$15)*(R$1-'Steel Procurement Tool'!$D$13)/('Steel Procurement Tool'!$D$14-'Steel Procurement Tool'!$D$13)))</f>
        <v>#DIV/0!</v>
      </c>
      <c r="S62" s="2" t="e">
        <f>IF('Steel Procurement Tool'!$D$15&lt;0,"",IF(S$1&lt;'Steel Procurement Tool'!$D$13,"",'Steel Procurement Tool'!$D$15+('Steel Procurement Tool'!$D$16-'Steel Procurement Tool'!$D$15)*(S$1-'Steel Procurement Tool'!$D$13)/('Steel Procurement Tool'!$D$14-'Steel Procurement Tool'!$D$13)))</f>
        <v>#DIV/0!</v>
      </c>
      <c r="T62" s="2" t="e">
        <f>IF('Steel Procurement Tool'!$D$15&lt;0,"",IF(T$1&lt;'Steel Procurement Tool'!$D$13,"",'Steel Procurement Tool'!$D$15+('Steel Procurement Tool'!$D$16-'Steel Procurement Tool'!$D$15)*(T$1-'Steel Procurement Tool'!$D$13)/('Steel Procurement Tool'!$D$14-'Steel Procurement Tool'!$D$13)))</f>
        <v>#DIV/0!</v>
      </c>
      <c r="U62" s="2" t="e">
        <f>IF('Steel Procurement Tool'!$D$15&lt;0,"",IF(U$1&lt;'Steel Procurement Tool'!$D$13,"",'Steel Procurement Tool'!$D$15+('Steel Procurement Tool'!$D$16-'Steel Procurement Tool'!$D$15)*(U$1-'Steel Procurement Tool'!$D$13)/('Steel Procurement Tool'!$D$14-'Steel Procurement Tool'!$D$13)))</f>
        <v>#DIV/0!</v>
      </c>
      <c r="V62" s="2" t="e">
        <f>IF('Steel Procurement Tool'!$D$15&lt;0,"",IF(V$1&lt;'Steel Procurement Tool'!$D$13,"",'Steel Procurement Tool'!$D$15+('Steel Procurement Tool'!$D$16-'Steel Procurement Tool'!$D$15)*(V$1-'Steel Procurement Tool'!$D$13)/('Steel Procurement Tool'!$D$14-'Steel Procurement Tool'!$D$13)))</f>
        <v>#DIV/0!</v>
      </c>
      <c r="W62" s="2" t="e">
        <f>IF('Steel Procurement Tool'!$D$15&lt;0,"",IF(W$1&lt;'Steel Procurement Tool'!$D$13,"",'Steel Procurement Tool'!$D$15+('Steel Procurement Tool'!$D$16-'Steel Procurement Tool'!$D$15)*(W$1-'Steel Procurement Tool'!$D$13)/('Steel Procurement Tool'!$D$14-'Steel Procurement Tool'!$D$13)))</f>
        <v>#DIV/0!</v>
      </c>
      <c r="X62" s="2" t="e">
        <f>IF('Steel Procurement Tool'!$D$15&lt;0,"",IF(X$1&lt;'Steel Procurement Tool'!$D$13,"",'Steel Procurement Tool'!$D$15+('Steel Procurement Tool'!$D$16-'Steel Procurement Tool'!$D$15)*(X$1-'Steel Procurement Tool'!$D$13)/('Steel Procurement Tool'!$D$14-'Steel Procurement Tool'!$D$13)))</f>
        <v>#DIV/0!</v>
      </c>
      <c r="Y62" s="2" t="e">
        <f>IF('Steel Procurement Tool'!$D$15&lt;0,"",IF(Y$1&lt;'Steel Procurement Tool'!$D$13,"",'Steel Procurement Tool'!$D$15+('Steel Procurement Tool'!$D$16-'Steel Procurement Tool'!$D$15)*(Y$1-'Steel Procurement Tool'!$D$13)/('Steel Procurement Tool'!$D$14-'Steel Procurement Tool'!$D$13)))</f>
        <v>#DIV/0!</v>
      </c>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row>
    <row r="63" spans="1:91" x14ac:dyDescent="0.15">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row>
    <row r="64" spans="1:91" x14ac:dyDescent="0.15">
      <c r="B64" s="1"/>
      <c r="D64" s="488"/>
      <c r="E64" s="86"/>
      <c r="F64" s="86"/>
      <c r="G64" s="86"/>
      <c r="H64" s="86"/>
      <c r="I64" s="86"/>
      <c r="J64" s="86"/>
      <c r="K64" s="86"/>
      <c r="L64" s="86"/>
      <c r="M64" s="86"/>
      <c r="N64" s="86"/>
      <c r="O64" s="86"/>
      <c r="P64" s="86"/>
      <c r="Q64" s="86"/>
      <c r="R64" s="86"/>
      <c r="S64" s="86"/>
      <c r="T64" s="86"/>
      <c r="U64" s="86"/>
      <c r="V64" s="86"/>
      <c r="W64" s="86"/>
      <c r="X64" s="86"/>
      <c r="Y64" s="86"/>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row>
    <row r="65" spans="1:50" x14ac:dyDescent="0.15">
      <c r="A65" s="1" t="s">
        <v>630</v>
      </c>
      <c r="B65" s="1"/>
      <c r="D65" s="91"/>
      <c r="E65" s="86"/>
      <c r="F65" s="86"/>
      <c r="G65" s="86"/>
      <c r="H65" s="86"/>
      <c r="I65" s="86"/>
      <c r="J65" s="579"/>
      <c r="K65" s="579"/>
      <c r="L65" s="579"/>
      <c r="M65" s="579"/>
      <c r="N65" s="579"/>
      <c r="O65" s="579"/>
      <c r="P65" s="86"/>
      <c r="Q65" s="86"/>
      <c r="R65" s="86"/>
      <c r="S65" s="86"/>
      <c r="U65" s="86"/>
      <c r="V65" s="86"/>
      <c r="W65" s="86"/>
      <c r="X65" s="86"/>
      <c r="Y65" s="86"/>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row>
    <row r="66" spans="1:50" x14ac:dyDescent="0.15">
      <c r="A66" s="1"/>
      <c r="B66" t="s">
        <v>221</v>
      </c>
      <c r="D66" s="1">
        <f>IF(AND(D$1&gt;='Steel Procurement Tool'!$D$13,D$1&lt;=2035),IF(D$1='Steel Procurement Tool'!$D$13,'Steel Procurement Tool'!$D$13,D$1),NA())</f>
        <v>2014</v>
      </c>
      <c r="E66" s="1">
        <f>IF(AND(E$1&gt;='Steel Procurement Tool'!$D$13,E$1&lt;=2035),IF(E$1='Steel Procurement Tool'!$D$13,'Steel Procurement Tool'!$D$13,E$1),NA())</f>
        <v>2015</v>
      </c>
      <c r="F66" s="1">
        <f>IF(AND(F$1&gt;='Steel Procurement Tool'!$D$13,F$1&lt;=2035),IF(F$1='Steel Procurement Tool'!$D$13,'Steel Procurement Tool'!$D$13,F$1),NA())</f>
        <v>2016</v>
      </c>
      <c r="G66" s="1">
        <f>IF(AND(G$1&gt;='Steel Procurement Tool'!$D$13,G$1&lt;=2035),IF(G$1='Steel Procurement Tool'!$D$13,'Steel Procurement Tool'!$D$13,G$1),NA())</f>
        <v>2017</v>
      </c>
      <c r="H66" s="1">
        <f>IF(AND(H$1&gt;='Steel Procurement Tool'!$D$13,H$1&lt;=2035),IF(H$1='Steel Procurement Tool'!$D$13,'Steel Procurement Tool'!$D$13,H$1),NA())</f>
        <v>2018</v>
      </c>
      <c r="I66" s="1">
        <f>IF(AND(I$1&gt;='Steel Procurement Tool'!$D$13,I$1&lt;=2035),IF(I$1='Steel Procurement Tool'!$D$13,'Steel Procurement Tool'!$D$13,I$1),NA())</f>
        <v>2019</v>
      </c>
      <c r="J66" s="1">
        <f>IF(AND(J$1&gt;='Steel Procurement Tool'!$D$13,J$1&lt;=2035),IF(J$1='Steel Procurement Tool'!$D$13,'Steel Procurement Tool'!$D$13,J$1),NA())</f>
        <v>2020</v>
      </c>
      <c r="K66" s="1">
        <f>IF(AND(K$1&gt;='Steel Procurement Tool'!$D$13,K$1&lt;=2035),IF(K$1='Steel Procurement Tool'!$D$13,'Steel Procurement Tool'!$D$13,K$1),NA())</f>
        <v>2021</v>
      </c>
      <c r="L66" s="1">
        <f>IF(AND(L$1&gt;='Steel Procurement Tool'!$D$13,L$1&lt;=2035),IF(L$1='Steel Procurement Tool'!$D$13,'Steel Procurement Tool'!$D$13,L$1),NA())</f>
        <v>2022</v>
      </c>
      <c r="M66" s="1">
        <f>IF(AND(M$1&gt;='Steel Procurement Tool'!$D$13,M$1&lt;=2035),IF(M$1='Steel Procurement Tool'!$D$13,'Steel Procurement Tool'!$D$13,M$1),NA())</f>
        <v>2023</v>
      </c>
      <c r="N66" s="1">
        <f>IF(AND(N$1&gt;='Steel Procurement Tool'!$D$13,N$1&lt;=2035),IF(N$1='Steel Procurement Tool'!$D$13,'Steel Procurement Tool'!$D$13,N$1),NA())</f>
        <v>2024</v>
      </c>
      <c r="O66" s="1">
        <f>IF(AND(O$1&gt;='Steel Procurement Tool'!$D$13,O$1&lt;=2035),IF(O$1='Steel Procurement Tool'!$D$13,'Steel Procurement Tool'!$D$13,O$1),NA())</f>
        <v>2025</v>
      </c>
      <c r="P66" s="1">
        <f>IF(AND(P$1&gt;='Steel Procurement Tool'!$D$13,P$1&lt;=2035),IF(P$1='Steel Procurement Tool'!$D$13,'Steel Procurement Tool'!$D$13,P$1),NA())</f>
        <v>2026</v>
      </c>
      <c r="Q66" s="1">
        <f>IF(AND(Q$1&gt;='Steel Procurement Tool'!$D$13,Q$1&lt;=2035),IF(Q$1='Steel Procurement Tool'!$D$13,'Steel Procurement Tool'!$D$13,Q$1),NA())</f>
        <v>2027</v>
      </c>
      <c r="R66" s="1">
        <f>IF(AND(R$1&gt;='Steel Procurement Tool'!$D$13,R$1&lt;=2035),IF(R$1='Steel Procurement Tool'!$D$13,'Steel Procurement Tool'!$D$13,R$1),NA())</f>
        <v>2028</v>
      </c>
      <c r="S66" s="1">
        <f>IF(AND(S$1&gt;='Steel Procurement Tool'!$D$13,S$1&lt;=2035),IF(S$1='Steel Procurement Tool'!$D$13,'Steel Procurement Tool'!$D$13,S$1),NA())</f>
        <v>2029</v>
      </c>
      <c r="T66" s="1">
        <f>IF(AND(T$1&gt;='Steel Procurement Tool'!$D$13,T$1&lt;=2035),IF(T$1='Steel Procurement Tool'!$D$13,'Steel Procurement Tool'!$D$13,T$1),NA())</f>
        <v>2030</v>
      </c>
      <c r="U66" s="1">
        <f>IF(AND(U$1&gt;='Steel Procurement Tool'!$D$13,U$1&lt;=2035),IF(U$1='Steel Procurement Tool'!$D$13,'Steel Procurement Tool'!$D$13,U$1),NA())</f>
        <v>2031</v>
      </c>
      <c r="V66" s="1">
        <f>IF(AND(V$1&gt;='Steel Procurement Tool'!$D$13,V$1&lt;=2035),IF(V$1='Steel Procurement Tool'!$D$13,'Steel Procurement Tool'!$D$13,V$1),NA())</f>
        <v>2032</v>
      </c>
      <c r="W66" s="1">
        <f>IF(AND(W$1&gt;='Steel Procurement Tool'!$D$13,W$1&lt;=2035),IF(W$1='Steel Procurement Tool'!$D$13,'Steel Procurement Tool'!$D$13,W$1),NA())</f>
        <v>2033</v>
      </c>
      <c r="X66" s="1">
        <f>IF(AND(X$1&gt;='Steel Procurement Tool'!$D$13,X$1&lt;=2035),IF(X$1='Steel Procurement Tool'!$D$13,'Steel Procurement Tool'!$D$13,X$1),NA())</f>
        <v>2034</v>
      </c>
      <c r="Y66" s="1">
        <f>IF(AND(Y$1&gt;='Steel Procurement Tool'!$D$13,Y$1&lt;=2035),IF(Y$1='Steel Procurement Tool'!$D$13,'Steel Procurement Tool'!$D$13,Y$1),NA())</f>
        <v>2035</v>
      </c>
      <c r="Z66" s="1" t="e">
        <f>IF(AND(Z$1&gt;='Steel Procurement Tool'!$D$13,Z$1&lt;=2035),IF(Z$1='Steel Procurement Tool'!$D$13,'Steel Procurement Tool'!$D$13,Z$1),NA())</f>
        <v>#N/A</v>
      </c>
      <c r="AA66" s="1" t="e">
        <f>IF(AND(AA$1&gt;='Steel Procurement Tool'!$D$13,AA$1&lt;=2035),IF(AA$1='Steel Procurement Tool'!$D$13,'Steel Procurement Tool'!$D$13,AA$1),NA())</f>
        <v>#N/A</v>
      </c>
      <c r="AB66" s="1" t="e">
        <f>IF(AND(AB$1&gt;='Steel Procurement Tool'!$D$13,AB$1&lt;=2035),IF(AB$1='Steel Procurement Tool'!$D$13,'Steel Procurement Tool'!$D$13,AB$1),NA())</f>
        <v>#N/A</v>
      </c>
      <c r="AC66" s="1" t="e">
        <f>IF(AND(AC$1&gt;='Steel Procurement Tool'!$D$13,AC$1&lt;=2035),IF(AC$1='Steel Procurement Tool'!$D$13,'Steel Procurement Tool'!$D$13,AC$1),NA())</f>
        <v>#N/A</v>
      </c>
      <c r="AD66" s="1" t="e">
        <f>IF(AND(AD$1&gt;='Steel Procurement Tool'!$D$13,AD$1&lt;=2035),IF(AD$1='Steel Procurement Tool'!$D$13,'Steel Procurement Tool'!$D$13,AD$1),NA())</f>
        <v>#N/A</v>
      </c>
      <c r="AE66" s="1" t="e">
        <f>IF(AND(AE$1&gt;='Steel Procurement Tool'!$D$13,AE$1&lt;=2035),IF(AE$1='Steel Procurement Tool'!$D$13,'Steel Procurement Tool'!$D$13,AE$1),NA())</f>
        <v>#N/A</v>
      </c>
      <c r="AF66" s="1" t="e">
        <f>IF(AND(AF$1&gt;='Steel Procurement Tool'!$D$13,AF$1&lt;=2035),IF(AF$1='Steel Procurement Tool'!$D$13,'Steel Procurement Tool'!$D$13,AF$1),NA())</f>
        <v>#N/A</v>
      </c>
      <c r="AG66" s="1" t="e">
        <f>IF(AND(AG$1&gt;='Steel Procurement Tool'!$D$13,AG$1&lt;=2035),IF(AG$1='Steel Procurement Tool'!$D$13,'Steel Procurement Tool'!$D$13,AG$1),NA())</f>
        <v>#N/A</v>
      </c>
      <c r="AH66" s="1" t="e">
        <f>IF(AND(AH$1&gt;='Steel Procurement Tool'!$D$13,AH$1&lt;=2035),IF(AH$1='Steel Procurement Tool'!$D$13,'Steel Procurement Tool'!$D$13,AH$1),NA())</f>
        <v>#N/A</v>
      </c>
      <c r="AI66" s="1" t="e">
        <f>IF(AND(AI$1&gt;='Steel Procurement Tool'!$D$13,AI$1&lt;=2035),IF(AI$1='Steel Procurement Tool'!$D$13,'Steel Procurement Tool'!$D$13,AI$1),NA())</f>
        <v>#N/A</v>
      </c>
      <c r="AJ66" s="1" t="e">
        <f>IF(AND(AJ$1&gt;='Steel Procurement Tool'!$D$13,AJ$1&lt;=2035),IF(AJ$1='Steel Procurement Tool'!$D$13,'Steel Procurement Tool'!$D$13,AJ$1),NA())</f>
        <v>#N/A</v>
      </c>
      <c r="AK66" s="1" t="e">
        <f>IF(AND(AK$1&gt;='Steel Procurement Tool'!$D$13,AK$1&lt;=2035),IF(AK$1='Steel Procurement Tool'!$D$13,'Steel Procurement Tool'!$D$13,AK$1),NA())</f>
        <v>#N/A</v>
      </c>
      <c r="AL66" s="1" t="e">
        <f>IF(AND(AL$1&gt;='Steel Procurement Tool'!$D$13,AL$1&lt;=2035),IF(AL$1='Steel Procurement Tool'!$D$13,'Steel Procurement Tool'!$D$13,AL$1),NA())</f>
        <v>#N/A</v>
      </c>
      <c r="AM66" s="1" t="e">
        <f>IF(AND(AM$1&gt;='Steel Procurement Tool'!$D$13,AM$1&lt;=2035),IF(AM$1='Steel Procurement Tool'!$D$13,'Steel Procurement Tool'!$D$13,AM$1),NA())</f>
        <v>#N/A</v>
      </c>
      <c r="AN66" s="1" t="e">
        <f>IF(AND(AN$1&gt;='Steel Procurement Tool'!$D$13,AN$1&lt;=2035),IF(AN$1='Steel Procurement Tool'!$D$13,'Steel Procurement Tool'!$D$13,AN$1),NA())</f>
        <v>#N/A</v>
      </c>
      <c r="AO66" s="1" t="e">
        <f>IF(AND(AO$1&gt;='Steel Procurement Tool'!$D$13,AO$1&lt;=2035),IF(AO$1='Steel Procurement Tool'!$D$13,'Steel Procurement Tool'!$D$13,AO$1),NA())</f>
        <v>#N/A</v>
      </c>
      <c r="AP66" s="1" t="e">
        <f>IF(AND(AP$1&gt;='Steel Procurement Tool'!$D$13,AP$1&lt;=2035),IF(AP$1='Steel Procurement Tool'!$D$13,'Steel Procurement Tool'!$D$13,AP$1),NA())</f>
        <v>#N/A</v>
      </c>
      <c r="AQ66" s="1" t="e">
        <f>IF(AND(AQ$1&gt;='Steel Procurement Tool'!$D$13,AQ$1&lt;=2035),IF(AQ$1='Steel Procurement Tool'!$D$13,'Steel Procurement Tool'!$D$13,AQ$1),NA())</f>
        <v>#N/A</v>
      </c>
      <c r="AR66" s="1" t="e">
        <f>IF(AND(AR$1&gt;='Steel Procurement Tool'!$D$13,AR$1&lt;=2035),IF(AR$1='Steel Procurement Tool'!$D$13,'Steel Procurement Tool'!$D$13,AR$1),NA())</f>
        <v>#N/A</v>
      </c>
      <c r="AS66" s="1" t="e">
        <f>IF(AND(AS$1&gt;='Steel Procurement Tool'!$D$13,AS$1&lt;=2035),IF(AS$1='Steel Procurement Tool'!$D$13,'Steel Procurement Tool'!$D$13,AS$1),NA())</f>
        <v>#N/A</v>
      </c>
      <c r="AT66" s="1" t="e">
        <f>IF(AND(AT$1&gt;='Steel Procurement Tool'!$D$13,AT$1&lt;=2035),IF(AT$1='Steel Procurement Tool'!$D$13,'Steel Procurement Tool'!$D$13,AT$1),NA())</f>
        <v>#N/A</v>
      </c>
      <c r="AU66" s="1" t="e">
        <f>IF(AND(AU$1&gt;='Steel Procurement Tool'!$D$13,AU$1&lt;=2035),IF(AU$1='Steel Procurement Tool'!$D$13,'Steel Procurement Tool'!$D$13,AU$1),NA())</f>
        <v>#N/A</v>
      </c>
      <c r="AV66" s="1" t="e">
        <f>IF(AND(AV$1&gt;='Steel Procurement Tool'!$D$13,AV$1&lt;=2035),IF(AV$1='Steel Procurement Tool'!$D$13,'Steel Procurement Tool'!$D$13,AV$1),NA())</f>
        <v>#N/A</v>
      </c>
      <c r="AW66" s="1" t="e">
        <f>IF(AND(AW$1&gt;='Steel Procurement Tool'!$D$13,AW$1&lt;=2035),IF(AW$1='Steel Procurement Tool'!$D$13,'Steel Procurement Tool'!$D$13,AW$1),NA())</f>
        <v>#N/A</v>
      </c>
      <c r="AX66" s="1" t="e">
        <f>IF(AND(AX$1&gt;='Steel Procurement Tool'!$D$13,AX$1&lt;=2035),IF(AX$1='Steel Procurement Tool'!$D$13,'Steel Procurement Tool'!$D$13,AX$1),NA())</f>
        <v>#N/A</v>
      </c>
    </row>
    <row r="68" spans="1:50" x14ac:dyDescent="0.15">
      <c r="A68" t="s">
        <v>42</v>
      </c>
      <c r="B68" t="s">
        <v>79</v>
      </c>
      <c r="C68" t="str">
        <f>INDEX(Lists!$D$2:$D$50,MATCH(Lists!B3,Lists!$B$2:$B$50,0))</f>
        <v>t</v>
      </c>
      <c r="D68" s="2" cm="1">
        <f t="array" ref="D68">INDEX(Database!I$2:I$59,MATCH('Iron &amp; Steelmaker Tool'!$D$14&amp;$A8&amp;'Iron &amp; Steelmaker Tool'!$D$15,Database!$B$2:$B$59&amp;Database!$A$2:$A$59&amp;Database!$H$2:$H$59,0))</f>
        <v>1869000000</v>
      </c>
      <c r="E68" s="2" cm="1">
        <f t="array" ref="E68">INDEX(Database!J$2:J$59,MATCH('Iron &amp; Steelmaker Tool'!$D$14&amp;$A8&amp;'Iron &amp; Steelmaker Tool'!$D$15,Database!$B$2:$B$59&amp;Database!$A$2:$A$59&amp;Database!$H$2:$H$59,0))</f>
        <v>1869000000</v>
      </c>
      <c r="F68" s="2" cm="1">
        <f t="array" ref="F68">INDEX(Database!K$2:K$59,MATCH('Iron &amp; Steelmaker Tool'!$D$14&amp;$A8&amp;'Iron &amp; Steelmaker Tool'!$D$15,Database!$B$2:$B$59&amp;Database!$A$2:$A$59&amp;Database!$H$2:$H$59,0))</f>
        <v>1869000000</v>
      </c>
      <c r="G68" s="2" cm="1">
        <f t="array" ref="G68">INDEX(Database!L$2:L$59,MATCH('Iron &amp; Steelmaker Tool'!$D$14&amp;$A8&amp;'Iron &amp; Steelmaker Tool'!$D$15,Database!$B$2:$B$59&amp;Database!$A$2:$A$59&amp;Database!$H$2:$H$59,0))</f>
        <v>1869000000</v>
      </c>
      <c r="H68" s="2" cm="1">
        <f t="array" ref="H68">INDEX(Database!M$2:M$59,MATCH('Iron &amp; Steelmaker Tool'!$D$14&amp;$A8&amp;'Iron &amp; Steelmaker Tool'!$D$15,Database!$B$2:$B$59&amp;Database!$A$2:$A$59&amp;Database!$H$2:$H$59,0))</f>
        <v>1869000000</v>
      </c>
      <c r="I68" s="2" cm="1">
        <f t="array" ref="I68">INDEX(Database!N$2:N$59,MATCH('Iron &amp; Steelmaker Tool'!$D$14&amp;$A8&amp;'Iron &amp; Steelmaker Tool'!$D$15,Database!$B$2:$B$59&amp;Database!$A$2:$A$59&amp;Database!$H$2:$H$59,0))</f>
        <v>1869000000</v>
      </c>
      <c r="J68" s="2" cm="1">
        <f t="array" ref="J68">INDEX(Database!O$2:O$59,MATCH('Iron &amp; Steelmaker Tool'!$D$14&amp;$A8&amp;'Iron &amp; Steelmaker Tool'!$D$15,Database!$B$2:$B$59&amp;Database!$A$2:$A$59&amp;Database!$H$2:$H$59,0))</f>
        <v>1781000000</v>
      </c>
      <c r="K68" s="2" cm="1">
        <f t="array" ref="K68">INDEX(Database!P$2:P$59,MATCH('Iron &amp; Steelmaker Tool'!$D$14&amp;$A8&amp;'Iron &amp; Steelmaker Tool'!$D$15,Database!$B$2:$B$59&amp;Database!$A$2:$A$59&amp;Database!$H$2:$H$59,0))</f>
        <v>1881363636.3636363</v>
      </c>
      <c r="L68" s="2" cm="1">
        <f t="array" ref="L68">INDEX(Database!Q$2:Q$59,MATCH('Iron &amp; Steelmaker Tool'!$D$14&amp;$A8&amp;'Iron &amp; Steelmaker Tool'!$D$15,Database!$B$2:$B$59&amp;Database!$A$2:$A$59&amp;Database!$H$2:$H$59,0))</f>
        <v>1887545454.5454545</v>
      </c>
      <c r="M68" s="2" cm="1">
        <f t="array" ref="M68">INDEX(Database!R$2:R$59,MATCH('Iron &amp; Steelmaker Tool'!$D$14&amp;$A8&amp;'Iron &amp; Steelmaker Tool'!$D$15,Database!$B$2:$B$59&amp;Database!$A$2:$A$59&amp;Database!$H$2:$H$59,0))</f>
        <v>1893727272.7272727</v>
      </c>
      <c r="N68" s="2" cm="1">
        <f t="array" ref="N68">INDEX(Database!S$2:S$59,MATCH('Iron &amp; Steelmaker Tool'!$D$14&amp;$A8&amp;'Iron &amp; Steelmaker Tool'!$D$15,Database!$B$2:$B$59&amp;Database!$A$2:$A$59&amp;Database!$H$2:$H$59,0))</f>
        <v>1899909090.909091</v>
      </c>
      <c r="O68" s="2" cm="1">
        <f t="array" ref="O68">INDEX(Database!T$2:T$59,MATCH('Iron &amp; Steelmaker Tool'!$D$14&amp;$A8&amp;'Iron &amp; Steelmaker Tool'!$D$15,Database!$B$2:$B$59&amp;Database!$A$2:$A$59&amp;Database!$H$2:$H$59,0))</f>
        <v>1906090909.090909</v>
      </c>
      <c r="P68" s="2" cm="1">
        <f t="array" ref="P68">INDEX(Database!U$2:U$59,MATCH('Iron &amp; Steelmaker Tool'!$D$14&amp;$A8&amp;'Iron &amp; Steelmaker Tool'!$D$15,Database!$B$2:$B$59&amp;Database!$A$2:$A$59&amp;Database!$H$2:$H$59,0))</f>
        <v>1912272727.2727273</v>
      </c>
      <c r="Q68" s="2" cm="1">
        <f t="array" ref="Q68">INDEX(Database!V$2:V$59,MATCH('Iron &amp; Steelmaker Tool'!$D$14&amp;$A8&amp;'Iron &amp; Steelmaker Tool'!$D$15,Database!$B$2:$B$59&amp;Database!$A$2:$A$59&amp;Database!$H$2:$H$59,0))</f>
        <v>1918454545.4545455</v>
      </c>
      <c r="R68" s="2" cm="1">
        <f t="array" ref="R68">INDEX(Database!W$2:W$59,MATCH('Iron &amp; Steelmaker Tool'!$D$14&amp;$A8&amp;'Iron &amp; Steelmaker Tool'!$D$15,Database!$B$2:$B$59&amp;Database!$A$2:$A$59&amp;Database!$H$2:$H$59,0))</f>
        <v>1924636363.6363637</v>
      </c>
      <c r="S68" s="2" cm="1">
        <f t="array" ref="S68">INDEX(Database!X$2:X$59,MATCH('Iron &amp; Steelmaker Tool'!$D$14&amp;$A8&amp;'Iron &amp; Steelmaker Tool'!$D$15,Database!$B$2:$B$59&amp;Database!$A$2:$A$59&amp;Database!$H$2:$H$59,0))</f>
        <v>1930818181.8181818</v>
      </c>
      <c r="T68" s="2" cm="1">
        <f t="array" ref="T68">INDEX(Database!Y$2:Y$59,MATCH('Iron &amp; Steelmaker Tool'!$D$14&amp;$A8&amp;'Iron &amp; Steelmaker Tool'!$D$15,Database!$B$2:$B$59&amp;Database!$A$2:$A$59&amp;Database!$H$2:$H$59,0))</f>
        <v>1937000000</v>
      </c>
      <c r="U68" s="2" cm="1">
        <f t="array" ref="U68">INDEX(Database!Z$2:Z$59,MATCH('Iron &amp; Steelmaker Tool'!$D$14&amp;$A8&amp;'Iron &amp; Steelmaker Tool'!$D$15,Database!$B$2:$B$59&amp;Database!$A$2:$A$59&amp;Database!$H$2:$H$59,0))</f>
        <v>1939100000</v>
      </c>
      <c r="V68" s="2" cm="1">
        <f t="array" ref="V68">INDEX(Database!AA$2:AA$59,MATCH('Iron &amp; Steelmaker Tool'!$D$14&amp;$A8&amp;'Iron &amp; Steelmaker Tool'!$D$15,Database!$B$2:$B$59&amp;Database!$A$2:$A$59&amp;Database!$H$2:$H$59,0))</f>
        <v>1941200000</v>
      </c>
      <c r="W68" s="2" cm="1">
        <f t="array" ref="W68">INDEX(Database!AB$2:AB$59,MATCH('Iron &amp; Steelmaker Tool'!$D$14&amp;$A8&amp;'Iron &amp; Steelmaker Tool'!$D$15,Database!$B$2:$B$59&amp;Database!$A$2:$A$59&amp;Database!$H$2:$H$59,0))</f>
        <v>1943300000</v>
      </c>
      <c r="X68" s="2" cm="1">
        <f t="array" ref="X68">INDEX(Database!AC$2:AC$59,MATCH('Iron &amp; Steelmaker Tool'!$D$14&amp;$A8&amp;'Iron &amp; Steelmaker Tool'!$D$15,Database!$B$2:$B$59&amp;Database!$A$2:$A$59&amp;Database!$H$2:$H$59,0))</f>
        <v>1945400000</v>
      </c>
      <c r="Y68" s="2" cm="1">
        <f t="array" ref="Y68">INDEX(Database!AD$2:AD$59,MATCH('Iron &amp; Steelmaker Tool'!$D$14&amp;$A8&amp;'Iron &amp; Steelmaker Tool'!$D$15,Database!$B$2:$B$59&amp;Database!$A$2:$A$59&amp;Database!$H$2:$H$59,0))</f>
        <v>1947500000</v>
      </c>
      <c r="Z68" s="2" cm="1">
        <f t="array" ref="Z68">INDEX(Database!AE$2:AE$59,MATCH('Iron &amp; Steelmaker Tool'!$D$14&amp;$A8&amp;'Iron &amp; Steelmaker Tool'!$D$15,Database!$B$2:$B$59&amp;Database!$A$2:$A$59&amp;Database!$H$2:$H$59,0))</f>
        <v>1949600000</v>
      </c>
      <c r="AA68" s="2" cm="1">
        <f t="array" ref="AA68">INDEX(Database!AF$2:AF$59,MATCH('Iron &amp; Steelmaker Tool'!$D$14&amp;$A8&amp;'Iron &amp; Steelmaker Tool'!$D$15,Database!$B$2:$B$59&amp;Database!$A$2:$A$59&amp;Database!$H$2:$H$59,0))</f>
        <v>1951700000</v>
      </c>
      <c r="AB68" s="2" cm="1">
        <f t="array" ref="AB68">INDEX(Database!AG$2:AG$59,MATCH('Iron &amp; Steelmaker Tool'!$D$14&amp;$A8&amp;'Iron &amp; Steelmaker Tool'!$D$15,Database!$B$2:$B$59&amp;Database!$A$2:$A$59&amp;Database!$H$2:$H$59,0))</f>
        <v>1953800000</v>
      </c>
      <c r="AC68" s="2" cm="1">
        <f t="array" ref="AC68">INDEX(Database!AH$2:AH$59,MATCH('Iron &amp; Steelmaker Tool'!$D$14&amp;$A8&amp;'Iron &amp; Steelmaker Tool'!$D$15,Database!$B$2:$B$59&amp;Database!$A$2:$A$59&amp;Database!$H$2:$H$59,0))</f>
        <v>1955900000</v>
      </c>
      <c r="AD68" s="2" cm="1">
        <f t="array" ref="AD68">INDEX(Database!AI$2:AI$59,MATCH('Iron &amp; Steelmaker Tool'!$D$14&amp;$A8&amp;'Iron &amp; Steelmaker Tool'!$D$15,Database!$B$2:$B$59&amp;Database!$A$2:$A$59&amp;Database!$H$2:$H$59,0))</f>
        <v>1958000000</v>
      </c>
      <c r="AE68" s="2" cm="1">
        <f t="array" ref="AE68">INDEX(Database!AJ$2:AJ$59,MATCH('Iron &amp; Steelmaker Tool'!$D$14&amp;$A8&amp;'Iron &amp; Steelmaker Tool'!$D$15,Database!$B$2:$B$59&amp;Database!$A$2:$A$59&amp;Database!$H$2:$H$59,0))</f>
        <v>1960900000</v>
      </c>
      <c r="AF68" s="2" cm="1">
        <f t="array" ref="AF68">INDEX(Database!AK$2:AK$59,MATCH('Iron &amp; Steelmaker Tool'!$D$14&amp;$A8&amp;'Iron &amp; Steelmaker Tool'!$D$15,Database!$B$2:$B$59&amp;Database!$A$2:$A$59&amp;Database!$H$2:$H$59,0))</f>
        <v>1963800000</v>
      </c>
      <c r="AG68" s="2" cm="1">
        <f t="array" ref="AG68">INDEX(Database!AL$2:AL$59,MATCH('Iron &amp; Steelmaker Tool'!$D$14&amp;$A8&amp;'Iron &amp; Steelmaker Tool'!$D$15,Database!$B$2:$B$59&amp;Database!$A$2:$A$59&amp;Database!$H$2:$H$59,0))</f>
        <v>1966700000</v>
      </c>
      <c r="AH68" s="2" cm="1">
        <f t="array" ref="AH68">INDEX(Database!AM$2:AM$59,MATCH('Iron &amp; Steelmaker Tool'!$D$14&amp;$A8&amp;'Iron &amp; Steelmaker Tool'!$D$15,Database!$B$2:$B$59&amp;Database!$A$2:$A$59&amp;Database!$H$2:$H$59,0))</f>
        <v>1969600000</v>
      </c>
      <c r="AI68" s="2" cm="1">
        <f t="array" ref="AI68">INDEX(Database!AN$2:AN$59,MATCH('Iron &amp; Steelmaker Tool'!$D$14&amp;$A8&amp;'Iron &amp; Steelmaker Tool'!$D$15,Database!$B$2:$B$59&amp;Database!$A$2:$A$59&amp;Database!$H$2:$H$59,0))</f>
        <v>1972500000</v>
      </c>
      <c r="AJ68" s="2" cm="1">
        <f t="array" ref="AJ68">INDEX(Database!AO$2:AO$59,MATCH('Iron &amp; Steelmaker Tool'!$D$14&amp;$A8&amp;'Iron &amp; Steelmaker Tool'!$D$15,Database!$B$2:$B$59&amp;Database!$A$2:$A$59&amp;Database!$H$2:$H$59,0))</f>
        <v>1975400000</v>
      </c>
      <c r="AK68" s="2" cm="1">
        <f t="array" ref="AK68">INDEX(Database!AP$2:AP$59,MATCH('Iron &amp; Steelmaker Tool'!$D$14&amp;$A8&amp;'Iron &amp; Steelmaker Tool'!$D$15,Database!$B$2:$B$59&amp;Database!$A$2:$A$59&amp;Database!$H$2:$H$59,0))</f>
        <v>1978300000</v>
      </c>
      <c r="AL68" s="2" cm="1">
        <f t="array" ref="AL68">INDEX(Database!AQ$2:AQ$59,MATCH('Iron &amp; Steelmaker Tool'!$D$14&amp;$A8&amp;'Iron &amp; Steelmaker Tool'!$D$15,Database!$B$2:$B$59&amp;Database!$A$2:$A$59&amp;Database!$H$2:$H$59,0))</f>
        <v>1981200000</v>
      </c>
      <c r="AM68" s="2" cm="1">
        <f t="array" ref="AM68">INDEX(Database!AR$2:AR$59,MATCH('Iron &amp; Steelmaker Tool'!$D$14&amp;$A8&amp;'Iron &amp; Steelmaker Tool'!$D$15,Database!$B$2:$B$59&amp;Database!$A$2:$A$59&amp;Database!$H$2:$H$59,0))</f>
        <v>1984100000</v>
      </c>
      <c r="AN68" s="2" cm="1">
        <f t="array" ref="AN68">INDEX(Database!AS$2:AS$59,MATCH('Iron &amp; Steelmaker Tool'!$D$14&amp;$A8&amp;'Iron &amp; Steelmaker Tool'!$D$15,Database!$B$2:$B$59&amp;Database!$A$2:$A$59&amp;Database!$H$2:$H$59,0))</f>
        <v>1987000000</v>
      </c>
      <c r="AO68" s="2" cm="1">
        <f t="array" ref="AO68">INDEX(Database!AT$2:AT$59,MATCH('Iron &amp; Steelmaker Tool'!$D$14&amp;$A8&amp;'Iron &amp; Steelmaker Tool'!$D$15,Database!$B$2:$B$59&amp;Database!$A$2:$A$59&amp;Database!$H$2:$H$59,0))</f>
        <v>0</v>
      </c>
      <c r="AP68" s="2" cm="1">
        <f t="array" ref="AP68">INDEX(Database!AU$2:AU$59,MATCH('Iron &amp; Steelmaker Tool'!$D$14&amp;$A8&amp;'Iron &amp; Steelmaker Tool'!$D$15,Database!$B$2:$B$59&amp;Database!$A$2:$A$59&amp;Database!$H$2:$H$59,0))</f>
        <v>0</v>
      </c>
      <c r="AQ68" s="2" cm="1">
        <f t="array" ref="AQ68">INDEX(Database!AV$2:AV$59,MATCH('Iron &amp; Steelmaker Tool'!$D$14&amp;$A8&amp;'Iron &amp; Steelmaker Tool'!$D$15,Database!$B$2:$B$59&amp;Database!$A$2:$A$59&amp;Database!$H$2:$H$59,0))</f>
        <v>0</v>
      </c>
      <c r="AR68" s="2" cm="1">
        <f t="array" ref="AR68">INDEX(Database!AW$2:AW$59,MATCH('Iron &amp; Steelmaker Tool'!$D$14&amp;$A8&amp;'Iron &amp; Steelmaker Tool'!$D$15,Database!$B$2:$B$59&amp;Database!$A$2:$A$59&amp;Database!$H$2:$H$59,0))</f>
        <v>0</v>
      </c>
      <c r="AS68" s="2" cm="1">
        <f t="array" ref="AS68">INDEX(Database!AX$2:AX$59,MATCH('Iron &amp; Steelmaker Tool'!$D$14&amp;$A8&amp;'Iron &amp; Steelmaker Tool'!$D$15,Database!$B$2:$B$59&amp;Database!$A$2:$A$59&amp;Database!$H$2:$H$59,0))</f>
        <v>0</v>
      </c>
      <c r="AT68" s="2" cm="1">
        <f t="array" ref="AT68">INDEX(Database!AY$2:AY$59,MATCH('Iron &amp; Steelmaker Tool'!$D$14&amp;$A8&amp;'Iron &amp; Steelmaker Tool'!$D$15,Database!$B$2:$B$59&amp;Database!$A$2:$A$59&amp;Database!$H$2:$H$59,0))</f>
        <v>0</v>
      </c>
      <c r="AU68" s="2" cm="1">
        <f t="array" ref="AU68">INDEX(Database!AZ$2:AZ$59,MATCH('Iron &amp; Steelmaker Tool'!$D$14&amp;$A8&amp;'Iron &amp; Steelmaker Tool'!$D$15,Database!$B$2:$B$59&amp;Database!$A$2:$A$59&amp;Database!$H$2:$H$59,0))</f>
        <v>0</v>
      </c>
      <c r="AV68" s="2" cm="1">
        <f t="array" ref="AV68">INDEX(Database!BA$2:BA$59,MATCH('Iron &amp; Steelmaker Tool'!$D$14&amp;$A8&amp;'Iron &amp; Steelmaker Tool'!$D$15,Database!$B$2:$B$59&amp;Database!$A$2:$A$59&amp;Database!$H$2:$H$59,0))</f>
        <v>0</v>
      </c>
      <c r="AW68" s="2" cm="1">
        <f t="array" ref="AW68">INDEX(Database!BB$2:BB$59,MATCH('Iron &amp; Steelmaker Tool'!$D$14&amp;$A8&amp;'Iron &amp; Steelmaker Tool'!$D$15,Database!$B$2:$B$59&amp;Database!$A$2:$A$59&amp;Database!$H$2:$H$59,0))</f>
        <v>0</v>
      </c>
      <c r="AX68" s="2" cm="1">
        <f t="array" ref="AX68">INDEX(Database!BC$2:BC$59,MATCH('Iron &amp; Steelmaker Tool'!$D$14&amp;$A8&amp;'Iron &amp; Steelmaker Tool'!$D$15,Database!$B$2:$B$59&amp;Database!$A$2:$A$59&amp;Database!$H$2:$H$59,0))</f>
        <v>0</v>
      </c>
    </row>
    <row r="69" spans="1:50" x14ac:dyDescent="0.15">
      <c r="A69" t="s">
        <v>41</v>
      </c>
      <c r="B69" t="s">
        <v>628</v>
      </c>
      <c r="C69" t="s">
        <v>25</v>
      </c>
      <c r="D69" s="2" cm="1">
        <f t="array" ref="D69">INDEX(Database!I$2:I$59,MATCH('Iron &amp; Steelmaker Tool'!$D$14&amp;$A10&amp;'Iron &amp; Steelmaker Tool'!$D$15,Database!$B$2:$B$59&amp;Database!$A$2:$A$59&amp;Database!$H$2:$H$59,0))</f>
        <v>3519.0886528101346</v>
      </c>
      <c r="E69" s="2" cm="1">
        <f t="array" ref="E69">INDEX(Database!J$2:J$59,MATCH('Iron &amp; Steelmaker Tool'!$D$14&amp;$A10&amp;'Iron &amp; Steelmaker Tool'!$D$15,Database!$B$2:$B$59&amp;Database!$A$2:$A$59&amp;Database!$H$2:$H$59,0))</f>
        <v>3519.0886528101346</v>
      </c>
      <c r="F69" s="2" cm="1">
        <f t="array" ref="F69">INDEX(Database!K$2:K$59,MATCH('Iron &amp; Steelmaker Tool'!$D$14&amp;$A10&amp;'Iron &amp; Steelmaker Tool'!$D$15,Database!$B$2:$B$59&amp;Database!$A$2:$A$59&amp;Database!$H$2:$H$59,0))</f>
        <v>3519.0886528101346</v>
      </c>
      <c r="G69" s="2" cm="1">
        <f t="array" ref="G69">INDEX(Database!L$2:L$59,MATCH('Iron &amp; Steelmaker Tool'!$D$14&amp;$A10&amp;'Iron &amp; Steelmaker Tool'!$D$15,Database!$B$2:$B$59&amp;Database!$A$2:$A$59&amp;Database!$H$2:$H$59,0))</f>
        <v>3519.0886528101346</v>
      </c>
      <c r="H69" s="2" cm="1">
        <f t="array" ref="H69">INDEX(Database!M$2:M$59,MATCH('Iron &amp; Steelmaker Tool'!$D$14&amp;$A10&amp;'Iron &amp; Steelmaker Tool'!$D$15,Database!$B$2:$B$59&amp;Database!$A$2:$A$59&amp;Database!$H$2:$H$59,0))</f>
        <v>3519.4657579772156</v>
      </c>
      <c r="I69" s="2" cm="1">
        <f t="array" ref="I69">INDEX(Database!N$2:N$59,MATCH('Iron &amp; Steelmaker Tool'!$D$14&amp;$A10&amp;'Iron &amp; Steelmaker Tool'!$D$15,Database!$B$2:$B$59&amp;Database!$A$2:$A$59&amp;Database!$H$2:$H$59,0))</f>
        <v>3519.0886528101346</v>
      </c>
      <c r="J69" s="2" cm="1">
        <f t="array" ref="J69">INDEX(Database!O$2:O$59,MATCH('Iron &amp; Steelmaker Tool'!$D$14&amp;$A10&amp;'Iron &amp; Steelmaker Tool'!$D$15,Database!$B$2:$B$59&amp;Database!$A$2:$A$59&amp;Database!$H$2:$H$59,0))</f>
        <v>3219.6710209068819</v>
      </c>
      <c r="K69" s="2" cm="1">
        <f t="array" ref="K69">INDEX(Database!P$2:P$59,MATCH('Iron &amp; Steelmaker Tool'!$D$14&amp;$A10&amp;'Iron &amp; Steelmaker Tool'!$D$15,Database!$B$2:$B$59&amp;Database!$A$2:$A$59&amp;Database!$H$2:$H$59,0))</f>
        <v>3210.7754604904781</v>
      </c>
      <c r="L69" s="2" cm="1">
        <f t="array" ref="L69">INDEX(Database!Q$2:Q$59,MATCH('Iron &amp; Steelmaker Tool'!$D$14&amp;$A10&amp;'Iron &amp; Steelmaker Tool'!$D$15,Database!$B$2:$B$59&amp;Database!$A$2:$A$59&amp;Database!$H$2:$H$59,0))</f>
        <v>3112.7439591503644</v>
      </c>
      <c r="M69" s="2" cm="1">
        <f t="array" ref="M69">INDEX(Database!R$2:R$59,MATCH('Iron &amp; Steelmaker Tool'!$D$14&amp;$A10&amp;'Iron &amp; Steelmaker Tool'!$D$15,Database!$B$2:$B$59&amp;Database!$A$2:$A$59&amp;Database!$H$2:$H$59,0))</f>
        <v>3014.6892759920693</v>
      </c>
      <c r="N69" s="2" cm="1">
        <f t="array" ref="N69">INDEX(Database!S$2:S$59,MATCH('Iron &amp; Steelmaker Tool'!$D$14&amp;$A10&amp;'Iron &amp; Steelmaker Tool'!$D$15,Database!$B$2:$B$59&amp;Database!$A$2:$A$59&amp;Database!$H$2:$H$59,0))</f>
        <v>2916.6114110155927</v>
      </c>
      <c r="O69" s="2" cm="1">
        <f t="array" ref="O69">INDEX(Database!T$2:T$59,MATCH('Iron &amp; Steelmaker Tool'!$D$14&amp;$A10&amp;'Iron &amp; Steelmaker Tool'!$D$15,Database!$B$2:$B$59&amp;Database!$A$2:$A$59&amp;Database!$H$2:$H$59,0))</f>
        <v>2818.5103642209342</v>
      </c>
      <c r="P69" s="2" cm="1">
        <f t="array" ref="P69">INDEX(Database!U$2:U$59,MATCH('Iron &amp; Steelmaker Tool'!$D$14&amp;$A10&amp;'Iron &amp; Steelmaker Tool'!$D$15,Database!$B$2:$B$59&amp;Database!$A$2:$A$59&amp;Database!$H$2:$H$59,0))</f>
        <v>2720.3861356080938</v>
      </c>
      <c r="Q69" s="2" cm="1">
        <f t="array" ref="Q69">INDEX(Database!V$2:V$59,MATCH('Iron &amp; Steelmaker Tool'!$D$14&amp;$A10&amp;'Iron &amp; Steelmaker Tool'!$D$15,Database!$B$2:$B$59&amp;Database!$A$2:$A$59&amp;Database!$H$2:$H$59,0))</f>
        <v>2622.2387251770715</v>
      </c>
      <c r="R69" s="2" cm="1">
        <f t="array" ref="R69">INDEX(Database!W$2:W$59,MATCH('Iron &amp; Steelmaker Tool'!$D$14&amp;$A10&amp;'Iron &amp; Steelmaker Tool'!$D$15,Database!$B$2:$B$59&amp;Database!$A$2:$A$59&amp;Database!$H$2:$H$59,0))</f>
        <v>2524.0681329278673</v>
      </c>
      <c r="S69" s="2" cm="1">
        <f t="array" ref="S69">INDEX(Database!X$2:X$59,MATCH('Iron &amp; Steelmaker Tool'!$D$14&amp;$A10&amp;'Iron &amp; Steelmaker Tool'!$D$15,Database!$B$2:$B$59&amp;Database!$A$2:$A$59&amp;Database!$H$2:$H$59,0))</f>
        <v>2425.8743588604812</v>
      </c>
      <c r="T69" s="2" cm="1">
        <f t="array" ref="T69">INDEX(Database!Y$2:Y$59,MATCH('Iron &amp; Steelmaker Tool'!$D$14&amp;$A10&amp;'Iron &amp; Steelmaker Tool'!$D$15,Database!$B$2:$B$59&amp;Database!$A$2:$A$59&amp;Database!$H$2:$H$59,0))</f>
        <v>2327.6574029749131</v>
      </c>
      <c r="U69" s="2" cm="1">
        <f t="array" ref="U69">INDEX(Database!Z$2:Z$59,MATCH('Iron &amp; Steelmaker Tool'!$D$14&amp;$A10&amp;'Iron &amp; Steelmaker Tool'!$D$15,Database!$B$2:$B$59&amp;Database!$A$2:$A$59&amp;Database!$H$2:$H$59,0))</f>
        <v>2201.686700601289</v>
      </c>
      <c r="V69" s="2" cm="1">
        <f t="array" ref="V69">INDEX(Database!AA$2:AA$59,MATCH('Iron &amp; Steelmaker Tool'!$D$14&amp;$A10&amp;'Iron &amp; Steelmaker Tool'!$D$15,Database!$B$2:$B$59&amp;Database!$A$2:$A$59&amp;Database!$H$2:$H$59,0))</f>
        <v>2075.7123494776642</v>
      </c>
      <c r="W69" s="2" cm="1">
        <f t="array" ref="W69">INDEX(Database!AB$2:AB$59,MATCH('Iron &amp; Steelmaker Tool'!$D$14&amp;$A10&amp;'Iron &amp; Steelmaker Tool'!$D$15,Database!$B$2:$B$59&amp;Database!$A$2:$A$59&amp;Database!$H$2:$H$59,0))</f>
        <v>1949.7343496040398</v>
      </c>
      <c r="X69" s="2" cm="1">
        <f t="array" ref="X69">INDEX(Database!AC$2:AC$59,MATCH('Iron &amp; Steelmaker Tool'!$D$14&amp;$A10&amp;'Iron &amp; Steelmaker Tool'!$D$15,Database!$B$2:$B$59&amp;Database!$A$2:$A$59&amp;Database!$H$2:$H$59,0))</f>
        <v>1823.7527009804153</v>
      </c>
      <c r="Y69" s="2" cm="1">
        <f t="array" ref="Y69">INDEX(Database!AD$2:AD$59,MATCH('Iron &amp; Steelmaker Tool'!$D$14&amp;$A10&amp;'Iron &amp; Steelmaker Tool'!$D$15,Database!$B$2:$B$59&amp;Database!$A$2:$A$59&amp;Database!$H$2:$H$59,0))</f>
        <v>1697.767403606791</v>
      </c>
      <c r="Z69" s="2" cm="1">
        <f t="array" ref="Z69">INDEX(Database!AE$2:AE$59,MATCH('Iron &amp; Steelmaker Tool'!$D$14&amp;$A10&amp;'Iron &amp; Steelmaker Tool'!$D$15,Database!$B$2:$B$59&amp;Database!$A$2:$A$59&amp;Database!$H$2:$H$59,0))</f>
        <v>1571.7784574831667</v>
      </c>
      <c r="AA69" s="2" cm="1">
        <f t="array" ref="AA69">INDEX(Database!AF$2:AF$59,MATCH('Iron &amp; Steelmaker Tool'!$D$14&amp;$A10&amp;'Iron &amp; Steelmaker Tool'!$D$15,Database!$B$2:$B$59&amp;Database!$A$2:$A$59&amp;Database!$H$2:$H$59,0))</f>
        <v>1445.7858626095419</v>
      </c>
      <c r="AB69" s="2" cm="1">
        <f t="array" ref="AB69">INDEX(Database!AG$2:AG$59,MATCH('Iron &amp; Steelmaker Tool'!$D$14&amp;$A10&amp;'Iron &amp; Steelmaker Tool'!$D$15,Database!$B$2:$B$59&amp;Database!$A$2:$A$59&amp;Database!$H$2:$H$59,0))</f>
        <v>1319.7896189859175</v>
      </c>
      <c r="AC69" s="2" cm="1">
        <f t="array" ref="AC69">INDEX(Database!AH$2:AH$59,MATCH('Iron &amp; Steelmaker Tool'!$D$14&amp;$A10&amp;'Iron &amp; Steelmaker Tool'!$D$15,Database!$B$2:$B$59&amp;Database!$A$2:$A$59&amp;Database!$H$2:$H$59,0))</f>
        <v>1193.7897266122932</v>
      </c>
      <c r="AD69" s="2" cm="1">
        <f t="array" ref="AD69">INDEX(Database!AI$2:AI$59,MATCH('Iron &amp; Steelmaker Tool'!$D$14&amp;$A10&amp;'Iron &amp; Steelmaker Tool'!$D$15,Database!$B$2:$B$59&amp;Database!$A$2:$A$59&amp;Database!$H$2:$H$59,0))</f>
        <v>1067.7861854886687</v>
      </c>
      <c r="AE69" s="2" cm="1">
        <f t="array" ref="AE69">INDEX(Database!AJ$2:AJ$59,MATCH('Iron &amp; Steelmaker Tool'!$D$14&amp;$A10&amp;'Iron &amp; Steelmaker Tool'!$D$15,Database!$B$2:$B$59&amp;Database!$A$2:$A$59&amp;Database!$H$2:$H$59,0))</f>
        <v>982.72435331584961</v>
      </c>
      <c r="AF69" s="2" cm="1">
        <f t="array" ref="AF69">INDEX(Database!AK$2:AK$59,MATCH('Iron &amp; Steelmaker Tool'!$D$14&amp;$A10&amp;'Iron &amp; Steelmaker Tool'!$D$15,Database!$B$2:$B$59&amp;Database!$A$2:$A$59&amp;Database!$H$2:$H$59,0))</f>
        <v>897.66237614303054</v>
      </c>
      <c r="AG69" s="2" cm="1">
        <f t="array" ref="AG69">INDEX(Database!AL$2:AL$59,MATCH('Iron &amp; Steelmaker Tool'!$D$14&amp;$A10&amp;'Iron &amp; Steelmaker Tool'!$D$15,Database!$B$2:$B$59&amp;Database!$A$2:$A$59&amp;Database!$H$2:$H$59,0))</f>
        <v>812.60025397021138</v>
      </c>
      <c r="AH69" s="2" cm="1">
        <f t="array" ref="AH69">INDEX(Database!AM$2:AM$59,MATCH('Iron &amp; Steelmaker Tool'!$D$14&amp;$A10&amp;'Iron &amp; Steelmaker Tool'!$D$15,Database!$B$2:$B$59&amp;Database!$A$2:$A$59&amp;Database!$H$2:$H$59,0))</f>
        <v>727.53798679739225</v>
      </c>
      <c r="AI69" s="2" cm="1">
        <f t="array" ref="AI69">INDEX(Database!AN$2:AN$59,MATCH('Iron &amp; Steelmaker Tool'!$D$14&amp;$A10&amp;'Iron &amp; Steelmaker Tool'!$D$15,Database!$B$2:$B$59&amp;Database!$A$2:$A$59&amp;Database!$H$2:$H$59,0))</f>
        <v>642.47557462457314</v>
      </c>
      <c r="AJ69" s="2" cm="1">
        <f t="array" ref="AJ69">INDEX(Database!AO$2:AO$59,MATCH('Iron &amp; Steelmaker Tool'!$D$14&amp;$A10&amp;'Iron &amp; Steelmaker Tool'!$D$15,Database!$B$2:$B$59&amp;Database!$A$2:$A$59&amp;Database!$H$2:$H$59,0))</f>
        <v>557.41301745175406</v>
      </c>
      <c r="AK69" s="2" cm="1">
        <f t="array" ref="AK69">INDEX(Database!AP$2:AP$59,MATCH('Iron &amp; Steelmaker Tool'!$D$14&amp;$A10&amp;'Iron &amp; Steelmaker Tool'!$D$15,Database!$B$2:$B$59&amp;Database!$A$2:$A$59&amp;Database!$H$2:$H$59,0))</f>
        <v>472.35031527893489</v>
      </c>
      <c r="AL69" s="2" cm="1">
        <f t="array" ref="AL69">INDEX(Database!AQ$2:AQ$59,MATCH('Iron &amp; Steelmaker Tool'!$D$14&amp;$A10&amp;'Iron &amp; Steelmaker Tool'!$D$15,Database!$B$2:$B$59&amp;Database!$A$2:$A$59&amp;Database!$H$2:$H$59,0))</f>
        <v>387.2874681061158</v>
      </c>
      <c r="AM69" s="2" cm="1">
        <f t="array" ref="AM69">INDEX(Database!AR$2:AR$59,MATCH('Iron &amp; Steelmaker Tool'!$D$14&amp;$A10&amp;'Iron &amp; Steelmaker Tool'!$D$15,Database!$B$2:$B$59&amp;Database!$A$2:$A$59&amp;Database!$H$2:$H$59,0))</f>
        <v>302.22447593329667</v>
      </c>
      <c r="AN69" s="2" cm="1">
        <f t="array" ref="AN69">INDEX(Database!AS$2:AS$59,MATCH('Iron &amp; Steelmaker Tool'!$D$14&amp;$A10&amp;'Iron &amp; Steelmaker Tool'!$D$15,Database!$B$2:$B$59&amp;Database!$A$2:$A$59&amp;Database!$H$2:$H$59,0))</f>
        <v>217.16133876047749</v>
      </c>
      <c r="AO69" s="63"/>
      <c r="AP69" s="63"/>
      <c r="AQ69" s="63"/>
      <c r="AR69" s="63"/>
      <c r="AS69" s="63"/>
      <c r="AT69" s="63"/>
      <c r="AU69" s="63"/>
      <c r="AV69" s="63"/>
      <c r="AW69" s="63"/>
      <c r="AX69" s="63"/>
    </row>
    <row r="70" spans="1:50" s="146" customFormat="1" x14ac:dyDescent="0.15">
      <c r="A70" s="146" t="s">
        <v>40</v>
      </c>
      <c r="B70" s="146" t="s">
        <v>629</v>
      </c>
      <c r="C70" s="146" t="s">
        <v>69</v>
      </c>
      <c r="D70" s="146">
        <f>IF(D$1&gt;='Steel Procurement Tool'!$D$13,IFERROR(D$69*1000000/D$68,""),NA())</f>
        <v>1.8828724734136622</v>
      </c>
      <c r="E70" s="146">
        <f>IF(E$1&gt;='Steel Procurement Tool'!$D$13,IFERROR(E$69*1000000/E$68,""),NA())</f>
        <v>1.8828724734136622</v>
      </c>
      <c r="F70" s="146">
        <f>IF(F$1&gt;='Steel Procurement Tool'!$D$13,IFERROR(F$69*1000000/F$68,""),NA())</f>
        <v>1.8828724734136622</v>
      </c>
      <c r="G70" s="146">
        <f>IF(G$1&gt;='Steel Procurement Tool'!$D$13,IFERROR(G$69*1000000/G$68,""),NA())</f>
        <v>1.8828724734136622</v>
      </c>
      <c r="H70" s="146">
        <f>IF(H$1&gt;='Steel Procurement Tool'!$D$13,IFERROR(H$69*1000000/H$68,""),NA())</f>
        <v>1.8830742418283659</v>
      </c>
      <c r="I70" s="146">
        <f>IF(I$1&gt;='Steel Procurement Tool'!$D$13,IFERROR(I$69*1000000/I$68,""),NA())</f>
        <v>1.8828724734136622</v>
      </c>
      <c r="J70" s="146">
        <f>IF(J$1&gt;='Steel Procurement Tool'!$D$13,IFERROR(J$69*1000000/J$68,""),NA())</f>
        <v>1.8077883329067275</v>
      </c>
      <c r="K70" s="146">
        <f>IF(K$1&gt;='Steel Procurement Tool'!$D$13,IFERROR(K$69*1000000/K$68,""),NA())</f>
        <v>1.7066214092967027</v>
      </c>
      <c r="L70" s="146">
        <f>IF(L$1&gt;='Steel Procurement Tool'!$D$13,IFERROR(L$69*1000000/L$68,""),NA())</f>
        <v>1.6490961590643938</v>
      </c>
      <c r="M70" s="146">
        <f>IF(M$1&gt;='Steel Procurement Tool'!$D$13,IFERROR(M$69*1000000/M$68,""),NA())</f>
        <v>1.5919342343580607</v>
      </c>
      <c r="N70" s="146">
        <f>IF(N$1&gt;='Steel Procurement Tool'!$D$13,IFERROR(N$69*1000000/N$68,""),NA())</f>
        <v>1.5351320886727364</v>
      </c>
      <c r="O70" s="146">
        <f>IF(O$1&gt;='Steel Procurement Tool'!$D$13,IFERROR(O$69*1000000/O$68,""),NA())</f>
        <v>1.478686221511436</v>
      </c>
      <c r="P70" s="146">
        <f>IF(P$1&gt;='Steel Procurement Tool'!$D$13,IFERROR(P$69*1000000/P$68,""),NA())</f>
        <v>1.4225931776415037</v>
      </c>
      <c r="Q70" s="146">
        <f>IF(Q$1&gt;='Steel Procurement Tool'!$D$13,IFERROR(Q$69*1000000/Q$68,""),NA())</f>
        <v>1.3668495463653407</v>
      </c>
      <c r="R70" s="146">
        <f>IF(R$1&gt;='Steel Procurement Tool'!$D$13,IFERROR(R$69*1000000/R$68,""),NA())</f>
        <v>1.3114519608051836</v>
      </c>
      <c r="S70" s="146">
        <f>IF(S$1&gt;='Steel Procurement Tool'!$D$13,IFERROR(S$69*1000000/S$68,""),NA())</f>
        <v>1.2563970972016241</v>
      </c>
      <c r="T70" s="146">
        <f>IF(T$1&gt;='Steel Procurement Tool'!$D$13,IFERROR(T$69*1000000/T$68,""),NA())</f>
        <v>1.2016816742255618</v>
      </c>
      <c r="U70" s="146">
        <f>IF(U$1&gt;='Steel Procurement Tool'!$D$13,IFERROR(U$69*1000000/U$68,""),NA())</f>
        <v>1.1354167916050171</v>
      </c>
      <c r="V70" s="146">
        <f>IF(V$1&gt;='Steel Procurement Tool'!$D$13,IFERROR(V$69*1000000/V$68,""),NA())</f>
        <v>1.0692934007200001</v>
      </c>
      <c r="W70" s="146">
        <f>IF(W$1&gt;='Steel Procurement Tool'!$D$13,IFERROR(W$69*1000000/W$68,""),NA())</f>
        <v>1.0033110428673082</v>
      </c>
      <c r="X70" s="146">
        <f>IF(X$1&gt;='Steel Procurement Tool'!$D$13,IFERROR(X$69*1000000/X$68,""),NA())</f>
        <v>0.93746926132436281</v>
      </c>
      <c r="Y70" s="146">
        <f>IF(Y$1&gt;='Steel Procurement Tool'!$D$13,IFERROR(Y$69*1000000/Y$68,""),NA())</f>
        <v>0.87176760133853193</v>
      </c>
      <c r="Z70" s="146">
        <f>IF(Z$1&gt;='Steel Procurement Tool'!$D$13,IFERROR(Z$69*1000000/Z$68,""),NA())</f>
        <v>0.80620561011651959</v>
      </c>
      <c r="AA70" s="146">
        <f>IF(AA$1&gt;='Steel Procurement Tool'!$D$13,IFERROR(AA$69*1000000/AA$68,""),NA())</f>
        <v>0.74078283681382484</v>
      </c>
      <c r="AB70" s="146">
        <f>IF(AB$1&gt;='Steel Procurement Tool'!$D$13,IFERROR(AB$69*1000000/AB$68,""),NA())</f>
        <v>0.67549883252426945</v>
      </c>
      <c r="AC70" s="146">
        <f>IF(AC$1&gt;='Steel Procurement Tool'!$D$13,IFERROR(AC$69*1000000/AC$68,""),NA())</f>
        <v>0.61035315026959114</v>
      </c>
      <c r="AD70" s="146">
        <f>IF(AD$1&gt;='Steel Procurement Tool'!$D$13,IFERROR(AD$69*1000000/AD$68,""),NA())</f>
        <v>0.54534534498910558</v>
      </c>
      <c r="AE70" s="146">
        <f>IF(AE$1&gt;='Steel Procurement Tool'!$D$13,IFERROR(AE$69*1000000/AE$68,""),NA())</f>
        <v>0.50115985175982947</v>
      </c>
      <c r="AF70" s="146">
        <f>IF(AF$1&gt;='Steel Procurement Tool'!$D$13,IFERROR(AF$69*1000000/AF$68,""),NA())</f>
        <v>0.45710478467411675</v>
      </c>
      <c r="AG70" s="146">
        <f>IF(AG$1&gt;='Steel Procurement Tool'!$D$13,IFERROR(AG$69*1000000/AG$68,""),NA())</f>
        <v>0.41317956677185713</v>
      </c>
      <c r="AH70" s="146">
        <f>IF(AH$1&gt;='Steel Procurement Tool'!$D$13,IFERROR(AH$69*1000000/AH$68,""),NA())</f>
        <v>0.36938362449095868</v>
      </c>
      <c r="AI70" s="146">
        <f>IF(AI$1&gt;='Steel Procurement Tool'!$D$13,IFERROR(AI$69*1000000/AI$68,""),NA())</f>
        <v>0.32571638764236915</v>
      </c>
      <c r="AJ70" s="146">
        <f>IF(AJ$1&gt;='Steel Procurement Tool'!$D$13,IFERROR(AJ$69*1000000/AJ$68,""),NA())</f>
        <v>0.28217728938531644</v>
      </c>
      <c r="AK70" s="146">
        <f>IF(AK$1&gt;='Steel Procurement Tool'!$D$13,IFERROR(AK$69*1000000/AK$68,""),NA())</f>
        <v>0.23876576620276749</v>
      </c>
      <c r="AL70" s="146">
        <f>IF(AL$1&gt;='Steel Procurement Tool'!$D$13,IFERROR(AL$69*1000000/AL$68,""),NA())</f>
        <v>0.19548125787710269</v>
      </c>
      <c r="AM70" s="146">
        <f>IF(AM$1&gt;='Steel Procurement Tool'!$D$13,IFERROR(AM$69*1000000/AM$68,""),NA())</f>
        <v>0.15232320746600306</v>
      </c>
      <c r="AN70" s="146">
        <f>IF(AN$1&gt;='Steel Procurement Tool'!$D$13,IFERROR(AN$69*1000000/AN$68,""),NA())</f>
        <v>0.10929106127854932</v>
      </c>
      <c r="AO70" s="146" t="str">
        <f>IF(AO$1&gt;='Steel Procurement Tool'!$D$13,IFERROR(AO69*1000000/AO$68,""),NA())</f>
        <v/>
      </c>
      <c r="AP70" s="146" t="str">
        <f>IF(AP$1&gt;='Steel Procurement Tool'!$D$13,IFERROR(AP69*1000000/AP$68,""),NA())</f>
        <v/>
      </c>
      <c r="AQ70" s="146" t="str">
        <f>IF(AQ$1&gt;='Steel Procurement Tool'!$D$13,IFERROR(AQ69*1000000/AQ$68,""),NA())</f>
        <v/>
      </c>
      <c r="AR70" s="146" t="str">
        <f>IF(AR$1&gt;='Steel Procurement Tool'!$D$13,IFERROR(AR69*1000000/AR$68,""),NA())</f>
        <v/>
      </c>
      <c r="AS70" s="146" t="str">
        <f>IF(AS$1&gt;='Steel Procurement Tool'!$D$13,IFERROR(AS69*1000000/AS$68,""),NA())</f>
        <v/>
      </c>
      <c r="AT70" s="146" t="str">
        <f>IF(AT$1&gt;='Steel Procurement Tool'!$D$13,IFERROR(AT69*1000000/AT$68,""),NA())</f>
        <v/>
      </c>
      <c r="AU70" s="146" t="str">
        <f>IF(AU$1&gt;='Steel Procurement Tool'!$D$13,IFERROR(AU69*1000000/AU$68,""),NA())</f>
        <v/>
      </c>
      <c r="AV70" s="146" t="str">
        <f>IF(AV$1&gt;='Steel Procurement Tool'!$D$13,IFERROR(AV69*1000000/AV$68,""),NA())</f>
        <v/>
      </c>
      <c r="AW70" s="146" t="str">
        <f>IF(AW$1&gt;='Steel Procurement Tool'!$D$13,IFERROR(AW69*1000000/AW$68,""),NA())</f>
        <v/>
      </c>
      <c r="AX70" s="146" t="str">
        <f>IF(AX$1&gt;='Steel Procurement Tool'!$D$13,IFERROR(AX69*1000000/AX$68,""),NA())</f>
        <v/>
      </c>
    </row>
    <row r="71" spans="1:50" x14ac:dyDescent="0.15">
      <c r="A71" t="s">
        <v>57</v>
      </c>
      <c r="B71" t="s">
        <v>71</v>
      </c>
      <c r="C71" t="s">
        <v>65</v>
      </c>
      <c r="D71" s="580" t="e">
        <f>IF(D1&gt;='Steel Procurement Tool'!$D$13,IF(('Steel Procurement Tool'!$D$15/HLOOKUP('Steel Procurement Tool'!$D$13,$D$1:$AN$68,ROW($A$68),))/(D$60/D$68)&lt;=1,('Steel Procurement Tool'!$D$15/HLOOKUP('Steel Procurement Tool'!$D$13,$D$1:$AN$68,ROW($A$68),))/(D$60/D$68),1),"")</f>
        <v>#N/A</v>
      </c>
      <c r="E71" s="580" t="e">
        <f>IF(E1&gt;='Steel Procurement Tool'!$D$13,IF(('Steel Procurement Tool'!$D$15/HLOOKUP('Steel Procurement Tool'!$D$13,$D$1:$AN$68,ROW($A$68),))/(E$60/E$68)&lt;=1,('Steel Procurement Tool'!$D$15/HLOOKUP('Steel Procurement Tool'!$D$13,$D$1:$AN$68,ROW($A$68),))/(E$60/E$68),1),"")</f>
        <v>#N/A</v>
      </c>
      <c r="F71" s="580" t="e">
        <f>IF(F1&gt;='Steel Procurement Tool'!$D$13,IF(('Steel Procurement Tool'!$D$15/HLOOKUP('Steel Procurement Tool'!$D$13,$D$1:$AN$68,ROW($A$68),))/(F$60/F$68)&lt;=1,('Steel Procurement Tool'!$D$15/HLOOKUP('Steel Procurement Tool'!$D$13,$D$1:$AN$68,ROW($A$68),))/(F$60/F$68),1),"")</f>
        <v>#N/A</v>
      </c>
      <c r="G71" s="580" t="e">
        <f>IF(G1&gt;='Steel Procurement Tool'!$D$13,IF(('Steel Procurement Tool'!$D$15/HLOOKUP('Steel Procurement Tool'!$D$13,$D$1:$AN$68,ROW($A$68),))/(G$60/G$68)&lt;=1,('Steel Procurement Tool'!$D$15/HLOOKUP('Steel Procurement Tool'!$D$13,$D$1:$AN$68,ROW($A$68),))/(G$60/G$68),1),"")</f>
        <v>#N/A</v>
      </c>
      <c r="H71" s="580" t="e">
        <f>IF(H1&gt;='Steel Procurement Tool'!$D$13,IF(('Steel Procurement Tool'!$D$15/HLOOKUP('Steel Procurement Tool'!$D$13,$D$1:$AN$68,ROW($A$68),))/(H$60/H$68)&lt;=1,('Steel Procurement Tool'!$D$15/HLOOKUP('Steel Procurement Tool'!$D$13,$D$1:$AN$68,ROW($A$68),))/(H$60/H$68),1),"")</f>
        <v>#N/A</v>
      </c>
      <c r="I71" s="580" t="e">
        <f>IF(I1&gt;='Steel Procurement Tool'!$D$13,IF(('Steel Procurement Tool'!$D$15/HLOOKUP('Steel Procurement Tool'!$D$13,$D$1:$AN$68,ROW($A$68),))/(I$60/I$68)&lt;=1,('Steel Procurement Tool'!$D$15/HLOOKUP('Steel Procurement Tool'!$D$13,$D$1:$AN$68,ROW($A$68),))/(I$60/I$68),1),"")</f>
        <v>#N/A</v>
      </c>
      <c r="J71" s="146" t="e">
        <f>IF(J1&gt;='Steel Procurement Tool'!$D$13,IF(('Steel Procurement Tool'!$D$15/HLOOKUP('Steel Procurement Tool'!$D$13,$D$1:$AN$68,ROW($A$68),))/(J$60/J$68)&lt;=1,('Steel Procurement Tool'!$D$15/HLOOKUP('Steel Procurement Tool'!$D$13,$D$1:$AN$68,ROW($A$68),))/(J$60/J$68),1),"")</f>
        <v>#N/A</v>
      </c>
      <c r="K71" s="146" t="e">
        <f>IF(K1&gt;='Steel Procurement Tool'!$D$13,IF(('Steel Procurement Tool'!$D$15/HLOOKUP('Steel Procurement Tool'!$D$13,$D$1:$AN$68,ROW($A$68),))/(K$60/K$68)&lt;=1,('Steel Procurement Tool'!$D$15/HLOOKUP('Steel Procurement Tool'!$D$13,$D$1:$AN$68,ROW($A$68),))/(K$60/K$68),1),"")</f>
        <v>#N/A</v>
      </c>
      <c r="L71" s="146" t="e">
        <f>IF(L1&gt;='Steel Procurement Tool'!$D$13,IF(('Steel Procurement Tool'!$D$15/HLOOKUP('Steel Procurement Tool'!$D$13,$D$1:$AN$68,ROW($A$68),))/(L$60/L$68)&lt;=1,('Steel Procurement Tool'!$D$15/HLOOKUP('Steel Procurement Tool'!$D$13,$D$1:$AN$68,ROW($A$68),))/(L$60/L$68),1),"")</f>
        <v>#N/A</v>
      </c>
      <c r="M71" s="146" t="e">
        <f>IF(M1&gt;='Steel Procurement Tool'!$D$13,IF(('Steel Procurement Tool'!$D$15/HLOOKUP('Steel Procurement Tool'!$D$13,$D$1:$AN$68,ROW($A$68),))/(M$60/M$68)&lt;=1,('Steel Procurement Tool'!$D$15/HLOOKUP('Steel Procurement Tool'!$D$13,$D$1:$AN$68,ROW($A$68),))/(M$60/M$68),1),"")</f>
        <v>#N/A</v>
      </c>
      <c r="N71" s="146" t="e">
        <f>IF(N1&gt;='Steel Procurement Tool'!$D$13,IF(('Steel Procurement Tool'!$D$15/HLOOKUP('Steel Procurement Tool'!$D$13,$D$1:$AN$68,ROW($A$68),))/(N$60/N$68)&lt;=1,('Steel Procurement Tool'!$D$15/HLOOKUP('Steel Procurement Tool'!$D$13,$D$1:$AN$68,ROW($A$68),))/(N$60/N$68),1),"")</f>
        <v>#N/A</v>
      </c>
      <c r="O71" s="146" t="e">
        <f>IF(O1&gt;='Steel Procurement Tool'!$D$13,IF(('Steel Procurement Tool'!$D$15/HLOOKUP('Steel Procurement Tool'!$D$13,$D$1:$AN$68,ROW($A$68),))/(O$60/O$68)&lt;=1,('Steel Procurement Tool'!$D$15/HLOOKUP('Steel Procurement Tool'!$D$13,$D$1:$AN$68,ROW($A$68),))/(O$60/O$68),1),"")</f>
        <v>#N/A</v>
      </c>
      <c r="P71" s="146" t="e">
        <f>IF(P1&gt;='Steel Procurement Tool'!$D$13,IF(('Steel Procurement Tool'!$D$15/HLOOKUP('Steel Procurement Tool'!$D$13,$D$1:$AN$68,ROW($A$68),))/(P$60/P$68)&lt;=1,('Steel Procurement Tool'!$D$15/HLOOKUP('Steel Procurement Tool'!$D$13,$D$1:$AN$68,ROW($A$68),))/(P$60/P$68),1),"")</f>
        <v>#N/A</v>
      </c>
      <c r="Q71" s="146" t="e">
        <f>IF(Q1&gt;='Steel Procurement Tool'!$D$13,IF(('Steel Procurement Tool'!$D$15/HLOOKUP('Steel Procurement Tool'!$D$13,$D$1:$AN$68,ROW($A$68),))/(Q$60/Q$68)&lt;=1,('Steel Procurement Tool'!$D$15/HLOOKUP('Steel Procurement Tool'!$D$13,$D$1:$AN$68,ROW($A$68),))/(Q$60/Q$68),1),"")</f>
        <v>#N/A</v>
      </c>
      <c r="R71" s="146" t="e">
        <f>IF(R1&gt;='Steel Procurement Tool'!$D$13,IF(('Steel Procurement Tool'!$D$15/HLOOKUP('Steel Procurement Tool'!$D$13,$D$1:$AN$68,ROW($A$68),))/(R$60/R$68)&lt;=1,('Steel Procurement Tool'!$D$15/HLOOKUP('Steel Procurement Tool'!$D$13,$D$1:$AN$68,ROW($A$68),))/(R$60/R$68),1),"")</f>
        <v>#N/A</v>
      </c>
      <c r="S71" s="146" t="e">
        <f>IF(S1&gt;='Steel Procurement Tool'!$D$13,IF(('Steel Procurement Tool'!$D$15/HLOOKUP('Steel Procurement Tool'!$D$13,$D$1:$AN$68,ROW($A$68),))/(S$60/S$68)&lt;=1,('Steel Procurement Tool'!$D$15/HLOOKUP('Steel Procurement Tool'!$D$13,$D$1:$AN$68,ROW($A$68),))/(S$60/S$68),1),"")</f>
        <v>#N/A</v>
      </c>
      <c r="T71" s="146" t="e">
        <f>IF(T1&gt;='Steel Procurement Tool'!$D$13,IF(('Steel Procurement Tool'!$D$15/HLOOKUP('Steel Procurement Tool'!$D$13,$D$1:$AN$68,ROW($A$68),))/(T$60/T$68)&lt;=1,('Steel Procurement Tool'!$D$15/HLOOKUP('Steel Procurement Tool'!$D$13,$D$1:$AN$68,ROW($A$68),))/(T$60/T$68),1),"")</f>
        <v>#N/A</v>
      </c>
      <c r="U71" s="146" t="e">
        <f>IF(U1&gt;='Steel Procurement Tool'!$D$13,IF(('Steel Procurement Tool'!$D$15/HLOOKUP('Steel Procurement Tool'!$D$13,$D$1:$AN$68,ROW($A$68),))/(U$60/U$68)&lt;=1,('Steel Procurement Tool'!$D$15/HLOOKUP('Steel Procurement Tool'!$D$13,$D$1:$AN$68,ROW($A$68),))/(U$60/U$68),1),"")</f>
        <v>#N/A</v>
      </c>
      <c r="V71" s="146" t="e">
        <f>IF(V1&gt;='Steel Procurement Tool'!$D$13,IF(('Steel Procurement Tool'!$D$15/HLOOKUP('Steel Procurement Tool'!$D$13,$D$1:$AN$68,ROW($A$68),))/(V$60/V$68)&lt;=1,('Steel Procurement Tool'!$D$15/HLOOKUP('Steel Procurement Tool'!$D$13,$D$1:$AN$68,ROW($A$68),))/(V$60/V$68),1),"")</f>
        <v>#N/A</v>
      </c>
      <c r="W71" s="146" t="e">
        <f>IF(W1&gt;='Steel Procurement Tool'!$D$13,IF(('Steel Procurement Tool'!$D$15/HLOOKUP('Steel Procurement Tool'!$D$13,$D$1:$AN$68,ROW($A$68),))/(W$60/W$68)&lt;=1,('Steel Procurement Tool'!$D$15/HLOOKUP('Steel Procurement Tool'!$D$13,$D$1:$AN$68,ROW($A$68),))/(W$60/W$68),1),"")</f>
        <v>#N/A</v>
      </c>
      <c r="X71" s="146" t="e">
        <f>IF(X1&gt;='Steel Procurement Tool'!$D$13,IF(('Steel Procurement Tool'!$D$15/HLOOKUP('Steel Procurement Tool'!$D$13,$D$1:$AN$68,ROW($A$68),))/(X$60/X$68)&lt;=1,('Steel Procurement Tool'!$D$15/HLOOKUP('Steel Procurement Tool'!$D$13,$D$1:$AN$68,ROW($A$68),))/(X$60/X$68),1),"")</f>
        <v>#N/A</v>
      </c>
      <c r="Y71" s="146" t="e">
        <f>IF(Y1&gt;='Steel Procurement Tool'!$D$13,IF(('Steel Procurement Tool'!$D$15/HLOOKUP('Steel Procurement Tool'!$D$13,$D$1:$AN$68,ROW($A$68),))/(Y$60/Y$68)&lt;=1,('Steel Procurement Tool'!$D$15/HLOOKUP('Steel Procurement Tool'!$D$13,$D$1:$AN$68,ROW($A$68),))/(Y$60/Y$68),1),"")</f>
        <v>#N/A</v>
      </c>
      <c r="Z71" s="146" t="e">
        <f>IF(Z1&gt;='Steel Procurement Tool'!$D$13,IF(('Steel Procurement Tool'!$D$15/HLOOKUP('Steel Procurement Tool'!$D$13,$D$1:$AN$68,ROW($A$68),))/(Z$60/Z$68)&lt;=1,('Steel Procurement Tool'!$D$15/HLOOKUP('Steel Procurement Tool'!$D$13,$D$1:$AN$68,ROW($A$68),))/(Z$60/Z$68),1),"")</f>
        <v>#N/A</v>
      </c>
      <c r="AA71" s="146" t="e">
        <f>IF(AA1&gt;='Steel Procurement Tool'!$D$13,IF(('Steel Procurement Tool'!$D$15/HLOOKUP('Steel Procurement Tool'!$D$13,$D$1:$AN$68,ROW($A$68),))/(AA$60/AA$68)&lt;=1,('Steel Procurement Tool'!$D$15/HLOOKUP('Steel Procurement Tool'!$D$13,$D$1:$AN$68,ROW($A$68),))/(AA$60/AA$68),1),"")</f>
        <v>#N/A</v>
      </c>
      <c r="AB71" s="146" t="e">
        <f>IF(AB1&gt;='Steel Procurement Tool'!$D$13,IF(('Steel Procurement Tool'!$D$15/HLOOKUP('Steel Procurement Tool'!$D$13,$D$1:$AN$68,ROW($A$68),))/(AB$60/AB$68)&lt;=1,('Steel Procurement Tool'!$D$15/HLOOKUP('Steel Procurement Tool'!$D$13,$D$1:$AN$68,ROW($A$68),))/(AB$60/AB$68),1),"")</f>
        <v>#N/A</v>
      </c>
      <c r="AC71" s="146" t="e">
        <f>IF(AC1&gt;='Steel Procurement Tool'!$D$13,IF(('Steel Procurement Tool'!$D$15/HLOOKUP('Steel Procurement Tool'!$D$13,$D$1:$AN$68,ROW($A$68),))/(AC$60/AC$68)&lt;=1,('Steel Procurement Tool'!$D$15/HLOOKUP('Steel Procurement Tool'!$D$13,$D$1:$AN$68,ROW($A$68),))/(AC$60/AC$68),1),"")</f>
        <v>#N/A</v>
      </c>
      <c r="AD71" s="146" t="e">
        <f>IF(AD1&gt;='Steel Procurement Tool'!$D$13,IF(('Steel Procurement Tool'!$D$15/HLOOKUP('Steel Procurement Tool'!$D$13,$D$1:$AN$68,ROW($A$68),))/(AD$60/AD$68)&lt;=1,('Steel Procurement Tool'!$D$15/HLOOKUP('Steel Procurement Tool'!$D$13,$D$1:$AN$68,ROW($A$68),))/(AD$60/AD$68),1),"")</f>
        <v>#N/A</v>
      </c>
      <c r="AE71" s="146" t="e">
        <f>IF(AE1&gt;='Steel Procurement Tool'!$D$13,IF(('Steel Procurement Tool'!$D$15/HLOOKUP('Steel Procurement Tool'!$D$13,$D$1:$AN$68,ROW($A$68),))/(AE$60/AE$68)&lt;=1,('Steel Procurement Tool'!$D$15/HLOOKUP('Steel Procurement Tool'!$D$13,$D$1:$AN$68,ROW($A$68),))/(AE$60/AE$68),1),"")</f>
        <v>#N/A</v>
      </c>
      <c r="AF71" s="146" t="e">
        <f>IF(AF1&gt;='Steel Procurement Tool'!$D$13,IF(('Steel Procurement Tool'!$D$15/HLOOKUP('Steel Procurement Tool'!$D$13,$D$1:$AN$68,ROW($A$68),))/(AF$60/AF$68)&lt;=1,('Steel Procurement Tool'!$D$15/HLOOKUP('Steel Procurement Tool'!$D$13,$D$1:$AN$68,ROW($A$68),))/(AF$60/AF$68),1),"")</f>
        <v>#N/A</v>
      </c>
      <c r="AG71" s="146" t="e">
        <f>IF(AG1&gt;='Steel Procurement Tool'!$D$13,IF(('Steel Procurement Tool'!$D$15/HLOOKUP('Steel Procurement Tool'!$D$13,$D$1:$AN$68,ROW($A$68),))/(AG$60/AG$68)&lt;=1,('Steel Procurement Tool'!$D$15/HLOOKUP('Steel Procurement Tool'!$D$13,$D$1:$AN$68,ROW($A$68),))/(AG$60/AG$68),1),"")</f>
        <v>#N/A</v>
      </c>
      <c r="AH71" s="146" t="e">
        <f>IF(AH1&gt;='Steel Procurement Tool'!$D$13,IF(('Steel Procurement Tool'!$D$15/HLOOKUP('Steel Procurement Tool'!$D$13,$D$1:$AN$68,ROW($A$68),))/(AH$60/AH$68)&lt;=1,('Steel Procurement Tool'!$D$15/HLOOKUP('Steel Procurement Tool'!$D$13,$D$1:$AN$68,ROW($A$68),))/(AH$60/AH$68),1),"")</f>
        <v>#N/A</v>
      </c>
      <c r="AI71" s="146" t="e">
        <f>IF(AI1&gt;='Steel Procurement Tool'!$D$13,IF(('Steel Procurement Tool'!$D$15/HLOOKUP('Steel Procurement Tool'!$D$13,$D$1:$AN$68,ROW($A$68),))/(AI$60/AI$68)&lt;=1,('Steel Procurement Tool'!$D$15/HLOOKUP('Steel Procurement Tool'!$D$13,$D$1:$AN$68,ROW($A$68),))/(AI$60/AI$68),1),"")</f>
        <v>#N/A</v>
      </c>
      <c r="AJ71" s="146" t="e">
        <f>IF(AJ1&gt;='Steel Procurement Tool'!$D$13,IF(('Steel Procurement Tool'!$D$15/HLOOKUP('Steel Procurement Tool'!$D$13,$D$1:$AN$68,ROW($A$68),))/(AJ$60/AJ$68)&lt;=1,('Steel Procurement Tool'!$D$15/HLOOKUP('Steel Procurement Tool'!$D$13,$D$1:$AN$68,ROW($A$68),))/(AJ$60/AJ$68),1),"")</f>
        <v>#N/A</v>
      </c>
      <c r="AK71" s="146" t="e">
        <f>IF(AK1&gt;='Steel Procurement Tool'!$D$13,IF(('Steel Procurement Tool'!$D$15/HLOOKUP('Steel Procurement Tool'!$D$13,$D$1:$AN$68,ROW($A$68),))/(AK$60/AK$68)&lt;=1,('Steel Procurement Tool'!$D$15/HLOOKUP('Steel Procurement Tool'!$D$13,$D$1:$AN$68,ROW($A$68),))/(AK$60/AK$68),1),"")</f>
        <v>#N/A</v>
      </c>
      <c r="AL71" s="146" t="e">
        <f>IF(AL1&gt;='Steel Procurement Tool'!$D$13,IF(('Steel Procurement Tool'!$D$15/HLOOKUP('Steel Procurement Tool'!$D$13,$D$1:$AN$68,ROW($A$68),))/(AL$60/AL$68)&lt;=1,('Steel Procurement Tool'!$D$15/HLOOKUP('Steel Procurement Tool'!$D$13,$D$1:$AN$68,ROW($A$68),))/(AL$60/AL$68),1),"")</f>
        <v>#N/A</v>
      </c>
      <c r="AM71" s="146" t="e">
        <f>IF(AM1&gt;='Steel Procurement Tool'!$D$13,IF(('Steel Procurement Tool'!$D$15/HLOOKUP('Steel Procurement Tool'!$D$13,$D$1:$AN$68,ROW($A$68),))/(AM$60/AM$68)&lt;=1,('Steel Procurement Tool'!$D$15/HLOOKUP('Steel Procurement Tool'!$D$13,$D$1:$AN$68,ROW($A$68),))/(AM$60/AM$68),1),"")</f>
        <v>#N/A</v>
      </c>
      <c r="AN71" s="146" t="e">
        <f>IF(AN1&gt;='Steel Procurement Tool'!$D$13,IF(('Steel Procurement Tool'!$D$15/HLOOKUP('Steel Procurement Tool'!$D$13,$D$1:$AN$68,ROW($A$68),))/(AN$60/AN$68)&lt;=1,('Steel Procurement Tool'!$D$15/HLOOKUP('Steel Procurement Tool'!$D$13,$D$1:$AN$68,ROW($A$68),))/(AN$60/AN$68),1),"")</f>
        <v>#N/A</v>
      </c>
      <c r="AO71" s="581"/>
      <c r="AP71" s="581"/>
      <c r="AQ71" s="581"/>
      <c r="AR71" s="581"/>
      <c r="AS71" s="581"/>
      <c r="AT71" s="581"/>
      <c r="AU71" s="581"/>
      <c r="AV71" s="581"/>
      <c r="AW71" s="581"/>
      <c r="AX71" s="581"/>
    </row>
    <row r="72" spans="1:50" x14ac:dyDescent="0.15">
      <c r="A72" t="s">
        <v>55</v>
      </c>
      <c r="B72" t="s">
        <v>205</v>
      </c>
      <c r="C72" t="str">
        <f>INDEX(Lists!$E$2:$E$50,MATCH('Iron &amp; Steelmaker Tool'!$D$15,Lists!$B$2:$B$50,0))</f>
        <v>tCO2/t</v>
      </c>
      <c r="D72" s="2" t="e">
        <f>IF('Steel Procurement Tool'!$D$17/'Steel Procurement Tool'!$D$15-$AN$70&lt;0,0,'Steel Procurement Tool'!$D$17/'Steel Procurement Tool'!$D$15-$AN$70)</f>
        <v>#DIV/0!</v>
      </c>
      <c r="E72" s="86"/>
      <c r="F72" s="86"/>
      <c r="G72" s="86"/>
      <c r="H72" s="86"/>
      <c r="I72" s="86"/>
      <c r="J72" s="86"/>
      <c r="K72" s="86"/>
      <c r="L72" s="86"/>
      <c r="M72" s="86"/>
      <c r="N72" s="86"/>
      <c r="O72" s="86"/>
      <c r="P72" s="86"/>
      <c r="Q72" s="86"/>
      <c r="R72" s="86"/>
      <c r="S72" s="86"/>
      <c r="T72" s="86"/>
      <c r="U72" s="86"/>
      <c r="V72" s="86"/>
      <c r="W72" s="86"/>
      <c r="X72" s="86"/>
      <c r="Y72" s="86"/>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row>
    <row r="73" spans="1:50" x14ac:dyDescent="0.15">
      <c r="A73" t="s">
        <v>56</v>
      </c>
      <c r="B73" t="s">
        <v>206</v>
      </c>
      <c r="C73" t="s">
        <v>65</v>
      </c>
      <c r="D73" s="2" t="e">
        <f>IF(D$1&lt;'Steel Procurement Tool'!$D$13,"",(D$70-$AN$70)/(HLOOKUP('Steel Procurement Tool'!$D$13,$D$1:$CL$70,ROW($A$70),)-$AN$70))</f>
        <v>#N/A</v>
      </c>
      <c r="E73" s="2" t="e">
        <f>IF(E$1&lt;'Steel Procurement Tool'!$D$13,"",(E$70-$AN$70)/(HLOOKUP('Steel Procurement Tool'!$D$13,$D$1:$CL$70,ROW($A$70),)-$AN$70))</f>
        <v>#N/A</v>
      </c>
      <c r="F73" s="2" t="e">
        <f>IF(F$1&lt;'Steel Procurement Tool'!$D$13,"",(F$70-$AN$70)/(HLOOKUP('Steel Procurement Tool'!$D$13,$D$1:$CL$70,ROW($A$70),)-$AN$70))</f>
        <v>#N/A</v>
      </c>
      <c r="G73" s="2" t="e">
        <f>IF(G$1&lt;'Steel Procurement Tool'!$D$13,"",(G$70-$AN$70)/(HLOOKUP('Steel Procurement Tool'!$D$13,$D$1:$CL$70,ROW($A$70),)-$AN$70))</f>
        <v>#N/A</v>
      </c>
      <c r="H73" s="2" t="e">
        <f>IF(H$1&lt;'Steel Procurement Tool'!$D$13,"",(H$70-$AN$70)/(HLOOKUP('Steel Procurement Tool'!$D$13,$D$1:$CL$70,ROW($A$70),)-$AN$70))</f>
        <v>#N/A</v>
      </c>
      <c r="I73" s="2" t="e">
        <f>IF(I$1&lt;'Steel Procurement Tool'!$D$13,"",(I$70-$AN$70)/(HLOOKUP('Steel Procurement Tool'!$D$13,$D$1:$CL$70,ROW($A$70),)-$AN$70))</f>
        <v>#N/A</v>
      </c>
      <c r="J73" s="2" t="e">
        <f>IF(J$1&lt;'Steel Procurement Tool'!$D$13,"",(J$70-$AN$70)/(HLOOKUP('Steel Procurement Tool'!$D$13,$D$1:$CL$70,ROW($A$70),)-$AN$70))</f>
        <v>#N/A</v>
      </c>
      <c r="K73" s="2" t="e">
        <f>IF(K$1&lt;'Steel Procurement Tool'!$D$13,"",(K$70-$AN$70)/(HLOOKUP('Steel Procurement Tool'!$D$13,$D$1:$CL$70,ROW($A$70),)-$AN$70))</f>
        <v>#N/A</v>
      </c>
      <c r="L73" s="2" t="e">
        <f>IF(L$1&lt;'Steel Procurement Tool'!$D$13,"",(L$70-$AN$70)/(HLOOKUP('Steel Procurement Tool'!$D$13,$D$1:$CL$70,ROW($A$70),)-$AN$70))</f>
        <v>#N/A</v>
      </c>
      <c r="M73" s="2" t="e">
        <f>IF(M$1&lt;'Steel Procurement Tool'!$D$13,"",(M$70-$AN$70)/(HLOOKUP('Steel Procurement Tool'!$D$13,$D$1:$CL$70,ROW($A$70),)-$AN$70))</f>
        <v>#N/A</v>
      </c>
      <c r="N73" s="2" t="e">
        <f>IF(N$1&lt;'Steel Procurement Tool'!$D$13,"",(N$70-$AN$70)/(HLOOKUP('Steel Procurement Tool'!$D$13,$D$1:$CL$70,ROW($A$70),)-$AN$70))</f>
        <v>#N/A</v>
      </c>
      <c r="O73" s="2" t="e">
        <f>IF(O$1&lt;'Steel Procurement Tool'!$D$13,"",(O$70-$AN$70)/(HLOOKUP('Steel Procurement Tool'!$D$13,$D$1:$CL$70,ROW($A$70),)-$AN$70))</f>
        <v>#N/A</v>
      </c>
      <c r="P73" s="2" t="e">
        <f>IF(P$1&lt;'Steel Procurement Tool'!$D$13,"",(P$70-$AN$70)/(HLOOKUP('Steel Procurement Tool'!$D$13,$D$1:$CL$70,ROW($A$70),)-$AN$70))</f>
        <v>#N/A</v>
      </c>
      <c r="Q73" s="2" t="e">
        <f>IF(Q$1&lt;'Steel Procurement Tool'!$D$13,"",(Q$70-$AN$70)/(HLOOKUP('Steel Procurement Tool'!$D$13,$D$1:$CL$70,ROW($A$70),)-$AN$70))</f>
        <v>#N/A</v>
      </c>
      <c r="R73" s="2" t="e">
        <f>IF(R$1&lt;'Steel Procurement Tool'!$D$13,"",(R$70-$AN$70)/(HLOOKUP('Steel Procurement Tool'!$D$13,$D$1:$CL$70,ROW($A$70),)-$AN$70))</f>
        <v>#N/A</v>
      </c>
      <c r="S73" s="2" t="e">
        <f>IF(S$1&lt;'Steel Procurement Tool'!$D$13,"",(S$70-$AN$70)/(HLOOKUP('Steel Procurement Tool'!$D$13,$D$1:$CL$70,ROW($A$70),)-$AN$70))</f>
        <v>#N/A</v>
      </c>
      <c r="T73" s="2" t="e">
        <f>IF(T$1&lt;'Steel Procurement Tool'!$D$13,"",(T$70-$AN$70)/(HLOOKUP('Steel Procurement Tool'!$D$13,$D$1:$CL$70,ROW($A$70),)-$AN$70))</f>
        <v>#N/A</v>
      </c>
      <c r="U73" s="2" t="e">
        <f>IF(U$1&lt;'Steel Procurement Tool'!$D$13,"",(U$70-$AN$70)/(HLOOKUP('Steel Procurement Tool'!$D$13,$D$1:$CL$70,ROW($A$70),)-$AN$70))</f>
        <v>#N/A</v>
      </c>
      <c r="V73" s="2" t="e">
        <f>IF(V$1&lt;'Steel Procurement Tool'!$D$13,"",(V$70-$AN$70)/(HLOOKUP('Steel Procurement Tool'!$D$13,$D$1:$CL$70,ROW($A$70),)-$AN$70))</f>
        <v>#N/A</v>
      </c>
      <c r="W73" s="2" t="e">
        <f>IF(W$1&lt;'Steel Procurement Tool'!$D$13,"",(W$70-$AN$70)/(HLOOKUP('Steel Procurement Tool'!$D$13,$D$1:$CL$70,ROW($A$70),)-$AN$70))</f>
        <v>#N/A</v>
      </c>
      <c r="X73" s="2" t="e">
        <f>IF(X$1&lt;'Steel Procurement Tool'!$D$13,"",(X$70-$AN$70)/(HLOOKUP('Steel Procurement Tool'!$D$13,$D$1:$CL$70,ROW($A$70),)-$AN$70))</f>
        <v>#N/A</v>
      </c>
      <c r="Y73" s="2" t="e">
        <f>IF(Y$1&lt;'Steel Procurement Tool'!$D$13,"",(Y$70-$AN$70)/(HLOOKUP('Steel Procurement Tool'!$D$13,$D$1:$CL$70,ROW($A$70),)-$AN$70))</f>
        <v>#N/A</v>
      </c>
      <c r="Z73" s="2" t="e">
        <f>IF(Z$1&lt;'Steel Procurement Tool'!$D$13,"",(Z$70-$AN$70)/(HLOOKUP('Steel Procurement Tool'!$D$13,$D$1:$CL$70,ROW($A$70),)-$AN$70))</f>
        <v>#N/A</v>
      </c>
      <c r="AA73" s="2" t="e">
        <f>IF(AA$1&lt;'Steel Procurement Tool'!$D$13,"",(AA$70-$AN$70)/(HLOOKUP('Steel Procurement Tool'!$D$13,$D$1:$CL$70,ROW($A$70),)-$AN$70))</f>
        <v>#N/A</v>
      </c>
      <c r="AB73" s="2" t="e">
        <f>IF(AB$1&lt;'Steel Procurement Tool'!$D$13,"",(AB$70-$AN$70)/(HLOOKUP('Steel Procurement Tool'!$D$13,$D$1:$CL$70,ROW($A$70),)-$AN$70))</f>
        <v>#N/A</v>
      </c>
      <c r="AC73" s="2" t="e">
        <f>IF(AC$1&lt;'Steel Procurement Tool'!$D$13,"",(AC$70-$AN$70)/(HLOOKUP('Steel Procurement Tool'!$D$13,$D$1:$CL$70,ROW($A$70),)-$AN$70))</f>
        <v>#N/A</v>
      </c>
      <c r="AD73" s="2" t="e">
        <f>IF(AD$1&lt;'Steel Procurement Tool'!$D$13,"",(AD$70-$AN$70)/(HLOOKUP('Steel Procurement Tool'!$D$13,$D$1:$CL$70,ROW($A$70),)-$AN$70))</f>
        <v>#N/A</v>
      </c>
      <c r="AE73" s="2" t="e">
        <f>IF(AE$1&lt;'Steel Procurement Tool'!$D$13,"",(AE$70-$AN$70)/(HLOOKUP('Steel Procurement Tool'!$D$13,$D$1:$CL$70,ROW($A$70),)-$AN$70))</f>
        <v>#N/A</v>
      </c>
      <c r="AF73" s="2" t="e">
        <f>IF(AF$1&lt;'Steel Procurement Tool'!$D$13,"",(AF$70-$AN$70)/(HLOOKUP('Steel Procurement Tool'!$D$13,$D$1:$CL$70,ROW($A$70),)-$AN$70))</f>
        <v>#N/A</v>
      </c>
      <c r="AG73" s="2" t="e">
        <f>IF(AG$1&lt;'Steel Procurement Tool'!$D$13,"",(AG$70-$AN$70)/(HLOOKUP('Steel Procurement Tool'!$D$13,$D$1:$CL$70,ROW($A$70),)-$AN$70))</f>
        <v>#N/A</v>
      </c>
      <c r="AH73" s="2" t="e">
        <f>IF(AH$1&lt;'Steel Procurement Tool'!$D$13,"",(AH$70-$AN$70)/(HLOOKUP('Steel Procurement Tool'!$D$13,$D$1:$CL$70,ROW($A$70),)-$AN$70))</f>
        <v>#N/A</v>
      </c>
      <c r="AI73" s="2" t="e">
        <f>IF(AI$1&lt;'Steel Procurement Tool'!$D$13,"",(AI$70-$AN$70)/(HLOOKUP('Steel Procurement Tool'!$D$13,$D$1:$CL$70,ROW($A$70),)-$AN$70))</f>
        <v>#N/A</v>
      </c>
      <c r="AJ73" s="2" t="e">
        <f>IF(AJ$1&lt;'Steel Procurement Tool'!$D$13,"",(AJ$70-$AN$70)/(HLOOKUP('Steel Procurement Tool'!$D$13,$D$1:$CL$70,ROW($A$70),)-$AN$70))</f>
        <v>#N/A</v>
      </c>
      <c r="AK73" s="2" t="e">
        <f>IF(AK$1&lt;'Steel Procurement Tool'!$D$13,"",(AK$70-$AN$70)/(HLOOKUP('Steel Procurement Tool'!$D$13,$D$1:$CL$70,ROW($A$70),)-$AN$70))</f>
        <v>#N/A</v>
      </c>
      <c r="AL73" s="2" t="e">
        <f>IF(AL$1&lt;'Steel Procurement Tool'!$D$13,"",(AL$70-$AN$70)/(HLOOKUP('Steel Procurement Tool'!$D$13,$D$1:$CL$70,ROW($A$70),)-$AN$70))</f>
        <v>#N/A</v>
      </c>
      <c r="AM73" s="2" t="e">
        <f>IF(AM$1&lt;'Steel Procurement Tool'!$D$13,"",(AM$70-$AN$70)/(HLOOKUP('Steel Procurement Tool'!$D$13,$D$1:$CL$70,ROW($A$70),)-$AN$70))</f>
        <v>#N/A</v>
      </c>
      <c r="AN73" s="2" t="e">
        <f>IF(AN$1&lt;'Steel Procurement Tool'!$D$13,"",(AN$70-$AN$70)/(HLOOKUP('Steel Procurement Tool'!$D$13,$D$1:$CL$70,ROW($A$70),)-$AN$70))</f>
        <v>#N/A</v>
      </c>
      <c r="AO73" s="63"/>
      <c r="AP73" s="63"/>
      <c r="AQ73" s="63"/>
      <c r="AR73" s="63"/>
      <c r="AS73" s="63"/>
      <c r="AT73" s="63"/>
      <c r="AU73" s="63"/>
      <c r="AV73" s="63"/>
      <c r="AW73" s="63"/>
      <c r="AX73" s="63"/>
    </row>
    <row r="74" spans="1:50" x14ac:dyDescent="0.15">
      <c r="A74" t="s">
        <v>204</v>
      </c>
      <c r="B74" t="str">
        <f>IF(ISTEXT('Iron &amp; Steelmaker Tool'!$D$15)=TRUE,IF('Iron &amp; Steelmaker Tool'!$D$15=Lists!$B$2,"Not applicable to this sector","Company | Emissions Intensity ("&amp;C74&amp;")"),"select a SDA sector")</f>
        <v>Company | Emissions Intensity (tCO2/t)</v>
      </c>
      <c r="C74" t="str">
        <f>INDEX(Lists!$E$2:$E$50,MATCH('Iron &amp; Steelmaker Tool'!$D$15,Lists!$B$2:$B$50,0))</f>
        <v>tCO2/t</v>
      </c>
      <c r="D74" s="2" t="e">
        <f>IF(D73="",NA(),$D$72*D$73*D$71+$AN$70)</f>
        <v>#N/A</v>
      </c>
      <c r="E74" s="2" t="e">
        <f t="shared" ref="E74:AN74" si="6">IF(E73="",NA(),$D$72*E$73*E$71+$AN$70)</f>
        <v>#N/A</v>
      </c>
      <c r="F74" s="2" t="e">
        <f t="shared" si="6"/>
        <v>#N/A</v>
      </c>
      <c r="G74" s="2" t="e">
        <f t="shared" si="6"/>
        <v>#N/A</v>
      </c>
      <c r="H74" s="2" t="e">
        <f t="shared" si="6"/>
        <v>#N/A</v>
      </c>
      <c r="I74" s="2" t="e">
        <f t="shared" si="6"/>
        <v>#N/A</v>
      </c>
      <c r="J74" s="582" t="e">
        <f t="shared" si="6"/>
        <v>#N/A</v>
      </c>
      <c r="K74" s="2" t="e">
        <f t="shared" si="6"/>
        <v>#N/A</v>
      </c>
      <c r="L74" s="2" t="e">
        <f t="shared" si="6"/>
        <v>#N/A</v>
      </c>
      <c r="M74" s="2" t="e">
        <f t="shared" si="6"/>
        <v>#N/A</v>
      </c>
      <c r="N74" s="2" t="e">
        <f t="shared" si="6"/>
        <v>#N/A</v>
      </c>
      <c r="O74" s="2" t="e">
        <f t="shared" si="6"/>
        <v>#N/A</v>
      </c>
      <c r="P74" s="2" t="e">
        <f t="shared" si="6"/>
        <v>#N/A</v>
      </c>
      <c r="Q74" s="2" t="e">
        <f t="shared" si="6"/>
        <v>#N/A</v>
      </c>
      <c r="R74" s="2" t="e">
        <f t="shared" si="6"/>
        <v>#N/A</v>
      </c>
      <c r="S74" s="2" t="e">
        <f t="shared" si="6"/>
        <v>#N/A</v>
      </c>
      <c r="T74" s="2" t="e">
        <f t="shared" si="6"/>
        <v>#N/A</v>
      </c>
      <c r="U74" s="2" t="e">
        <f t="shared" si="6"/>
        <v>#N/A</v>
      </c>
      <c r="V74" s="2" t="e">
        <f t="shared" si="6"/>
        <v>#N/A</v>
      </c>
      <c r="W74" s="2" t="e">
        <f t="shared" si="6"/>
        <v>#N/A</v>
      </c>
      <c r="X74" s="2" t="e">
        <f t="shared" si="6"/>
        <v>#N/A</v>
      </c>
      <c r="Y74" s="2" t="e">
        <f t="shared" si="6"/>
        <v>#N/A</v>
      </c>
      <c r="Z74" s="2" t="e">
        <f t="shared" si="6"/>
        <v>#N/A</v>
      </c>
      <c r="AA74" s="2" t="e">
        <f t="shared" si="6"/>
        <v>#N/A</v>
      </c>
      <c r="AB74" s="2" t="e">
        <f t="shared" si="6"/>
        <v>#N/A</v>
      </c>
      <c r="AC74" s="2" t="e">
        <f t="shared" si="6"/>
        <v>#N/A</v>
      </c>
      <c r="AD74" s="2" t="e">
        <f t="shared" si="6"/>
        <v>#N/A</v>
      </c>
      <c r="AE74" s="2" t="e">
        <f t="shared" si="6"/>
        <v>#N/A</v>
      </c>
      <c r="AF74" s="2" t="e">
        <f t="shared" si="6"/>
        <v>#N/A</v>
      </c>
      <c r="AG74" s="2" t="e">
        <f t="shared" si="6"/>
        <v>#N/A</v>
      </c>
      <c r="AH74" s="2" t="e">
        <f t="shared" si="6"/>
        <v>#N/A</v>
      </c>
      <c r="AI74" s="2" t="e">
        <f t="shared" si="6"/>
        <v>#N/A</v>
      </c>
      <c r="AJ74" s="2" t="e">
        <f t="shared" si="6"/>
        <v>#N/A</v>
      </c>
      <c r="AK74" s="2" t="e">
        <f t="shared" si="6"/>
        <v>#N/A</v>
      </c>
      <c r="AL74" s="2" t="e">
        <f t="shared" si="6"/>
        <v>#N/A</v>
      </c>
      <c r="AM74" s="2" t="e">
        <f t="shared" si="6"/>
        <v>#N/A</v>
      </c>
      <c r="AN74" s="2" t="e">
        <f t="shared" si="6"/>
        <v>#N/A</v>
      </c>
      <c r="AO74" s="63"/>
      <c r="AP74" s="63"/>
      <c r="AQ74" s="63"/>
      <c r="AR74" s="63"/>
      <c r="AS74" s="63"/>
      <c r="AT74" s="63"/>
      <c r="AU74" s="63"/>
      <c r="AV74" s="63"/>
      <c r="AW74" s="63"/>
      <c r="AX74" s="63"/>
    </row>
    <row r="75" spans="1:50" x14ac:dyDescent="0.15">
      <c r="C75" t="str">
        <f>+C74</f>
        <v>tCO2/t</v>
      </c>
      <c r="D75" s="446" t="e">
        <f>IF(D72&lt;&gt;0,HLOOKUP('Steel Procurement Tool'!$D$14,$D$1:$AN$74,ROW($A$74),),"")</f>
        <v>#DIV/0!</v>
      </c>
      <c r="E75" s="86"/>
      <c r="F75" s="86"/>
      <c r="G75" s="86"/>
      <c r="H75" s="86"/>
      <c r="I75" s="86"/>
      <c r="J75" s="86"/>
      <c r="K75" s="86"/>
      <c r="L75" s="86"/>
      <c r="M75" s="86"/>
      <c r="N75" s="86"/>
      <c r="O75" s="86"/>
      <c r="P75" s="86"/>
      <c r="Q75" s="86"/>
      <c r="R75" s="86"/>
      <c r="S75" s="86"/>
      <c r="T75" s="86"/>
      <c r="U75" s="86"/>
      <c r="V75" s="86"/>
      <c r="W75" s="86"/>
      <c r="X75" s="86"/>
      <c r="Y75" s="86"/>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row>
    <row r="76" spans="1:50" x14ac:dyDescent="0.15">
      <c r="B76" s="1"/>
      <c r="E76" s="86"/>
      <c r="F76" s="86"/>
      <c r="G76" s="86"/>
      <c r="H76" s="86"/>
      <c r="I76" s="86"/>
      <c r="J76" s="86"/>
      <c r="K76" s="86"/>
      <c r="L76" s="86"/>
      <c r="M76" s="86"/>
      <c r="N76" s="86"/>
      <c r="O76" s="86"/>
      <c r="P76" s="86"/>
      <c r="Q76" s="86"/>
      <c r="R76" s="86"/>
      <c r="S76" s="86"/>
      <c r="T76" s="86"/>
      <c r="U76" s="86"/>
      <c r="V76" s="86"/>
      <c r="W76" s="86"/>
      <c r="X76" s="86"/>
      <c r="Y76" s="86"/>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row>
    <row r="77" spans="1:50" x14ac:dyDescent="0.15">
      <c r="A77" s="1" t="s">
        <v>60</v>
      </c>
      <c r="E77" s="86"/>
      <c r="F77" s="86"/>
      <c r="G77" s="86"/>
      <c r="H77" s="86"/>
      <c r="I77" s="86"/>
      <c r="J77" s="86"/>
      <c r="K77" s="86"/>
      <c r="L77" s="86"/>
      <c r="M77" s="86"/>
      <c r="N77" s="86"/>
      <c r="O77" s="86"/>
      <c r="P77" s="86"/>
      <c r="Q77" s="86"/>
      <c r="R77" s="86"/>
      <c r="S77" s="86"/>
      <c r="T77" s="86"/>
      <c r="U77" s="86"/>
      <c r="V77" s="86"/>
      <c r="W77" s="86"/>
      <c r="X77" s="86"/>
      <c r="Y77" s="86"/>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row>
    <row r="78" spans="1:50" x14ac:dyDescent="0.15">
      <c r="E78" s="86"/>
      <c r="F78" s="86"/>
      <c r="G78" s="86"/>
      <c r="H78" s="86"/>
      <c r="I78" s="86"/>
      <c r="J78" s="86"/>
      <c r="K78" s="86"/>
      <c r="L78" s="86"/>
      <c r="M78" s="86"/>
      <c r="N78" s="86"/>
      <c r="O78" s="86"/>
      <c r="P78" s="86"/>
      <c r="Q78" s="86"/>
      <c r="R78" s="86"/>
      <c r="S78" s="86"/>
      <c r="T78" s="86"/>
      <c r="U78" s="86"/>
      <c r="V78" s="86"/>
      <c r="W78" s="86"/>
      <c r="X78" s="86"/>
      <c r="Y78" s="86"/>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row>
    <row r="79" spans="1:50" x14ac:dyDescent="0.15">
      <c r="A79" s="87" t="s">
        <v>194</v>
      </c>
      <c r="B79" s="87" t="s">
        <v>18</v>
      </c>
      <c r="C79" s="87" t="s">
        <v>193</v>
      </c>
      <c r="D79" s="468" cm="1">
        <f t="array" ref="D79">INDEX(Database!I$2:I$59,MATCH($A79&amp;$B79&amp;"IEA NZE",Database!$A$2:$A$59&amp;Database!$D$2:$D$59&amp;Database!$B$2:$B$59,))</f>
        <v>0.57202495010378573</v>
      </c>
      <c r="E79" s="468" cm="1">
        <f t="array" ref="E79">INDEX(Database!J$2:J$59,MATCH($A79&amp;$B79&amp;"IEA NZE",Database!$A$2:$A$59&amp;Database!$D$2:$D$59&amp;Database!$B$2:$B$59,))</f>
        <v>0.5462795847930102</v>
      </c>
      <c r="F79" s="468" cm="1">
        <f t="array" ref="F79">INDEX(Database!K$2:K$59,MATCH($A79&amp;$B79&amp;"IEA NZE",Database!$A$2:$A$59&amp;Database!$D$2:$D$59&amp;Database!$B$2:$B$59,))</f>
        <v>0.52139984873939516</v>
      </c>
      <c r="G79" s="468" cm="1">
        <f t="array" ref="G79">INDEX(Database!L$2:L$59,MATCH($A79&amp;$B79&amp;"IEA NZE",Database!$A$2:$A$59&amp;Database!$D$2:$D$59&amp;Database!$B$2:$B$59,))</f>
        <v>0.49734280652806911</v>
      </c>
      <c r="H79" s="468" cm="1">
        <f t="array" ref="H79">INDEX(Database!M$2:M$59,MATCH($A79&amp;$B79&amp;"IEA NZE",Database!$A$2:$A$59&amp;Database!$D$2:$D$59&amp;Database!$B$2:$B$59,))</f>
        <v>0.4740683160370745</v>
      </c>
      <c r="I79" s="468" cm="1">
        <f t="array" ref="I79">INDEX(Database!N$2:N$59,MATCH($A79&amp;$B79&amp;"IEA NZE",Database!$A$2:$A$59&amp;Database!$D$2:$D$59&amp;Database!$B$2:$B$59,))</f>
        <v>0.46800000000000003</v>
      </c>
      <c r="J79" s="468" cm="1">
        <f t="array" ref="J79">INDEX(Database!O$2:O$59,MATCH($A79&amp;$B79&amp;"IEA NZE",Database!$A$2:$A$59&amp;Database!$D$2:$D$59&amp;Database!$B$2:$B$59,))</f>
        <v>0.438</v>
      </c>
      <c r="K79" s="468" cm="1">
        <f t="array" ref="K79">INDEX(Database!P$2:P$59,MATCH($A79&amp;$B79&amp;"IEA NZE",Database!$A$2:$A$59&amp;Database!$D$2:$D$59&amp;Database!$B$2:$B$59,))</f>
        <v>0.40800000000000003</v>
      </c>
      <c r="L79" s="468" cm="1">
        <f t="array" ref="L79">INDEX(Database!Q$2:Q$59,MATCH($A79&amp;$B79&amp;"IEA NZE",Database!$A$2:$A$59&amp;Database!$D$2:$D$59&amp;Database!$B$2:$B$59,))</f>
        <v>0.378</v>
      </c>
      <c r="M79" s="468" cm="1">
        <f t="array" ref="M79">INDEX(Database!R$2:R$59,MATCH($A79&amp;$B79&amp;"IEA NZE",Database!$A$2:$A$59&amp;Database!$D$2:$D$59&amp;Database!$B$2:$B$59,))</f>
        <v>0.34800000000000003</v>
      </c>
      <c r="N79" s="468" cm="1">
        <f t="array" ref="N79">INDEX(Database!S$2:S$59,MATCH($A79&amp;$B79&amp;"IEA NZE",Database!$A$2:$A$59&amp;Database!$D$2:$D$59&amp;Database!$B$2:$B$59,))</f>
        <v>0.318</v>
      </c>
      <c r="O79" s="468" cm="1">
        <f t="array" ref="O79">INDEX(Database!T$2:T$59,MATCH($A79&amp;$B79&amp;"IEA NZE",Database!$A$2:$A$59&amp;Database!$D$2:$D$59&amp;Database!$B$2:$B$59,))</f>
        <v>0.28800000000000003</v>
      </c>
      <c r="P79" s="468" cm="1">
        <f t="array" ref="P79">INDEX(Database!U$2:U$59,MATCH($A79&amp;$B79&amp;"IEA NZE",Database!$A$2:$A$59&amp;Database!$D$2:$D$59&amp;Database!$B$2:$B$59,))</f>
        <v>0.25800000000000001</v>
      </c>
      <c r="Q79" s="468" cm="1">
        <f t="array" ref="Q79">INDEX(Database!V$2:V$59,MATCH($A79&amp;$B79&amp;"IEA NZE",Database!$A$2:$A$59&amp;Database!$D$2:$D$59&amp;Database!$B$2:$B$59,))</f>
        <v>0.22800000000000001</v>
      </c>
      <c r="R79" s="468" cm="1">
        <f t="array" ref="R79">INDEX(Database!W$2:W$59,MATCH($A79&amp;$B79&amp;"IEA NZE",Database!$A$2:$A$59&amp;Database!$D$2:$D$59&amp;Database!$B$2:$B$59,))</f>
        <v>0.19800000000000001</v>
      </c>
      <c r="S79" s="468" cm="1">
        <f t="array" ref="S79">INDEX(Database!X$2:X$59,MATCH($A79&amp;$B79&amp;"IEA NZE",Database!$A$2:$A$59&amp;Database!$D$2:$D$59&amp;Database!$B$2:$B$59,))</f>
        <v>0.16799999999999998</v>
      </c>
      <c r="T79" s="468" cm="1">
        <f t="array" ref="T79">INDEX(Database!Y$2:Y$59,MATCH($A79&amp;$B79&amp;"IEA NZE",Database!$A$2:$A$59&amp;Database!$D$2:$D$59&amp;Database!$B$2:$B$59,))</f>
        <v>0.13800000000000001</v>
      </c>
      <c r="U79" s="468" cm="1">
        <f t="array" ref="U79">INDEX(Database!Z$2:Z$59,MATCH($A79&amp;$B79&amp;"IEA NZE",Database!$A$2:$A$59&amp;Database!$D$2:$D$59&amp;Database!$B$2:$B$59,))</f>
        <v>0.12410000000000002</v>
      </c>
      <c r="V79" s="468" cm="1">
        <f t="array" ref="V79">INDEX(Database!AA$2:AA$59,MATCH($A79&amp;$B79&amp;"IEA NZE",Database!$A$2:$A$59&amp;Database!$D$2:$D$59&amp;Database!$B$2:$B$59,))</f>
        <v>0.11020000000000001</v>
      </c>
      <c r="W79" s="468" cm="1">
        <f t="array" ref="W79">INDEX(Database!AB$2:AB$59,MATCH($A79&amp;$B79&amp;"IEA NZE",Database!$A$2:$A$59&amp;Database!$D$2:$D$59&amp;Database!$B$2:$B$59,))</f>
        <v>9.6300000000000011E-2</v>
      </c>
      <c r="X79" s="468" cm="1">
        <f t="array" ref="X79">INDEX(Database!AC$2:AC$59,MATCH($A79&amp;$B79&amp;"IEA NZE",Database!$A$2:$A$59&amp;Database!$D$2:$D$59&amp;Database!$B$2:$B$59,))</f>
        <v>8.2400000000000001E-2</v>
      </c>
      <c r="Y79" s="468" cm="1">
        <f t="array" ref="Y79">INDEX(Database!AD$2:AD$59,MATCH($A79&amp;$B79&amp;"IEA NZE",Database!$A$2:$A$59&amp;Database!$D$2:$D$59&amp;Database!$B$2:$B$59,))</f>
        <v>6.8500000000000005E-2</v>
      </c>
      <c r="Z79" s="468" cm="1">
        <f t="array" ref="Z79">INDEX(Database!AE$2:AE$59,MATCH($A79&amp;$B79&amp;"IEA NZE",Database!$A$2:$A$59&amp;Database!$D$2:$D$59&amp;Database!$B$2:$B$59,))</f>
        <v>5.460000000000001E-2</v>
      </c>
      <c r="AA79" s="468" cm="1">
        <f t="array" ref="AA79">INDEX(Database!AF$2:AF$59,MATCH($A79&amp;$B79&amp;"IEA NZE",Database!$A$2:$A$59&amp;Database!$D$2:$D$59&amp;Database!$B$2:$B$59,))</f>
        <v>4.07E-2</v>
      </c>
      <c r="AB79" s="468" cm="1">
        <f t="array" ref="AB79">INDEX(Database!AG$2:AG$59,MATCH($A79&amp;$B79&amp;"IEA NZE",Database!$A$2:$A$59&amp;Database!$D$2:$D$59&amp;Database!$B$2:$B$59,))</f>
        <v>2.6800000000000004E-2</v>
      </c>
      <c r="AC79" s="468" cm="1">
        <f t="array" ref="AC79">INDEX(Database!AH$2:AH$59,MATCH($A79&amp;$B79&amp;"IEA NZE",Database!$A$2:$A$59&amp;Database!$D$2:$D$59&amp;Database!$B$2:$B$59,))</f>
        <v>1.2899999999999995E-2</v>
      </c>
      <c r="AD79" s="468" cm="1">
        <f t="array" ref="AD79">INDEX(Database!AI$2:AI$59,MATCH($A79&amp;$B79&amp;"IEA NZE",Database!$A$2:$A$59&amp;Database!$D$2:$D$59&amp;Database!$B$2:$B$59,))</f>
        <v>-1E-3</v>
      </c>
      <c r="AE79" s="468" cm="1">
        <f t="array" ref="AE79">INDEX(Database!AJ$2:AJ$59,MATCH($A79&amp;$B79&amp;"IEA NZE",Database!$A$2:$A$59&amp;Database!$D$2:$D$59&amp;Database!$B$2:$B$59,))</f>
        <v>-1.4E-3</v>
      </c>
      <c r="AF79" s="468" cm="1">
        <f t="array" ref="AF79">INDEX(Database!AK$2:AK$59,MATCH($A79&amp;$B79&amp;"IEA NZE",Database!$A$2:$A$59&amp;Database!$D$2:$D$59&amp;Database!$B$2:$B$59,))</f>
        <v>-1.8E-3</v>
      </c>
      <c r="AG79" s="468" cm="1">
        <f t="array" ref="AG79">INDEX(Database!AL$2:AL$59,MATCH($A79&amp;$B79&amp;"IEA NZE",Database!$A$2:$A$59&amp;Database!$D$2:$D$59&amp;Database!$B$2:$B$59,))</f>
        <v>-2.2000000000000001E-3</v>
      </c>
      <c r="AH79" s="468" cm="1">
        <f t="array" ref="AH79">INDEX(Database!AM$2:AM$59,MATCH($A79&amp;$B79&amp;"IEA NZE",Database!$A$2:$A$59&amp;Database!$D$2:$D$59&amp;Database!$B$2:$B$59,))</f>
        <v>-2.5999999999999999E-3</v>
      </c>
      <c r="AI79" s="468" cm="1">
        <f t="array" ref="AI79">INDEX(Database!AN$2:AN$59,MATCH($A79&amp;$B79&amp;"IEA NZE",Database!$A$2:$A$59&amp;Database!$D$2:$D$59&amp;Database!$B$2:$B$59,))</f>
        <v>-3.0000000000000001E-3</v>
      </c>
      <c r="AJ79" s="468" cm="1">
        <f t="array" ref="AJ79">INDEX(Database!AO$2:AO$59,MATCH($A79&amp;$B79&amp;"IEA NZE",Database!$A$2:$A$59&amp;Database!$D$2:$D$59&amp;Database!$B$2:$B$59,))</f>
        <v>-3.4000000000000002E-3</v>
      </c>
      <c r="AK79" s="468" cm="1">
        <f t="array" ref="AK79">INDEX(Database!AP$2:AP$59,MATCH($A79&amp;$B79&amp;"IEA NZE",Database!$A$2:$A$59&amp;Database!$D$2:$D$59&amp;Database!$B$2:$B$59,))</f>
        <v>-3.8E-3</v>
      </c>
      <c r="AL79" s="468" cm="1">
        <f t="array" ref="AL79">INDEX(Database!AQ$2:AQ$59,MATCH($A79&amp;$B79&amp;"IEA NZE",Database!$A$2:$A$59&amp;Database!$D$2:$D$59&amp;Database!$B$2:$B$59,))</f>
        <v>-4.2000000000000006E-3</v>
      </c>
      <c r="AM79" s="468" cm="1">
        <f t="array" ref="AM79">INDEX(Database!AR$2:AR$59,MATCH($A79&amp;$B79&amp;"IEA NZE",Database!$A$2:$A$59&amp;Database!$D$2:$D$59&amp;Database!$B$2:$B$59,))</f>
        <v>-4.5999999999999999E-3</v>
      </c>
      <c r="AN79" s="468" cm="1">
        <f t="array" ref="AN79">INDEX(Database!AS$2:AS$59,MATCH($A79&amp;$B79&amp;"IEA NZE",Database!$A$2:$A$59&amp;Database!$D$2:$D$59&amp;Database!$B$2:$B$59,))</f>
        <v>-5.0000000000000001E-3</v>
      </c>
      <c r="AO79" s="63"/>
      <c r="AP79" s="63"/>
      <c r="AQ79" s="63"/>
      <c r="AR79" s="63"/>
      <c r="AS79" s="63"/>
      <c r="AT79" s="63"/>
      <c r="AU79" s="63"/>
      <c r="AV79" s="63"/>
      <c r="AW79" s="63"/>
      <c r="AX79" s="63"/>
    </row>
    <row r="80" spans="1:50" x14ac:dyDescent="0.15">
      <c r="A80" s="87"/>
      <c r="B80" s="87"/>
      <c r="C80" s="87"/>
      <c r="D80" s="468"/>
      <c r="E80" s="468"/>
      <c r="F80" s="468"/>
      <c r="G80" s="468"/>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c r="AF80" s="468"/>
      <c r="AG80" s="468"/>
      <c r="AH80" s="468"/>
      <c r="AI80" s="468"/>
      <c r="AJ80" s="468"/>
      <c r="AK80" s="468"/>
      <c r="AL80" s="468"/>
      <c r="AM80" s="468"/>
      <c r="AN80" s="468"/>
      <c r="AO80" s="63"/>
      <c r="AP80" s="63"/>
      <c r="AQ80" s="63"/>
      <c r="AR80" s="63"/>
      <c r="AS80" s="63"/>
      <c r="AT80" s="63"/>
      <c r="AU80" s="63"/>
      <c r="AV80" s="63"/>
      <c r="AW80" s="63"/>
      <c r="AX80" s="63"/>
    </row>
    <row r="81" spans="1:91" x14ac:dyDescent="0.15">
      <c r="A81" s="87"/>
      <c r="B81" s="87"/>
      <c r="C81" s="87"/>
      <c r="D81" s="468"/>
      <c r="E81" s="468"/>
      <c r="F81" s="468"/>
      <c r="G81" s="468"/>
      <c r="H81" s="468"/>
      <c r="I81" s="468"/>
      <c r="J81" s="468"/>
      <c r="K81" s="468"/>
      <c r="L81" s="468"/>
      <c r="M81" s="468"/>
      <c r="N81" s="468"/>
      <c r="O81" s="468"/>
      <c r="P81" s="468"/>
      <c r="Q81" s="468"/>
      <c r="R81" s="468"/>
      <c r="S81" s="468"/>
      <c r="T81" s="468"/>
      <c r="U81" s="468"/>
      <c r="V81" s="468"/>
      <c r="W81" s="468"/>
      <c r="X81" s="468"/>
      <c r="Y81" s="468"/>
      <c r="Z81" s="468"/>
      <c r="AA81" s="468"/>
      <c r="AB81" s="468"/>
      <c r="AC81" s="468"/>
      <c r="AD81" s="468"/>
      <c r="AE81" s="468"/>
      <c r="AF81" s="468"/>
      <c r="AG81" s="468"/>
      <c r="AH81" s="468"/>
      <c r="AI81" s="468"/>
      <c r="AJ81" s="468"/>
      <c r="AK81" s="468"/>
      <c r="AL81" s="468"/>
      <c r="AM81" s="468"/>
      <c r="AN81" s="468"/>
      <c r="AO81" s="63"/>
      <c r="AP81" s="63"/>
      <c r="AQ81" s="63"/>
      <c r="AR81" s="63"/>
      <c r="AS81" s="63"/>
      <c r="AT81" s="63"/>
      <c r="AU81" s="63"/>
      <c r="AV81" s="63"/>
      <c r="AW81" s="63"/>
      <c r="AX81" s="63"/>
    </row>
    <row r="82" spans="1:91" x14ac:dyDescent="0.15">
      <c r="B82" s="1"/>
      <c r="D82" s="488"/>
      <c r="E82" s="86"/>
      <c r="F82" s="86"/>
      <c r="G82" s="86"/>
      <c r="H82" s="86"/>
      <c r="I82" s="86"/>
      <c r="J82" s="86"/>
      <c r="K82" s="86"/>
      <c r="L82" s="86"/>
      <c r="M82" s="86"/>
      <c r="N82" s="86"/>
      <c r="O82" s="86"/>
      <c r="P82" s="86"/>
      <c r="Q82" s="86"/>
      <c r="R82" s="86"/>
      <c r="S82" s="86"/>
      <c r="T82" s="86"/>
      <c r="U82" s="86"/>
      <c r="V82" s="86"/>
      <c r="W82" s="86"/>
      <c r="X82" s="86"/>
      <c r="Y82" s="86"/>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row>
    <row r="83" spans="1:91" x14ac:dyDescent="0.15">
      <c r="B83" s="1"/>
      <c r="D83" s="488"/>
      <c r="E83" s="86"/>
      <c r="F83" s="86"/>
      <c r="G83" s="86"/>
      <c r="H83" s="86"/>
      <c r="I83" s="86"/>
      <c r="J83" s="86"/>
      <c r="K83" s="86"/>
      <c r="L83" s="86"/>
      <c r="M83" s="86"/>
      <c r="N83" s="86"/>
      <c r="O83" s="86"/>
      <c r="P83" s="86"/>
      <c r="Q83" s="86"/>
      <c r="R83" s="86"/>
      <c r="S83" s="86"/>
      <c r="T83" s="86"/>
      <c r="U83" s="86"/>
      <c r="V83" s="86"/>
      <c r="W83" s="86"/>
      <c r="X83" s="86"/>
      <c r="Y83" s="86"/>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row>
    <row r="84" spans="1:91" s="43" customFormat="1" ht="23" x14ac:dyDescent="0.25">
      <c r="A84" s="64" t="s">
        <v>255</v>
      </c>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row>
    <row r="85" spans="1:91" s="43" customFormat="1" hidden="1" x14ac:dyDescent="0.15">
      <c r="A85" s="58" t="s">
        <v>52</v>
      </c>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row>
    <row r="86" spans="1:91" s="43" customFormat="1" hidden="1" x14ac:dyDescent="0.15">
      <c r="A86" s="58"/>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row>
    <row r="87" spans="1:91" s="43" customFormat="1" hidden="1" x14ac:dyDescent="0.15">
      <c r="A87" s="43" t="s">
        <v>43</v>
      </c>
      <c r="B87" s="43" t="str">
        <f>IF(OR('Iron &amp; Steelmaker Tool'!$D$15=Lists!$B$26,'Iron &amp; Steelmaker Tool'!$D$15=Lists!$B$27,'Iron &amp; Steelmaker Tool'!$D$15=Lists!$B$28),"Scope 3 emissions ("&amp;C87&amp;")","Scope 1 emissions ("&amp;C87&amp;")")</f>
        <v>Scope 1 emissions (MtCO2)</v>
      </c>
      <c r="C87" s="43" t="s">
        <v>25</v>
      </c>
      <c r="D87" s="56" t="e">
        <f>IFERROR(IF(D$1&lt;'Iron &amp; Steelmaker Tool'!$D$16,NA(),IF(D$1&gt;'Iron &amp; Steelmaker Tool'!$D$20,NA(),'Iron &amp; Steelmaker Tool'!$D$18+('Iron &amp; Steelmaker Tool'!$D$18*(HLOOKUP('Iron &amp; Steelmaker Tool'!$D$20,$D$1:$CL$10,ROW($A$10),)/HLOOKUP('Iron &amp; Steelmaker Tool'!$D$16,$D$1:$CL$10,ROW($A$10),))-'Iron &amp; Steelmaker Tool'!$D$18)*(D$1-'Iron &amp; Steelmaker Tool'!$D$16)/('Iron &amp; Steelmaker Tool'!$D$20-'Iron &amp; Steelmaker Tool'!$D$16)))/1000,NA())</f>
        <v>#N/A</v>
      </c>
      <c r="E87" s="56" t="e">
        <f>IFERROR(IF(E$1&lt;'Iron &amp; Steelmaker Tool'!$D$16,NA(),IF(E$1&gt;'Iron &amp; Steelmaker Tool'!$D$20,NA(),'Iron &amp; Steelmaker Tool'!$D$18+('Iron &amp; Steelmaker Tool'!$D$18*(HLOOKUP('Iron &amp; Steelmaker Tool'!$D$20,$D$1:$CL$10,ROW($A$10),)/HLOOKUP('Iron &amp; Steelmaker Tool'!$D$16,$D$1:$CL$10,ROW($A$10),))-'Iron &amp; Steelmaker Tool'!$D$18)*(E$1-'Iron &amp; Steelmaker Tool'!$D$16)/('Iron &amp; Steelmaker Tool'!$D$20-'Iron &amp; Steelmaker Tool'!$D$16)))/1000,NA())</f>
        <v>#N/A</v>
      </c>
      <c r="F87" s="56" t="e">
        <f>IFERROR(IF(F$1&lt;'Iron &amp; Steelmaker Tool'!$D$16,NA(),IF(F$1&gt;'Iron &amp; Steelmaker Tool'!$D$20,NA(),'Iron &amp; Steelmaker Tool'!$D$18+('Iron &amp; Steelmaker Tool'!$D$18*(HLOOKUP('Iron &amp; Steelmaker Tool'!$D$20,$D$1:$CL$10,ROW($A$10),)/HLOOKUP('Iron &amp; Steelmaker Tool'!$D$16,$D$1:$CL$10,ROW($A$10),))-'Iron &amp; Steelmaker Tool'!$D$18)*(F$1-'Iron &amp; Steelmaker Tool'!$D$16)/('Iron &amp; Steelmaker Tool'!$D$20-'Iron &amp; Steelmaker Tool'!$D$16)))/1000,NA())</f>
        <v>#N/A</v>
      </c>
      <c r="G87" s="56" t="e">
        <f>IFERROR(IF(G$1&lt;'Iron &amp; Steelmaker Tool'!$D$16,NA(),IF(G$1&gt;'Iron &amp; Steelmaker Tool'!$D$20,NA(),'Iron &amp; Steelmaker Tool'!$D$18+('Iron &amp; Steelmaker Tool'!$D$18*(HLOOKUP('Iron &amp; Steelmaker Tool'!$D$20,$D$1:$CL$10,ROW($A$10),)/HLOOKUP('Iron &amp; Steelmaker Tool'!$D$16,$D$1:$CL$10,ROW($A$10),))-'Iron &amp; Steelmaker Tool'!$D$18)*(G$1-'Iron &amp; Steelmaker Tool'!$D$16)/('Iron &amp; Steelmaker Tool'!$D$20-'Iron &amp; Steelmaker Tool'!$D$16)))/1000,NA())</f>
        <v>#N/A</v>
      </c>
      <c r="H87" s="56" t="e">
        <f>IFERROR(IF(H$1&lt;'Iron &amp; Steelmaker Tool'!$D$16,NA(),IF(H$1&gt;'Iron &amp; Steelmaker Tool'!$D$20,NA(),'Iron &amp; Steelmaker Tool'!$D$18+('Iron &amp; Steelmaker Tool'!$D$18*(HLOOKUP('Iron &amp; Steelmaker Tool'!$D$20,$D$1:$CL$10,ROW($A$10),)/HLOOKUP('Iron &amp; Steelmaker Tool'!$D$16,$D$1:$CL$10,ROW($A$10),))-'Iron &amp; Steelmaker Tool'!$D$18)*(H$1-'Iron &amp; Steelmaker Tool'!$D$16)/('Iron &amp; Steelmaker Tool'!$D$20-'Iron &amp; Steelmaker Tool'!$D$16)))/1000,NA())</f>
        <v>#N/A</v>
      </c>
      <c r="I87" s="56" t="e">
        <f>IFERROR(IF(I$1&lt;'Iron &amp; Steelmaker Tool'!$D$16,NA(),IF(I$1&gt;'Iron &amp; Steelmaker Tool'!$D$20,NA(),'Iron &amp; Steelmaker Tool'!$D$18+('Iron &amp; Steelmaker Tool'!$D$18*(HLOOKUP('Iron &amp; Steelmaker Tool'!$D$20,$D$1:$CL$10,ROW($A$10),)/HLOOKUP('Iron &amp; Steelmaker Tool'!$D$16,$D$1:$CL$10,ROW($A$10),))-'Iron &amp; Steelmaker Tool'!$D$18)*(I$1-'Iron &amp; Steelmaker Tool'!$D$16)/('Iron &amp; Steelmaker Tool'!$D$20-'Iron &amp; Steelmaker Tool'!$D$16)))/1000,NA())</f>
        <v>#N/A</v>
      </c>
      <c r="J87" s="56" t="e">
        <f>IFERROR(IF(J$1&lt;'Iron &amp; Steelmaker Tool'!$D$16,NA(),IF(J$1&gt;'Iron &amp; Steelmaker Tool'!$D$20,NA(),'Iron &amp; Steelmaker Tool'!$D$18+('Iron &amp; Steelmaker Tool'!$D$18*(HLOOKUP('Iron &amp; Steelmaker Tool'!$D$20,$D$1:$CL$10,ROW($A$10),)/HLOOKUP('Iron &amp; Steelmaker Tool'!$D$16,$D$1:$CL$10,ROW($A$10),))-'Iron &amp; Steelmaker Tool'!$D$18)*(J$1-'Iron &amp; Steelmaker Tool'!$D$16)/('Iron &amp; Steelmaker Tool'!$D$20-'Iron &amp; Steelmaker Tool'!$D$16)))/1000,NA())</f>
        <v>#N/A</v>
      </c>
      <c r="K87" s="56" t="e">
        <f>IFERROR(IF(K$1&lt;'Iron &amp; Steelmaker Tool'!$D$16,NA(),IF(K$1&gt;'Iron &amp; Steelmaker Tool'!$D$20,NA(),'Iron &amp; Steelmaker Tool'!$D$18+('Iron &amp; Steelmaker Tool'!$D$18*(HLOOKUP('Iron &amp; Steelmaker Tool'!$D$20,$D$1:$CL$10,ROW($A$10),)/HLOOKUP('Iron &amp; Steelmaker Tool'!$D$16,$D$1:$CL$10,ROW($A$10),))-'Iron &amp; Steelmaker Tool'!$D$18)*(K$1-'Iron &amp; Steelmaker Tool'!$D$16)/('Iron &amp; Steelmaker Tool'!$D$20-'Iron &amp; Steelmaker Tool'!$D$16)))/1000,NA())</f>
        <v>#N/A</v>
      </c>
      <c r="L87" s="56" t="e">
        <f>IFERROR(IF(L$1&lt;'Iron &amp; Steelmaker Tool'!$D$16,NA(),IF(L$1&gt;'Iron &amp; Steelmaker Tool'!$D$20,NA(),'Iron &amp; Steelmaker Tool'!$D$18+('Iron &amp; Steelmaker Tool'!$D$18*(HLOOKUP('Iron &amp; Steelmaker Tool'!$D$20,$D$1:$CL$10,ROW($A$10),)/HLOOKUP('Iron &amp; Steelmaker Tool'!$D$16,$D$1:$CL$10,ROW($A$10),))-'Iron &amp; Steelmaker Tool'!$D$18)*(L$1-'Iron &amp; Steelmaker Tool'!$D$16)/('Iron &amp; Steelmaker Tool'!$D$20-'Iron &amp; Steelmaker Tool'!$D$16)))/1000,NA())</f>
        <v>#N/A</v>
      </c>
      <c r="M87" s="56" t="e">
        <f>IFERROR(IF(M$1&lt;'Iron &amp; Steelmaker Tool'!$D$16,NA(),IF(M$1&gt;'Iron &amp; Steelmaker Tool'!$D$20,NA(),'Iron &amp; Steelmaker Tool'!$D$18+('Iron &amp; Steelmaker Tool'!$D$18*(HLOOKUP('Iron &amp; Steelmaker Tool'!$D$20,$D$1:$CL$10,ROW($A$10),)/HLOOKUP('Iron &amp; Steelmaker Tool'!$D$16,$D$1:$CL$10,ROW($A$10),))-'Iron &amp; Steelmaker Tool'!$D$18)*(M$1-'Iron &amp; Steelmaker Tool'!$D$16)/('Iron &amp; Steelmaker Tool'!$D$20-'Iron &amp; Steelmaker Tool'!$D$16)))/1000,NA())</f>
        <v>#N/A</v>
      </c>
      <c r="N87" s="56" t="e">
        <f>IFERROR(IF(N$1&lt;'Iron &amp; Steelmaker Tool'!$D$16,NA(),IF(N$1&gt;'Iron &amp; Steelmaker Tool'!$D$20,NA(),'Iron &amp; Steelmaker Tool'!$D$18+('Iron &amp; Steelmaker Tool'!$D$18*(HLOOKUP('Iron &amp; Steelmaker Tool'!$D$20,$D$1:$CL$10,ROW($A$10),)/HLOOKUP('Iron &amp; Steelmaker Tool'!$D$16,$D$1:$CL$10,ROW($A$10),))-'Iron &amp; Steelmaker Tool'!$D$18)*(N$1-'Iron &amp; Steelmaker Tool'!$D$16)/('Iron &amp; Steelmaker Tool'!$D$20-'Iron &amp; Steelmaker Tool'!$D$16)))/1000,NA())</f>
        <v>#N/A</v>
      </c>
      <c r="O87" s="56" t="e">
        <f>IFERROR(IF(O$1&lt;'Iron &amp; Steelmaker Tool'!$D$16,NA(),IF(O$1&gt;'Iron &amp; Steelmaker Tool'!$D$20,NA(),'Iron &amp; Steelmaker Tool'!$D$18+('Iron &amp; Steelmaker Tool'!$D$18*(HLOOKUP('Iron &amp; Steelmaker Tool'!$D$20,$D$1:$CL$10,ROW($A$10),)/HLOOKUP('Iron &amp; Steelmaker Tool'!$D$16,$D$1:$CL$10,ROW($A$10),))-'Iron &amp; Steelmaker Tool'!$D$18)*(O$1-'Iron &amp; Steelmaker Tool'!$D$16)/('Iron &amp; Steelmaker Tool'!$D$20-'Iron &amp; Steelmaker Tool'!$D$16)))/1000,NA())</f>
        <v>#N/A</v>
      </c>
      <c r="P87" s="56" t="e">
        <f>IFERROR(IF(P$1&lt;'Iron &amp; Steelmaker Tool'!$D$16,NA(),IF(P$1&gt;'Iron &amp; Steelmaker Tool'!$D$20,NA(),'Iron &amp; Steelmaker Tool'!$D$18+('Iron &amp; Steelmaker Tool'!$D$18*(HLOOKUP('Iron &amp; Steelmaker Tool'!$D$20,$D$1:$CL$10,ROW($A$10),)/HLOOKUP('Iron &amp; Steelmaker Tool'!$D$16,$D$1:$CL$10,ROW($A$10),))-'Iron &amp; Steelmaker Tool'!$D$18)*(P$1-'Iron &amp; Steelmaker Tool'!$D$16)/('Iron &amp; Steelmaker Tool'!$D$20-'Iron &amp; Steelmaker Tool'!$D$16)))/1000,NA())</f>
        <v>#N/A</v>
      </c>
      <c r="Q87" s="56" t="e">
        <f>IFERROR(IF(Q$1&lt;'Iron &amp; Steelmaker Tool'!$D$16,NA(),IF(Q$1&gt;'Iron &amp; Steelmaker Tool'!$D$20,NA(),'Iron &amp; Steelmaker Tool'!$D$18+('Iron &amp; Steelmaker Tool'!$D$18*(HLOOKUP('Iron &amp; Steelmaker Tool'!$D$20,$D$1:$CL$10,ROW($A$10),)/HLOOKUP('Iron &amp; Steelmaker Tool'!$D$16,$D$1:$CL$10,ROW($A$10),))-'Iron &amp; Steelmaker Tool'!$D$18)*(Q$1-'Iron &amp; Steelmaker Tool'!$D$16)/('Iron &amp; Steelmaker Tool'!$D$20-'Iron &amp; Steelmaker Tool'!$D$16)))/1000,NA())</f>
        <v>#N/A</v>
      </c>
      <c r="R87" s="56" t="e">
        <f>IFERROR(IF(R$1&lt;'Iron &amp; Steelmaker Tool'!$D$16,NA(),IF(R$1&gt;'Iron &amp; Steelmaker Tool'!$D$20,NA(),'Iron &amp; Steelmaker Tool'!$D$18+('Iron &amp; Steelmaker Tool'!$D$18*(HLOOKUP('Iron &amp; Steelmaker Tool'!$D$20,$D$1:$CL$10,ROW($A$10),)/HLOOKUP('Iron &amp; Steelmaker Tool'!$D$16,$D$1:$CL$10,ROW($A$10),))-'Iron &amp; Steelmaker Tool'!$D$18)*(R$1-'Iron &amp; Steelmaker Tool'!$D$16)/('Iron &amp; Steelmaker Tool'!$D$20-'Iron &amp; Steelmaker Tool'!$D$16)))/1000,NA())</f>
        <v>#N/A</v>
      </c>
      <c r="S87" s="56" t="e">
        <f>IFERROR(IF(S$1&lt;'Iron &amp; Steelmaker Tool'!$D$16,NA(),IF(S$1&gt;'Iron &amp; Steelmaker Tool'!$D$20,NA(),'Iron &amp; Steelmaker Tool'!$D$18+('Iron &amp; Steelmaker Tool'!$D$18*(HLOOKUP('Iron &amp; Steelmaker Tool'!$D$20,$D$1:$CL$10,ROW($A$10),)/HLOOKUP('Iron &amp; Steelmaker Tool'!$D$16,$D$1:$CL$10,ROW($A$10),))-'Iron &amp; Steelmaker Tool'!$D$18)*(S$1-'Iron &amp; Steelmaker Tool'!$D$16)/('Iron &amp; Steelmaker Tool'!$D$20-'Iron &amp; Steelmaker Tool'!$D$16)))/1000,NA())</f>
        <v>#N/A</v>
      </c>
      <c r="T87" s="56" t="e">
        <f>IFERROR(IF(T$1&lt;'Iron &amp; Steelmaker Tool'!$D$16,NA(),IF(T$1&gt;'Iron &amp; Steelmaker Tool'!$D$20,NA(),'Iron &amp; Steelmaker Tool'!$D$18+('Iron &amp; Steelmaker Tool'!$D$18*(HLOOKUP('Iron &amp; Steelmaker Tool'!$D$20,$D$1:$CL$10,ROW($A$10),)/HLOOKUP('Iron &amp; Steelmaker Tool'!$D$16,$D$1:$CL$10,ROW($A$10),))-'Iron &amp; Steelmaker Tool'!$D$18)*(T$1-'Iron &amp; Steelmaker Tool'!$D$16)/('Iron &amp; Steelmaker Tool'!$D$20-'Iron &amp; Steelmaker Tool'!$D$16)))/1000,NA())</f>
        <v>#N/A</v>
      </c>
      <c r="U87" s="56" t="e">
        <f>IFERROR(IF(U$1&lt;'Iron &amp; Steelmaker Tool'!$D$16,NA(),IF(U$1&gt;'Iron &amp; Steelmaker Tool'!$D$20,NA(),'Iron &amp; Steelmaker Tool'!$D$18+('Iron &amp; Steelmaker Tool'!$D$18*(HLOOKUP('Iron &amp; Steelmaker Tool'!$D$20,$D$1:$CL$10,ROW($A$10),)/HLOOKUP('Iron &amp; Steelmaker Tool'!$D$16,$D$1:$CL$10,ROW($A$10),))-'Iron &amp; Steelmaker Tool'!$D$18)*(U$1-'Iron &amp; Steelmaker Tool'!$D$16)/('Iron &amp; Steelmaker Tool'!$D$20-'Iron &amp; Steelmaker Tool'!$D$16)))/1000,NA())</f>
        <v>#N/A</v>
      </c>
      <c r="V87" s="56" t="e">
        <f>IFERROR(IF(V$1&lt;'Iron &amp; Steelmaker Tool'!$D$16,NA(),IF(V$1&gt;'Iron &amp; Steelmaker Tool'!$D$20,NA(),'Iron &amp; Steelmaker Tool'!$D$18+('Iron &amp; Steelmaker Tool'!$D$18*(HLOOKUP('Iron &amp; Steelmaker Tool'!$D$20,$D$1:$CL$10,ROW($A$10),)/HLOOKUP('Iron &amp; Steelmaker Tool'!$D$16,$D$1:$CL$10,ROW($A$10),))-'Iron &amp; Steelmaker Tool'!$D$18)*(V$1-'Iron &amp; Steelmaker Tool'!$D$16)/('Iron &amp; Steelmaker Tool'!$D$20-'Iron &amp; Steelmaker Tool'!$D$16)))/1000,NA())</f>
        <v>#N/A</v>
      </c>
      <c r="W87" s="56" t="e">
        <f>IFERROR(IF(W$1&lt;'Iron &amp; Steelmaker Tool'!$D$16,NA(),IF(W$1&gt;'Iron &amp; Steelmaker Tool'!$D$20,NA(),'Iron &amp; Steelmaker Tool'!$D$18+('Iron &amp; Steelmaker Tool'!$D$18*(HLOOKUP('Iron &amp; Steelmaker Tool'!$D$20,$D$1:$CL$10,ROW($A$10),)/HLOOKUP('Iron &amp; Steelmaker Tool'!$D$16,$D$1:$CL$10,ROW($A$10),))-'Iron &amp; Steelmaker Tool'!$D$18)*(W$1-'Iron &amp; Steelmaker Tool'!$D$16)/('Iron &amp; Steelmaker Tool'!$D$20-'Iron &amp; Steelmaker Tool'!$D$16)))/1000,NA())</f>
        <v>#N/A</v>
      </c>
      <c r="X87" s="56" t="e">
        <f>IFERROR(IF(X$1&lt;'Iron &amp; Steelmaker Tool'!$D$16,NA(),IF(X$1&gt;'Iron &amp; Steelmaker Tool'!$D$20,NA(),'Iron &amp; Steelmaker Tool'!$D$18+('Iron &amp; Steelmaker Tool'!$D$18*(HLOOKUP('Iron &amp; Steelmaker Tool'!$D$20,$D$1:$CL$10,ROW($A$10),)/HLOOKUP('Iron &amp; Steelmaker Tool'!$D$16,$D$1:$CL$10,ROW($A$10),))-'Iron &amp; Steelmaker Tool'!$D$18)*(X$1-'Iron &amp; Steelmaker Tool'!$D$16)/('Iron &amp; Steelmaker Tool'!$D$20-'Iron &amp; Steelmaker Tool'!$D$16)))/1000,NA())</f>
        <v>#N/A</v>
      </c>
      <c r="Y87" s="56" t="e">
        <f>IFERROR(IF(Y$1&lt;'Iron &amp; Steelmaker Tool'!$D$16,NA(),IF(Y$1&gt;'Iron &amp; Steelmaker Tool'!$D$20,NA(),'Iron &amp; Steelmaker Tool'!$D$18+('Iron &amp; Steelmaker Tool'!$D$18*(HLOOKUP('Iron &amp; Steelmaker Tool'!$D$20,$D$1:$CL$10,ROW($A$10),)/HLOOKUP('Iron &amp; Steelmaker Tool'!$D$16,$D$1:$CL$10,ROW($A$10),))-'Iron &amp; Steelmaker Tool'!$D$18)*(Y$1-'Iron &amp; Steelmaker Tool'!$D$16)/('Iron &amp; Steelmaker Tool'!$D$20-'Iron &amp; Steelmaker Tool'!$D$16)))/1000,NA())</f>
        <v>#N/A</v>
      </c>
      <c r="Z87" s="56" t="e">
        <f>IFERROR(IF(Z$1&lt;'Iron &amp; Steelmaker Tool'!$D$16,NA(),IF(Z$1&gt;'Iron &amp; Steelmaker Tool'!$D$20,NA(),'Iron &amp; Steelmaker Tool'!$D$18+('Iron &amp; Steelmaker Tool'!$D$18*(HLOOKUP('Iron &amp; Steelmaker Tool'!$D$20,$D$1:$CL$10,ROW($A$10),)/HLOOKUP('Iron &amp; Steelmaker Tool'!$D$16,$D$1:$CL$10,ROW($A$10),))-'Iron &amp; Steelmaker Tool'!$D$18)*(Z$1-'Iron &amp; Steelmaker Tool'!$D$16)/('Iron &amp; Steelmaker Tool'!$D$20-'Iron &amp; Steelmaker Tool'!$D$16)))/1000,NA())</f>
        <v>#N/A</v>
      </c>
      <c r="AA87" s="56" t="e">
        <f>IFERROR(IF(AA$1&lt;'Iron &amp; Steelmaker Tool'!$D$16,NA(),IF(AA$1&gt;'Iron &amp; Steelmaker Tool'!$D$20,NA(),'Iron &amp; Steelmaker Tool'!$D$18+('Iron &amp; Steelmaker Tool'!$D$18*(HLOOKUP('Iron &amp; Steelmaker Tool'!$D$20,$D$1:$CL$10,ROW($A$10),)/HLOOKUP('Iron &amp; Steelmaker Tool'!$D$16,$D$1:$CL$10,ROW($A$10),))-'Iron &amp; Steelmaker Tool'!$D$18)*(AA$1-'Iron &amp; Steelmaker Tool'!$D$16)/('Iron &amp; Steelmaker Tool'!$D$20-'Iron &amp; Steelmaker Tool'!$D$16)))/1000,NA())</f>
        <v>#N/A</v>
      </c>
      <c r="AB87" s="56" t="e">
        <f>IFERROR(IF(AB$1&lt;'Iron &amp; Steelmaker Tool'!$D$16,NA(),IF(AB$1&gt;'Iron &amp; Steelmaker Tool'!$D$20,NA(),'Iron &amp; Steelmaker Tool'!$D$18+('Iron &amp; Steelmaker Tool'!$D$18*(HLOOKUP('Iron &amp; Steelmaker Tool'!$D$20,$D$1:$CL$10,ROW($A$10),)/HLOOKUP('Iron &amp; Steelmaker Tool'!$D$16,$D$1:$CL$10,ROW($A$10),))-'Iron &amp; Steelmaker Tool'!$D$18)*(AB$1-'Iron &amp; Steelmaker Tool'!$D$16)/('Iron &amp; Steelmaker Tool'!$D$20-'Iron &amp; Steelmaker Tool'!$D$16)))/1000,NA())</f>
        <v>#N/A</v>
      </c>
      <c r="AC87" s="56" t="e">
        <f>IFERROR(IF(AC$1&lt;'Iron &amp; Steelmaker Tool'!$D$16,NA(),IF(AC$1&gt;'Iron &amp; Steelmaker Tool'!$D$20,NA(),'Iron &amp; Steelmaker Tool'!$D$18+('Iron &amp; Steelmaker Tool'!$D$18*(HLOOKUP('Iron &amp; Steelmaker Tool'!$D$20,$D$1:$CL$10,ROW($A$10),)/HLOOKUP('Iron &amp; Steelmaker Tool'!$D$16,$D$1:$CL$10,ROW($A$10),))-'Iron &amp; Steelmaker Tool'!$D$18)*(AC$1-'Iron &amp; Steelmaker Tool'!$D$16)/('Iron &amp; Steelmaker Tool'!$D$20-'Iron &amp; Steelmaker Tool'!$D$16)))/1000,NA())</f>
        <v>#N/A</v>
      </c>
      <c r="AD87" s="56" t="e">
        <f>IFERROR(IF(AD$1&lt;'Iron &amp; Steelmaker Tool'!$D$16,NA(),IF(AD$1&gt;'Iron &amp; Steelmaker Tool'!$D$20,NA(),'Iron &amp; Steelmaker Tool'!$D$18+('Iron &amp; Steelmaker Tool'!$D$18*(HLOOKUP('Iron &amp; Steelmaker Tool'!$D$20,$D$1:$CL$10,ROW($A$10),)/HLOOKUP('Iron &amp; Steelmaker Tool'!$D$16,$D$1:$CL$10,ROW($A$10),))-'Iron &amp; Steelmaker Tool'!$D$18)*(AD$1-'Iron &amp; Steelmaker Tool'!$D$16)/('Iron &amp; Steelmaker Tool'!$D$20-'Iron &amp; Steelmaker Tool'!$D$16)))/1000,NA())</f>
        <v>#N/A</v>
      </c>
      <c r="AE87" s="56" t="e">
        <f>IFERROR(IF(AE$1&lt;'Iron &amp; Steelmaker Tool'!$D$16,NA(),IF(AE$1&gt;'Iron &amp; Steelmaker Tool'!$D$20,NA(),'Iron &amp; Steelmaker Tool'!$D$18+('Iron &amp; Steelmaker Tool'!$D$18*(HLOOKUP('Iron &amp; Steelmaker Tool'!$D$20,$D$1:$CL$10,ROW($A$10),)/HLOOKUP('Iron &amp; Steelmaker Tool'!$D$16,$D$1:$CL$10,ROW($A$10),))-'Iron &amp; Steelmaker Tool'!$D$18)*(AE$1-'Iron &amp; Steelmaker Tool'!$D$16)/('Iron &amp; Steelmaker Tool'!$D$20-'Iron &amp; Steelmaker Tool'!$D$16)))/1000,NA())</f>
        <v>#N/A</v>
      </c>
      <c r="AF87" s="56" t="e">
        <f>IFERROR(IF(AF$1&lt;'Iron &amp; Steelmaker Tool'!$D$16,NA(),IF(AF$1&gt;'Iron &amp; Steelmaker Tool'!$D$20,NA(),'Iron &amp; Steelmaker Tool'!$D$18+('Iron &amp; Steelmaker Tool'!$D$18*(HLOOKUP('Iron &amp; Steelmaker Tool'!$D$20,$D$1:$CL$10,ROW($A$10),)/HLOOKUP('Iron &amp; Steelmaker Tool'!$D$16,$D$1:$CL$10,ROW($A$10),))-'Iron &amp; Steelmaker Tool'!$D$18)*(AF$1-'Iron &amp; Steelmaker Tool'!$D$16)/('Iron &amp; Steelmaker Tool'!$D$20-'Iron &amp; Steelmaker Tool'!$D$16)))/1000,NA())</f>
        <v>#N/A</v>
      </c>
      <c r="AG87" s="56" t="e">
        <f>IFERROR(IF(AG$1&lt;'Iron &amp; Steelmaker Tool'!$D$16,NA(),IF(AG$1&gt;'Iron &amp; Steelmaker Tool'!$D$20,NA(),'Iron &amp; Steelmaker Tool'!$D$18+('Iron &amp; Steelmaker Tool'!$D$18*(HLOOKUP('Iron &amp; Steelmaker Tool'!$D$20,$D$1:$CL$10,ROW($A$10),)/HLOOKUP('Iron &amp; Steelmaker Tool'!$D$16,$D$1:$CL$10,ROW($A$10),))-'Iron &amp; Steelmaker Tool'!$D$18)*(AG$1-'Iron &amp; Steelmaker Tool'!$D$16)/('Iron &amp; Steelmaker Tool'!$D$20-'Iron &amp; Steelmaker Tool'!$D$16)))/1000,NA())</f>
        <v>#N/A</v>
      </c>
      <c r="AH87" s="56" t="e">
        <f>IFERROR(IF(AH$1&lt;'Iron &amp; Steelmaker Tool'!$D$16,NA(),IF(AH$1&gt;'Iron &amp; Steelmaker Tool'!$D$20,NA(),'Iron &amp; Steelmaker Tool'!$D$18+('Iron &amp; Steelmaker Tool'!$D$18*(HLOOKUP('Iron &amp; Steelmaker Tool'!$D$20,$D$1:$CL$10,ROW($A$10),)/HLOOKUP('Iron &amp; Steelmaker Tool'!$D$16,$D$1:$CL$10,ROW($A$10),))-'Iron &amp; Steelmaker Tool'!$D$18)*(AH$1-'Iron &amp; Steelmaker Tool'!$D$16)/('Iron &amp; Steelmaker Tool'!$D$20-'Iron &amp; Steelmaker Tool'!$D$16)))/1000,NA())</f>
        <v>#N/A</v>
      </c>
      <c r="AI87" s="56" t="e">
        <f>IFERROR(IF(AI$1&lt;'Iron &amp; Steelmaker Tool'!$D$16,NA(),IF(AI$1&gt;'Iron &amp; Steelmaker Tool'!$D$20,NA(),'Iron &amp; Steelmaker Tool'!$D$18+('Iron &amp; Steelmaker Tool'!$D$18*(HLOOKUP('Iron &amp; Steelmaker Tool'!$D$20,$D$1:$CL$10,ROW($A$10),)/HLOOKUP('Iron &amp; Steelmaker Tool'!$D$16,$D$1:$CL$10,ROW($A$10),))-'Iron &amp; Steelmaker Tool'!$D$18)*(AI$1-'Iron &amp; Steelmaker Tool'!$D$16)/('Iron &amp; Steelmaker Tool'!$D$20-'Iron &amp; Steelmaker Tool'!$D$16)))/1000,NA())</f>
        <v>#N/A</v>
      </c>
      <c r="AJ87" s="56" t="e">
        <f>IFERROR(IF(AJ$1&lt;'Iron &amp; Steelmaker Tool'!$D$16,NA(),IF(AJ$1&gt;'Iron &amp; Steelmaker Tool'!$D$20,NA(),'Iron &amp; Steelmaker Tool'!$D$18+('Iron &amp; Steelmaker Tool'!$D$18*(HLOOKUP('Iron &amp; Steelmaker Tool'!$D$20,$D$1:$CL$10,ROW($A$10),)/HLOOKUP('Iron &amp; Steelmaker Tool'!$D$16,$D$1:$CL$10,ROW($A$10),))-'Iron &amp; Steelmaker Tool'!$D$18)*(AJ$1-'Iron &amp; Steelmaker Tool'!$D$16)/('Iron &amp; Steelmaker Tool'!$D$20-'Iron &amp; Steelmaker Tool'!$D$16)))/1000,NA())</f>
        <v>#N/A</v>
      </c>
      <c r="AK87" s="56" t="e">
        <f>IFERROR(IF(AK$1&lt;'Iron &amp; Steelmaker Tool'!$D$16,NA(),IF(AK$1&gt;'Iron &amp; Steelmaker Tool'!$D$20,NA(),'Iron &amp; Steelmaker Tool'!$D$18+('Iron &amp; Steelmaker Tool'!$D$18*(HLOOKUP('Iron &amp; Steelmaker Tool'!$D$20,$D$1:$CL$10,ROW($A$10),)/HLOOKUP('Iron &amp; Steelmaker Tool'!$D$16,$D$1:$CL$10,ROW($A$10),))-'Iron &amp; Steelmaker Tool'!$D$18)*(AK$1-'Iron &amp; Steelmaker Tool'!$D$16)/('Iron &amp; Steelmaker Tool'!$D$20-'Iron &amp; Steelmaker Tool'!$D$16)))/1000,NA())</f>
        <v>#N/A</v>
      </c>
      <c r="AL87" s="56" t="e">
        <f>IFERROR(IF(AL$1&lt;'Iron &amp; Steelmaker Tool'!$D$16,NA(),IF(AL$1&gt;'Iron &amp; Steelmaker Tool'!$D$20,NA(),'Iron &amp; Steelmaker Tool'!$D$18+('Iron &amp; Steelmaker Tool'!$D$18*(HLOOKUP('Iron &amp; Steelmaker Tool'!$D$20,$D$1:$CL$10,ROW($A$10),)/HLOOKUP('Iron &amp; Steelmaker Tool'!$D$16,$D$1:$CL$10,ROW($A$10),))-'Iron &amp; Steelmaker Tool'!$D$18)*(AL$1-'Iron &amp; Steelmaker Tool'!$D$16)/('Iron &amp; Steelmaker Tool'!$D$20-'Iron &amp; Steelmaker Tool'!$D$16)))/1000,NA())</f>
        <v>#N/A</v>
      </c>
      <c r="AM87" s="56" t="e">
        <f>IFERROR(IF(AM$1&lt;'Iron &amp; Steelmaker Tool'!$D$16,NA(),IF(AM$1&gt;'Iron &amp; Steelmaker Tool'!$D$20,NA(),'Iron &amp; Steelmaker Tool'!$D$18+('Iron &amp; Steelmaker Tool'!$D$18*(HLOOKUP('Iron &amp; Steelmaker Tool'!$D$20,$D$1:$CL$10,ROW($A$10),)/HLOOKUP('Iron &amp; Steelmaker Tool'!$D$16,$D$1:$CL$10,ROW($A$10),))-'Iron &amp; Steelmaker Tool'!$D$18)*(AM$1-'Iron &amp; Steelmaker Tool'!$D$16)/('Iron &amp; Steelmaker Tool'!$D$20-'Iron &amp; Steelmaker Tool'!$D$16)))/1000,NA())</f>
        <v>#N/A</v>
      </c>
      <c r="AN87" s="56" t="e">
        <f>IFERROR(IF(AN$1&lt;'Iron &amp; Steelmaker Tool'!$D$16,NA(),IF(AN$1&gt;'Iron &amp; Steelmaker Tool'!$D$20,NA(),'Iron &amp; Steelmaker Tool'!$D$18+('Iron &amp; Steelmaker Tool'!$D$18*(HLOOKUP('Iron &amp; Steelmaker Tool'!$D$20,$D$1:$CL$10,ROW($A$10),)/HLOOKUP('Iron &amp; Steelmaker Tool'!$D$16,$D$1:$CL$10,ROW($A$10),))-'Iron &amp; Steelmaker Tool'!$D$18)*(AN$1-'Iron &amp; Steelmaker Tool'!$D$16)/('Iron &amp; Steelmaker Tool'!$D$20-'Iron &amp; Steelmaker Tool'!$D$16)))/1000,NA())</f>
        <v>#N/A</v>
      </c>
      <c r="AO87" s="56" t="e">
        <f>IFERROR(IF(AO$1&lt;'Iron &amp; Steelmaker Tool'!$D$16,NA(),IF(AO$1&gt;'Iron &amp; Steelmaker Tool'!$D$20,NA(),'Iron &amp; Steelmaker Tool'!$D$18+('Iron &amp; Steelmaker Tool'!$D$18*(HLOOKUP('Iron &amp; Steelmaker Tool'!$D$20,$D$1:$CL$10,ROW($A$10),)/HLOOKUP('Iron &amp; Steelmaker Tool'!$D$16,$D$1:$CL$10,ROW($A$10),))-'Iron &amp; Steelmaker Tool'!$D$18)*(AO$1-'Iron &amp; Steelmaker Tool'!$D$16)/('Iron &amp; Steelmaker Tool'!$D$20-'Iron &amp; Steelmaker Tool'!$D$16)))/1000,NA())</f>
        <v>#N/A</v>
      </c>
      <c r="AP87" s="56" t="e">
        <f>IFERROR(IF(AP$1&lt;'Iron &amp; Steelmaker Tool'!$D$16,NA(),IF(AP$1&gt;'Iron &amp; Steelmaker Tool'!$D$20,NA(),'Iron &amp; Steelmaker Tool'!$D$18+('Iron &amp; Steelmaker Tool'!$D$18*(HLOOKUP('Iron &amp; Steelmaker Tool'!$D$20,$D$1:$CL$10,ROW($A$10),)/HLOOKUP('Iron &amp; Steelmaker Tool'!$D$16,$D$1:$CL$10,ROW($A$10),))-'Iron &amp; Steelmaker Tool'!$D$18)*(AP$1-'Iron &amp; Steelmaker Tool'!$D$16)/('Iron &amp; Steelmaker Tool'!$D$20-'Iron &amp; Steelmaker Tool'!$D$16)))/1000,NA())</f>
        <v>#N/A</v>
      </c>
      <c r="AQ87" s="56" t="e">
        <f>IFERROR(IF(AQ$1&lt;'Iron &amp; Steelmaker Tool'!$D$16,NA(),IF(AQ$1&gt;'Iron &amp; Steelmaker Tool'!$D$20,NA(),'Iron &amp; Steelmaker Tool'!$D$18+('Iron &amp; Steelmaker Tool'!$D$18*(HLOOKUP('Iron &amp; Steelmaker Tool'!$D$20,$D$1:$CL$10,ROW($A$10),)/HLOOKUP('Iron &amp; Steelmaker Tool'!$D$16,$D$1:$CL$10,ROW($A$10),))-'Iron &amp; Steelmaker Tool'!$D$18)*(AQ$1-'Iron &amp; Steelmaker Tool'!$D$16)/('Iron &amp; Steelmaker Tool'!$D$20-'Iron &amp; Steelmaker Tool'!$D$16)))/1000,NA())</f>
        <v>#N/A</v>
      </c>
      <c r="AR87" s="56" t="e">
        <f>IFERROR(IF(AR$1&lt;'Iron &amp; Steelmaker Tool'!$D$16,NA(),IF(AR$1&gt;'Iron &amp; Steelmaker Tool'!$D$20,NA(),'Iron &amp; Steelmaker Tool'!$D$18+('Iron &amp; Steelmaker Tool'!$D$18*(HLOOKUP('Iron &amp; Steelmaker Tool'!$D$20,$D$1:$CL$10,ROW($A$10),)/HLOOKUP('Iron &amp; Steelmaker Tool'!$D$16,$D$1:$CL$10,ROW($A$10),))-'Iron &amp; Steelmaker Tool'!$D$18)*(AR$1-'Iron &amp; Steelmaker Tool'!$D$16)/('Iron &amp; Steelmaker Tool'!$D$20-'Iron &amp; Steelmaker Tool'!$D$16)))/1000,NA())</f>
        <v>#N/A</v>
      </c>
      <c r="AS87" s="56" t="e">
        <f>IFERROR(IF(AS$1&lt;'Iron &amp; Steelmaker Tool'!$D$16,NA(),IF(AS$1&gt;'Iron &amp; Steelmaker Tool'!$D$20,NA(),'Iron &amp; Steelmaker Tool'!$D$18+('Iron &amp; Steelmaker Tool'!$D$18*(HLOOKUP('Iron &amp; Steelmaker Tool'!$D$20,$D$1:$CL$10,ROW($A$10),)/HLOOKUP('Iron &amp; Steelmaker Tool'!$D$16,$D$1:$CL$10,ROW($A$10),))-'Iron &amp; Steelmaker Tool'!$D$18)*(AS$1-'Iron &amp; Steelmaker Tool'!$D$16)/('Iron &amp; Steelmaker Tool'!$D$20-'Iron &amp; Steelmaker Tool'!$D$16)))/1000,NA())</f>
        <v>#N/A</v>
      </c>
      <c r="AT87" s="56" t="e">
        <f>IFERROR(IF(AT$1&lt;'Iron &amp; Steelmaker Tool'!$D$16,NA(),IF(AT$1&gt;'Iron &amp; Steelmaker Tool'!$D$20,NA(),'Iron &amp; Steelmaker Tool'!$D$18+('Iron &amp; Steelmaker Tool'!$D$18*(HLOOKUP('Iron &amp; Steelmaker Tool'!$D$20,$D$1:$CL$10,ROW($A$10),)/HLOOKUP('Iron &amp; Steelmaker Tool'!$D$16,$D$1:$CL$10,ROW($A$10),))-'Iron &amp; Steelmaker Tool'!$D$18)*(AT$1-'Iron &amp; Steelmaker Tool'!$D$16)/('Iron &amp; Steelmaker Tool'!$D$20-'Iron &amp; Steelmaker Tool'!$D$16)))/1000,NA())</f>
        <v>#N/A</v>
      </c>
      <c r="AU87" s="56" t="e">
        <f>IFERROR(IF(AU$1&lt;'Iron &amp; Steelmaker Tool'!$D$16,NA(),IF(AU$1&gt;'Iron &amp; Steelmaker Tool'!$D$20,NA(),'Iron &amp; Steelmaker Tool'!$D$18+('Iron &amp; Steelmaker Tool'!$D$18*(HLOOKUP('Iron &amp; Steelmaker Tool'!$D$20,$D$1:$CL$10,ROW($A$10),)/HLOOKUP('Iron &amp; Steelmaker Tool'!$D$16,$D$1:$CL$10,ROW($A$10),))-'Iron &amp; Steelmaker Tool'!$D$18)*(AU$1-'Iron &amp; Steelmaker Tool'!$D$16)/('Iron &amp; Steelmaker Tool'!$D$20-'Iron &amp; Steelmaker Tool'!$D$16)))/1000,NA())</f>
        <v>#N/A</v>
      </c>
      <c r="AV87" s="56" t="e">
        <f>IFERROR(IF(AV$1&lt;'Iron &amp; Steelmaker Tool'!$D$16,NA(),IF(AV$1&gt;'Iron &amp; Steelmaker Tool'!$D$20,NA(),'Iron &amp; Steelmaker Tool'!$D$18+('Iron &amp; Steelmaker Tool'!$D$18*(HLOOKUP('Iron &amp; Steelmaker Tool'!$D$20,$D$1:$CL$10,ROW($A$10),)/HLOOKUP('Iron &amp; Steelmaker Tool'!$D$16,$D$1:$CL$10,ROW($A$10),))-'Iron &amp; Steelmaker Tool'!$D$18)*(AV$1-'Iron &amp; Steelmaker Tool'!$D$16)/('Iron &amp; Steelmaker Tool'!$D$20-'Iron &amp; Steelmaker Tool'!$D$16)))/1000,NA())</f>
        <v>#N/A</v>
      </c>
      <c r="AW87" s="56" t="e">
        <f>IFERROR(IF(AW$1&lt;'Iron &amp; Steelmaker Tool'!$D$16,NA(),IF(AW$1&gt;'Iron &amp; Steelmaker Tool'!$D$20,NA(),'Iron &amp; Steelmaker Tool'!$D$18+('Iron &amp; Steelmaker Tool'!$D$18*(HLOOKUP('Iron &amp; Steelmaker Tool'!$D$20,$D$1:$CL$10,ROW($A$10),)/HLOOKUP('Iron &amp; Steelmaker Tool'!$D$16,$D$1:$CL$10,ROW($A$10),))-'Iron &amp; Steelmaker Tool'!$D$18)*(AW$1-'Iron &amp; Steelmaker Tool'!$D$16)/('Iron &amp; Steelmaker Tool'!$D$20-'Iron &amp; Steelmaker Tool'!$D$16)))/1000,NA())</f>
        <v>#N/A</v>
      </c>
      <c r="AX87" s="56" t="e">
        <f>IFERROR(IF(AX$1&lt;'Iron &amp; Steelmaker Tool'!$D$16,NA(),IF(AX$1&gt;'Iron &amp; Steelmaker Tool'!$D$20,NA(),'Iron &amp; Steelmaker Tool'!$D$18+('Iron &amp; Steelmaker Tool'!$D$18*(HLOOKUP('Iron &amp; Steelmaker Tool'!$D$20,$D$1:$CL$10,ROW($A$10),)/HLOOKUP('Iron &amp; Steelmaker Tool'!$D$16,$D$1:$CL$10,ROW($A$10),))-'Iron &amp; Steelmaker Tool'!$D$18)*(AX$1-'Iron &amp; Steelmaker Tool'!$D$16)/('Iron &amp; Steelmaker Tool'!$D$20-'Iron &amp; Steelmaker Tool'!$D$16)))/1000,NA())</f>
        <v>#N/A</v>
      </c>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row>
    <row r="88" spans="1:91" s="43" customFormat="1" hidden="1" x14ac:dyDescent="0.15">
      <c r="A88" s="43" t="s">
        <v>51</v>
      </c>
      <c r="B88" s="43" t="str">
        <f>"Scope 2 emissions ("&amp;C88&amp;")"</f>
        <v>Scope 2 emissions (MtCO2)</v>
      </c>
      <c r="C88" s="43" t="s">
        <v>25</v>
      </c>
      <c r="D88" s="56" t="e">
        <f>IFERROR(IF(D$1&lt;'Iron &amp; Steelmaker Tool'!$D$16,NA(),IF(D$1&gt;'Iron &amp; Steelmaker Tool'!$D$20,NA(),'Iron &amp; Steelmaker Tool'!$D$19+('Iron &amp; Steelmaker Tool'!$D$19*(HLOOKUP('Iron &amp; Steelmaker Tool'!$D$20,$D$1:$CL$11,ROW($A$11),)/HLOOKUP('Iron &amp; Steelmaker Tool'!$D$16,$D$1:$CL$11,ROW($A$11),))-'Iron &amp; Steelmaker Tool'!$D$19)*(D$1-'Iron &amp; Steelmaker Tool'!$D$16)/('Iron &amp; Steelmaker Tool'!$D$20-'Iron &amp; Steelmaker Tool'!$D$16)))/1000,NA())</f>
        <v>#N/A</v>
      </c>
      <c r="E88" s="56" t="e">
        <f>IFERROR(IF(E$1&lt;'Iron &amp; Steelmaker Tool'!$D$16,NA(),IF(E$1&gt;'Iron &amp; Steelmaker Tool'!$D$20,NA(),'Iron &amp; Steelmaker Tool'!$D$19+('Iron &amp; Steelmaker Tool'!$D$19*(HLOOKUP('Iron &amp; Steelmaker Tool'!$D$20,$D$1:$CL$11,ROW($A$11),)/HLOOKUP('Iron &amp; Steelmaker Tool'!$D$16,$D$1:$CL$11,ROW($A$11),))-'Iron &amp; Steelmaker Tool'!$D$19)*(E$1-'Iron &amp; Steelmaker Tool'!$D$16)/('Iron &amp; Steelmaker Tool'!$D$20-'Iron &amp; Steelmaker Tool'!$D$16)))/1000,NA())</f>
        <v>#N/A</v>
      </c>
      <c r="F88" s="56" t="e">
        <f>IFERROR(IF(F$1&lt;'Iron &amp; Steelmaker Tool'!$D$16,NA(),IF(F$1&gt;'Iron &amp; Steelmaker Tool'!$D$20,NA(),'Iron &amp; Steelmaker Tool'!$D$19+('Iron &amp; Steelmaker Tool'!$D$19*(HLOOKUP('Iron &amp; Steelmaker Tool'!$D$20,$D$1:$CL$11,ROW($A$11),)/HLOOKUP('Iron &amp; Steelmaker Tool'!$D$16,$D$1:$CL$11,ROW($A$11),))-'Iron &amp; Steelmaker Tool'!$D$19)*(F$1-'Iron &amp; Steelmaker Tool'!$D$16)/('Iron &amp; Steelmaker Tool'!$D$20-'Iron &amp; Steelmaker Tool'!$D$16)))/1000,NA())</f>
        <v>#N/A</v>
      </c>
      <c r="G88" s="56" t="e">
        <f>IFERROR(IF(G$1&lt;'Iron &amp; Steelmaker Tool'!$D$16,NA(),IF(G$1&gt;'Iron &amp; Steelmaker Tool'!$D$20,NA(),'Iron &amp; Steelmaker Tool'!$D$19+('Iron &amp; Steelmaker Tool'!$D$19*(HLOOKUP('Iron &amp; Steelmaker Tool'!$D$20,$D$1:$CL$11,ROW($A$11),)/HLOOKUP('Iron &amp; Steelmaker Tool'!$D$16,$D$1:$CL$11,ROW($A$11),))-'Iron &amp; Steelmaker Tool'!$D$19)*(G$1-'Iron &amp; Steelmaker Tool'!$D$16)/('Iron &amp; Steelmaker Tool'!$D$20-'Iron &amp; Steelmaker Tool'!$D$16)))/1000,NA())</f>
        <v>#N/A</v>
      </c>
      <c r="H88" s="56" t="e">
        <f>IFERROR(IF(H$1&lt;'Iron &amp; Steelmaker Tool'!$D$16,NA(),IF(H$1&gt;'Iron &amp; Steelmaker Tool'!$D$20,NA(),'Iron &amp; Steelmaker Tool'!$D$19+('Iron &amp; Steelmaker Tool'!$D$19*(HLOOKUP('Iron &amp; Steelmaker Tool'!$D$20,$D$1:$CL$11,ROW($A$11),)/HLOOKUP('Iron &amp; Steelmaker Tool'!$D$16,$D$1:$CL$11,ROW($A$11),))-'Iron &amp; Steelmaker Tool'!$D$19)*(H$1-'Iron &amp; Steelmaker Tool'!$D$16)/('Iron &amp; Steelmaker Tool'!$D$20-'Iron &amp; Steelmaker Tool'!$D$16)))/1000,NA())</f>
        <v>#N/A</v>
      </c>
      <c r="I88" s="56" t="e">
        <f>IFERROR(IF(I$1&lt;'Iron &amp; Steelmaker Tool'!$D$16,NA(),IF(I$1&gt;'Iron &amp; Steelmaker Tool'!$D$20,NA(),'Iron &amp; Steelmaker Tool'!$D$19+('Iron &amp; Steelmaker Tool'!$D$19*(HLOOKUP('Iron &amp; Steelmaker Tool'!$D$20,$D$1:$CL$11,ROW($A$11),)/HLOOKUP('Iron &amp; Steelmaker Tool'!$D$16,$D$1:$CL$11,ROW($A$11),))-'Iron &amp; Steelmaker Tool'!$D$19)*(I$1-'Iron &amp; Steelmaker Tool'!$D$16)/('Iron &amp; Steelmaker Tool'!$D$20-'Iron &amp; Steelmaker Tool'!$D$16)))/1000,NA())</f>
        <v>#N/A</v>
      </c>
      <c r="J88" s="56" t="e">
        <f>IFERROR(IF(J$1&lt;'Iron &amp; Steelmaker Tool'!$D$16,NA(),IF(J$1&gt;'Iron &amp; Steelmaker Tool'!$D$20,NA(),'Iron &amp; Steelmaker Tool'!$D$19+('Iron &amp; Steelmaker Tool'!$D$19*(HLOOKUP('Iron &amp; Steelmaker Tool'!$D$20,$D$1:$CL$11,ROW($A$11),)/HLOOKUP('Iron &amp; Steelmaker Tool'!$D$16,$D$1:$CL$11,ROW($A$11),))-'Iron &amp; Steelmaker Tool'!$D$19)*(J$1-'Iron &amp; Steelmaker Tool'!$D$16)/('Iron &amp; Steelmaker Tool'!$D$20-'Iron &amp; Steelmaker Tool'!$D$16)))/1000,NA())</f>
        <v>#N/A</v>
      </c>
      <c r="K88" s="56" t="e">
        <f>IFERROR(IF(K$1&lt;'Iron &amp; Steelmaker Tool'!$D$16,NA(),IF(K$1&gt;'Iron &amp; Steelmaker Tool'!$D$20,NA(),'Iron &amp; Steelmaker Tool'!$D$19+('Iron &amp; Steelmaker Tool'!$D$19*(HLOOKUP('Iron &amp; Steelmaker Tool'!$D$20,$D$1:$CL$11,ROW($A$11),)/HLOOKUP('Iron &amp; Steelmaker Tool'!$D$16,$D$1:$CL$11,ROW($A$11),))-'Iron &amp; Steelmaker Tool'!$D$19)*(K$1-'Iron &amp; Steelmaker Tool'!$D$16)/('Iron &amp; Steelmaker Tool'!$D$20-'Iron &amp; Steelmaker Tool'!$D$16)))/1000,NA())</f>
        <v>#N/A</v>
      </c>
      <c r="L88" s="56" t="e">
        <f>IFERROR(IF(L$1&lt;'Iron &amp; Steelmaker Tool'!$D$16,NA(),IF(L$1&gt;'Iron &amp; Steelmaker Tool'!$D$20,NA(),'Iron &amp; Steelmaker Tool'!$D$19+('Iron &amp; Steelmaker Tool'!$D$19*(HLOOKUP('Iron &amp; Steelmaker Tool'!$D$20,$D$1:$CL$11,ROW($A$11),)/HLOOKUP('Iron &amp; Steelmaker Tool'!$D$16,$D$1:$CL$11,ROW($A$11),))-'Iron &amp; Steelmaker Tool'!$D$19)*(L$1-'Iron &amp; Steelmaker Tool'!$D$16)/('Iron &amp; Steelmaker Tool'!$D$20-'Iron &amp; Steelmaker Tool'!$D$16)))/1000,NA())</f>
        <v>#N/A</v>
      </c>
      <c r="M88" s="56" t="e">
        <f>IFERROR(IF(M$1&lt;'Iron &amp; Steelmaker Tool'!$D$16,NA(),IF(M$1&gt;'Iron &amp; Steelmaker Tool'!$D$20,NA(),'Iron &amp; Steelmaker Tool'!$D$19+('Iron &amp; Steelmaker Tool'!$D$19*(HLOOKUP('Iron &amp; Steelmaker Tool'!$D$20,$D$1:$CL$11,ROW($A$11),)/HLOOKUP('Iron &amp; Steelmaker Tool'!$D$16,$D$1:$CL$11,ROW($A$11),))-'Iron &amp; Steelmaker Tool'!$D$19)*(M$1-'Iron &amp; Steelmaker Tool'!$D$16)/('Iron &amp; Steelmaker Tool'!$D$20-'Iron &amp; Steelmaker Tool'!$D$16)))/1000,NA())</f>
        <v>#N/A</v>
      </c>
      <c r="N88" s="56" t="e">
        <f>IFERROR(IF(N$1&lt;'Iron &amp; Steelmaker Tool'!$D$16,NA(),IF(N$1&gt;'Iron &amp; Steelmaker Tool'!$D$20,NA(),'Iron &amp; Steelmaker Tool'!$D$19+('Iron &amp; Steelmaker Tool'!$D$19*(HLOOKUP('Iron &amp; Steelmaker Tool'!$D$20,$D$1:$CL$11,ROW($A$11),)/HLOOKUP('Iron &amp; Steelmaker Tool'!$D$16,$D$1:$CL$11,ROW($A$11),))-'Iron &amp; Steelmaker Tool'!$D$19)*(N$1-'Iron &amp; Steelmaker Tool'!$D$16)/('Iron &amp; Steelmaker Tool'!$D$20-'Iron &amp; Steelmaker Tool'!$D$16)))/1000,NA())</f>
        <v>#N/A</v>
      </c>
      <c r="O88" s="56" t="e">
        <f>IFERROR(IF(O$1&lt;'Iron &amp; Steelmaker Tool'!$D$16,NA(),IF(O$1&gt;'Iron &amp; Steelmaker Tool'!$D$20,NA(),'Iron &amp; Steelmaker Tool'!$D$19+('Iron &amp; Steelmaker Tool'!$D$19*(HLOOKUP('Iron &amp; Steelmaker Tool'!$D$20,$D$1:$CL$11,ROW($A$11),)/HLOOKUP('Iron &amp; Steelmaker Tool'!$D$16,$D$1:$CL$11,ROW($A$11),))-'Iron &amp; Steelmaker Tool'!$D$19)*(O$1-'Iron &amp; Steelmaker Tool'!$D$16)/('Iron &amp; Steelmaker Tool'!$D$20-'Iron &amp; Steelmaker Tool'!$D$16)))/1000,NA())</f>
        <v>#N/A</v>
      </c>
      <c r="P88" s="56" t="e">
        <f>IFERROR(IF(P$1&lt;'Iron &amp; Steelmaker Tool'!$D$16,NA(),IF(P$1&gt;'Iron &amp; Steelmaker Tool'!$D$20,NA(),'Iron &amp; Steelmaker Tool'!$D$19+('Iron &amp; Steelmaker Tool'!$D$19*(HLOOKUP('Iron &amp; Steelmaker Tool'!$D$20,$D$1:$CL$11,ROW($A$11),)/HLOOKUP('Iron &amp; Steelmaker Tool'!$D$16,$D$1:$CL$11,ROW($A$11),))-'Iron &amp; Steelmaker Tool'!$D$19)*(P$1-'Iron &amp; Steelmaker Tool'!$D$16)/('Iron &amp; Steelmaker Tool'!$D$20-'Iron &amp; Steelmaker Tool'!$D$16)))/1000,NA())</f>
        <v>#N/A</v>
      </c>
      <c r="Q88" s="56" t="e">
        <f>IFERROR(IF(Q$1&lt;'Iron &amp; Steelmaker Tool'!$D$16,NA(),IF(Q$1&gt;'Iron &amp; Steelmaker Tool'!$D$20,NA(),'Iron &amp; Steelmaker Tool'!$D$19+('Iron &amp; Steelmaker Tool'!$D$19*(HLOOKUP('Iron &amp; Steelmaker Tool'!$D$20,$D$1:$CL$11,ROW($A$11),)/HLOOKUP('Iron &amp; Steelmaker Tool'!$D$16,$D$1:$CL$11,ROW($A$11),))-'Iron &amp; Steelmaker Tool'!$D$19)*(Q$1-'Iron &amp; Steelmaker Tool'!$D$16)/('Iron &amp; Steelmaker Tool'!$D$20-'Iron &amp; Steelmaker Tool'!$D$16)))/1000,NA())</f>
        <v>#N/A</v>
      </c>
      <c r="R88" s="56" t="e">
        <f>IFERROR(IF(R$1&lt;'Iron &amp; Steelmaker Tool'!$D$16,NA(),IF(R$1&gt;'Iron &amp; Steelmaker Tool'!$D$20,NA(),'Iron &amp; Steelmaker Tool'!$D$19+('Iron &amp; Steelmaker Tool'!$D$19*(HLOOKUP('Iron &amp; Steelmaker Tool'!$D$20,$D$1:$CL$11,ROW($A$11),)/HLOOKUP('Iron &amp; Steelmaker Tool'!$D$16,$D$1:$CL$11,ROW($A$11),))-'Iron &amp; Steelmaker Tool'!$D$19)*(R$1-'Iron &amp; Steelmaker Tool'!$D$16)/('Iron &amp; Steelmaker Tool'!$D$20-'Iron &amp; Steelmaker Tool'!$D$16)))/1000,NA())</f>
        <v>#N/A</v>
      </c>
      <c r="S88" s="56" t="e">
        <f>IFERROR(IF(S$1&lt;'Iron &amp; Steelmaker Tool'!$D$16,NA(),IF(S$1&gt;'Iron &amp; Steelmaker Tool'!$D$20,NA(),'Iron &amp; Steelmaker Tool'!$D$19+('Iron &amp; Steelmaker Tool'!$D$19*(HLOOKUP('Iron &amp; Steelmaker Tool'!$D$20,$D$1:$CL$11,ROW($A$11),)/HLOOKUP('Iron &amp; Steelmaker Tool'!$D$16,$D$1:$CL$11,ROW($A$11),))-'Iron &amp; Steelmaker Tool'!$D$19)*(S$1-'Iron &amp; Steelmaker Tool'!$D$16)/('Iron &amp; Steelmaker Tool'!$D$20-'Iron &amp; Steelmaker Tool'!$D$16)))/1000,NA())</f>
        <v>#N/A</v>
      </c>
      <c r="T88" s="56" t="e">
        <f>IFERROR(IF(T$1&lt;'Iron &amp; Steelmaker Tool'!$D$16,NA(),IF(T$1&gt;'Iron &amp; Steelmaker Tool'!$D$20,NA(),'Iron &amp; Steelmaker Tool'!$D$19+('Iron &amp; Steelmaker Tool'!$D$19*(HLOOKUP('Iron &amp; Steelmaker Tool'!$D$20,$D$1:$CL$11,ROW($A$11),)/HLOOKUP('Iron &amp; Steelmaker Tool'!$D$16,$D$1:$CL$11,ROW($A$11),))-'Iron &amp; Steelmaker Tool'!$D$19)*(T$1-'Iron &amp; Steelmaker Tool'!$D$16)/('Iron &amp; Steelmaker Tool'!$D$20-'Iron &amp; Steelmaker Tool'!$D$16)))/1000,NA())</f>
        <v>#N/A</v>
      </c>
      <c r="U88" s="56" t="e">
        <f>IFERROR(IF(U$1&lt;'Iron &amp; Steelmaker Tool'!$D$16,NA(),IF(U$1&gt;'Iron &amp; Steelmaker Tool'!$D$20,NA(),'Iron &amp; Steelmaker Tool'!$D$19+('Iron &amp; Steelmaker Tool'!$D$19*(HLOOKUP('Iron &amp; Steelmaker Tool'!$D$20,$D$1:$CL$11,ROW($A$11),)/HLOOKUP('Iron &amp; Steelmaker Tool'!$D$16,$D$1:$CL$11,ROW($A$11),))-'Iron &amp; Steelmaker Tool'!$D$19)*(U$1-'Iron &amp; Steelmaker Tool'!$D$16)/('Iron &amp; Steelmaker Tool'!$D$20-'Iron &amp; Steelmaker Tool'!$D$16)))/1000,NA())</f>
        <v>#N/A</v>
      </c>
      <c r="V88" s="56" t="e">
        <f>IFERROR(IF(V$1&lt;'Iron &amp; Steelmaker Tool'!$D$16,NA(),IF(V$1&gt;'Iron &amp; Steelmaker Tool'!$D$20,NA(),'Iron &amp; Steelmaker Tool'!$D$19+('Iron &amp; Steelmaker Tool'!$D$19*(HLOOKUP('Iron &amp; Steelmaker Tool'!$D$20,$D$1:$CL$11,ROW($A$11),)/HLOOKUP('Iron &amp; Steelmaker Tool'!$D$16,$D$1:$CL$11,ROW($A$11),))-'Iron &amp; Steelmaker Tool'!$D$19)*(V$1-'Iron &amp; Steelmaker Tool'!$D$16)/('Iron &amp; Steelmaker Tool'!$D$20-'Iron &amp; Steelmaker Tool'!$D$16)))/1000,NA())</f>
        <v>#N/A</v>
      </c>
      <c r="W88" s="56" t="e">
        <f>IFERROR(IF(W$1&lt;'Iron &amp; Steelmaker Tool'!$D$16,NA(),IF(W$1&gt;'Iron &amp; Steelmaker Tool'!$D$20,NA(),'Iron &amp; Steelmaker Tool'!$D$19+('Iron &amp; Steelmaker Tool'!$D$19*(HLOOKUP('Iron &amp; Steelmaker Tool'!$D$20,$D$1:$CL$11,ROW($A$11),)/HLOOKUP('Iron &amp; Steelmaker Tool'!$D$16,$D$1:$CL$11,ROW($A$11),))-'Iron &amp; Steelmaker Tool'!$D$19)*(W$1-'Iron &amp; Steelmaker Tool'!$D$16)/('Iron &amp; Steelmaker Tool'!$D$20-'Iron &amp; Steelmaker Tool'!$D$16)))/1000,NA())</f>
        <v>#N/A</v>
      </c>
      <c r="X88" s="56" t="e">
        <f>IFERROR(IF(X$1&lt;'Iron &amp; Steelmaker Tool'!$D$16,NA(),IF(X$1&gt;'Iron &amp; Steelmaker Tool'!$D$20,NA(),'Iron &amp; Steelmaker Tool'!$D$19+('Iron &amp; Steelmaker Tool'!$D$19*(HLOOKUP('Iron &amp; Steelmaker Tool'!$D$20,$D$1:$CL$11,ROW($A$11),)/HLOOKUP('Iron &amp; Steelmaker Tool'!$D$16,$D$1:$CL$11,ROW($A$11),))-'Iron &amp; Steelmaker Tool'!$D$19)*(X$1-'Iron &amp; Steelmaker Tool'!$D$16)/('Iron &amp; Steelmaker Tool'!$D$20-'Iron &amp; Steelmaker Tool'!$D$16)))/1000,NA())</f>
        <v>#N/A</v>
      </c>
      <c r="Y88" s="56" t="e">
        <f>IFERROR(IF(Y$1&lt;'Iron &amp; Steelmaker Tool'!$D$16,NA(),IF(Y$1&gt;'Iron &amp; Steelmaker Tool'!$D$20,NA(),'Iron &amp; Steelmaker Tool'!$D$19+('Iron &amp; Steelmaker Tool'!$D$19*(HLOOKUP('Iron &amp; Steelmaker Tool'!$D$20,$D$1:$CL$11,ROW($A$11),)/HLOOKUP('Iron &amp; Steelmaker Tool'!$D$16,$D$1:$CL$11,ROW($A$11),))-'Iron &amp; Steelmaker Tool'!$D$19)*(Y$1-'Iron &amp; Steelmaker Tool'!$D$16)/('Iron &amp; Steelmaker Tool'!$D$20-'Iron &amp; Steelmaker Tool'!$D$16)))/1000,NA())</f>
        <v>#N/A</v>
      </c>
      <c r="Z88" s="56" t="e">
        <f>IFERROR(IF(Z$1&lt;'Iron &amp; Steelmaker Tool'!$D$16,NA(),IF(Z$1&gt;'Iron &amp; Steelmaker Tool'!$D$20,NA(),'Iron &amp; Steelmaker Tool'!$D$19+('Iron &amp; Steelmaker Tool'!$D$19*(HLOOKUP('Iron &amp; Steelmaker Tool'!$D$20,$D$1:$CL$11,ROW($A$11),)/HLOOKUP('Iron &amp; Steelmaker Tool'!$D$16,$D$1:$CL$11,ROW($A$11),))-'Iron &amp; Steelmaker Tool'!$D$19)*(Z$1-'Iron &amp; Steelmaker Tool'!$D$16)/('Iron &amp; Steelmaker Tool'!$D$20-'Iron &amp; Steelmaker Tool'!$D$16)))/1000,NA())</f>
        <v>#N/A</v>
      </c>
      <c r="AA88" s="56" t="e">
        <f>IFERROR(IF(AA$1&lt;'Iron &amp; Steelmaker Tool'!$D$16,NA(),IF(AA$1&gt;'Iron &amp; Steelmaker Tool'!$D$20,NA(),'Iron &amp; Steelmaker Tool'!$D$19+('Iron &amp; Steelmaker Tool'!$D$19*(HLOOKUP('Iron &amp; Steelmaker Tool'!$D$20,$D$1:$CL$11,ROW($A$11),)/HLOOKUP('Iron &amp; Steelmaker Tool'!$D$16,$D$1:$CL$11,ROW($A$11),))-'Iron &amp; Steelmaker Tool'!$D$19)*(AA$1-'Iron &amp; Steelmaker Tool'!$D$16)/('Iron &amp; Steelmaker Tool'!$D$20-'Iron &amp; Steelmaker Tool'!$D$16)))/1000,NA())</f>
        <v>#N/A</v>
      </c>
      <c r="AB88" s="56" t="e">
        <f>IFERROR(IF(AB$1&lt;'Iron &amp; Steelmaker Tool'!$D$16,NA(),IF(AB$1&gt;'Iron &amp; Steelmaker Tool'!$D$20,NA(),'Iron &amp; Steelmaker Tool'!$D$19+('Iron &amp; Steelmaker Tool'!$D$19*(HLOOKUP('Iron &amp; Steelmaker Tool'!$D$20,$D$1:$CL$11,ROW($A$11),)/HLOOKUP('Iron &amp; Steelmaker Tool'!$D$16,$D$1:$CL$11,ROW($A$11),))-'Iron &amp; Steelmaker Tool'!$D$19)*(AB$1-'Iron &amp; Steelmaker Tool'!$D$16)/('Iron &amp; Steelmaker Tool'!$D$20-'Iron &amp; Steelmaker Tool'!$D$16)))/1000,NA())</f>
        <v>#N/A</v>
      </c>
      <c r="AC88" s="56" t="e">
        <f>IFERROR(IF(AC$1&lt;'Iron &amp; Steelmaker Tool'!$D$16,NA(),IF(AC$1&gt;'Iron &amp; Steelmaker Tool'!$D$20,NA(),'Iron &amp; Steelmaker Tool'!$D$19+('Iron &amp; Steelmaker Tool'!$D$19*(HLOOKUP('Iron &amp; Steelmaker Tool'!$D$20,$D$1:$CL$11,ROW($A$11),)/HLOOKUP('Iron &amp; Steelmaker Tool'!$D$16,$D$1:$CL$11,ROW($A$11),))-'Iron &amp; Steelmaker Tool'!$D$19)*(AC$1-'Iron &amp; Steelmaker Tool'!$D$16)/('Iron &amp; Steelmaker Tool'!$D$20-'Iron &amp; Steelmaker Tool'!$D$16)))/1000,NA())</f>
        <v>#N/A</v>
      </c>
      <c r="AD88" s="56" t="e">
        <f>IFERROR(IF(AD$1&lt;'Iron &amp; Steelmaker Tool'!$D$16,NA(),IF(AD$1&gt;'Iron &amp; Steelmaker Tool'!$D$20,NA(),'Iron &amp; Steelmaker Tool'!$D$19+('Iron &amp; Steelmaker Tool'!$D$19*(HLOOKUP('Iron &amp; Steelmaker Tool'!$D$20,$D$1:$CL$11,ROW($A$11),)/HLOOKUP('Iron &amp; Steelmaker Tool'!$D$16,$D$1:$CL$11,ROW($A$11),))-'Iron &amp; Steelmaker Tool'!$D$19)*(AD$1-'Iron &amp; Steelmaker Tool'!$D$16)/('Iron &amp; Steelmaker Tool'!$D$20-'Iron &amp; Steelmaker Tool'!$D$16)))/1000,NA())</f>
        <v>#N/A</v>
      </c>
      <c r="AE88" s="56" t="e">
        <f>IFERROR(IF(AE$1&lt;'Iron &amp; Steelmaker Tool'!$D$16,NA(),IF(AE$1&gt;'Iron &amp; Steelmaker Tool'!$D$20,NA(),'Iron &amp; Steelmaker Tool'!$D$19+('Iron &amp; Steelmaker Tool'!$D$19*(HLOOKUP('Iron &amp; Steelmaker Tool'!$D$20,$D$1:$CL$11,ROW($A$11),)/HLOOKUP('Iron &amp; Steelmaker Tool'!$D$16,$D$1:$CL$11,ROW($A$11),))-'Iron &amp; Steelmaker Tool'!$D$19)*(AE$1-'Iron &amp; Steelmaker Tool'!$D$16)/('Iron &amp; Steelmaker Tool'!$D$20-'Iron &amp; Steelmaker Tool'!$D$16)))/1000,NA())</f>
        <v>#N/A</v>
      </c>
      <c r="AF88" s="56" t="e">
        <f>IFERROR(IF(AF$1&lt;'Iron &amp; Steelmaker Tool'!$D$16,NA(),IF(AF$1&gt;'Iron &amp; Steelmaker Tool'!$D$20,NA(),'Iron &amp; Steelmaker Tool'!$D$19+('Iron &amp; Steelmaker Tool'!$D$19*(HLOOKUP('Iron &amp; Steelmaker Tool'!$D$20,$D$1:$CL$11,ROW($A$11),)/HLOOKUP('Iron &amp; Steelmaker Tool'!$D$16,$D$1:$CL$11,ROW($A$11),))-'Iron &amp; Steelmaker Tool'!$D$19)*(AF$1-'Iron &amp; Steelmaker Tool'!$D$16)/('Iron &amp; Steelmaker Tool'!$D$20-'Iron &amp; Steelmaker Tool'!$D$16)))/1000,NA())</f>
        <v>#N/A</v>
      </c>
      <c r="AG88" s="56" t="e">
        <f>IFERROR(IF(AG$1&lt;'Iron &amp; Steelmaker Tool'!$D$16,NA(),IF(AG$1&gt;'Iron &amp; Steelmaker Tool'!$D$20,NA(),'Iron &amp; Steelmaker Tool'!$D$19+('Iron &amp; Steelmaker Tool'!$D$19*(HLOOKUP('Iron &amp; Steelmaker Tool'!$D$20,$D$1:$CL$11,ROW($A$11),)/HLOOKUP('Iron &amp; Steelmaker Tool'!$D$16,$D$1:$CL$11,ROW($A$11),))-'Iron &amp; Steelmaker Tool'!$D$19)*(AG$1-'Iron &amp; Steelmaker Tool'!$D$16)/('Iron &amp; Steelmaker Tool'!$D$20-'Iron &amp; Steelmaker Tool'!$D$16)))/1000,NA())</f>
        <v>#N/A</v>
      </c>
      <c r="AH88" s="56" t="e">
        <f>IFERROR(IF(AH$1&lt;'Iron &amp; Steelmaker Tool'!$D$16,NA(),IF(AH$1&gt;'Iron &amp; Steelmaker Tool'!$D$20,NA(),'Iron &amp; Steelmaker Tool'!$D$19+('Iron &amp; Steelmaker Tool'!$D$19*(HLOOKUP('Iron &amp; Steelmaker Tool'!$D$20,$D$1:$CL$11,ROW($A$11),)/HLOOKUP('Iron &amp; Steelmaker Tool'!$D$16,$D$1:$CL$11,ROW($A$11),))-'Iron &amp; Steelmaker Tool'!$D$19)*(AH$1-'Iron &amp; Steelmaker Tool'!$D$16)/('Iron &amp; Steelmaker Tool'!$D$20-'Iron &amp; Steelmaker Tool'!$D$16)))/1000,NA())</f>
        <v>#N/A</v>
      </c>
      <c r="AI88" s="56" t="e">
        <f>IFERROR(IF(AI$1&lt;'Iron &amp; Steelmaker Tool'!$D$16,NA(),IF(AI$1&gt;'Iron &amp; Steelmaker Tool'!$D$20,NA(),'Iron &amp; Steelmaker Tool'!$D$19+('Iron &amp; Steelmaker Tool'!$D$19*(HLOOKUP('Iron &amp; Steelmaker Tool'!$D$20,$D$1:$CL$11,ROW($A$11),)/HLOOKUP('Iron &amp; Steelmaker Tool'!$D$16,$D$1:$CL$11,ROW($A$11),))-'Iron &amp; Steelmaker Tool'!$D$19)*(AI$1-'Iron &amp; Steelmaker Tool'!$D$16)/('Iron &amp; Steelmaker Tool'!$D$20-'Iron &amp; Steelmaker Tool'!$D$16)))/1000,NA())</f>
        <v>#N/A</v>
      </c>
      <c r="AJ88" s="56" t="e">
        <f>IFERROR(IF(AJ$1&lt;'Iron &amp; Steelmaker Tool'!$D$16,NA(),IF(AJ$1&gt;'Iron &amp; Steelmaker Tool'!$D$20,NA(),'Iron &amp; Steelmaker Tool'!$D$19+('Iron &amp; Steelmaker Tool'!$D$19*(HLOOKUP('Iron &amp; Steelmaker Tool'!$D$20,$D$1:$CL$11,ROW($A$11),)/HLOOKUP('Iron &amp; Steelmaker Tool'!$D$16,$D$1:$CL$11,ROW($A$11),))-'Iron &amp; Steelmaker Tool'!$D$19)*(AJ$1-'Iron &amp; Steelmaker Tool'!$D$16)/('Iron &amp; Steelmaker Tool'!$D$20-'Iron &amp; Steelmaker Tool'!$D$16)))/1000,NA())</f>
        <v>#N/A</v>
      </c>
      <c r="AK88" s="56" t="e">
        <f>IFERROR(IF(AK$1&lt;'Iron &amp; Steelmaker Tool'!$D$16,NA(),IF(AK$1&gt;'Iron &amp; Steelmaker Tool'!$D$20,NA(),'Iron &amp; Steelmaker Tool'!$D$19+('Iron &amp; Steelmaker Tool'!$D$19*(HLOOKUP('Iron &amp; Steelmaker Tool'!$D$20,$D$1:$CL$11,ROW($A$11),)/HLOOKUP('Iron &amp; Steelmaker Tool'!$D$16,$D$1:$CL$11,ROW($A$11),))-'Iron &amp; Steelmaker Tool'!$D$19)*(AK$1-'Iron &amp; Steelmaker Tool'!$D$16)/('Iron &amp; Steelmaker Tool'!$D$20-'Iron &amp; Steelmaker Tool'!$D$16)))/1000,NA())</f>
        <v>#N/A</v>
      </c>
      <c r="AL88" s="56" t="e">
        <f>IFERROR(IF(AL$1&lt;'Iron &amp; Steelmaker Tool'!$D$16,NA(),IF(AL$1&gt;'Iron &amp; Steelmaker Tool'!$D$20,NA(),'Iron &amp; Steelmaker Tool'!$D$19+('Iron &amp; Steelmaker Tool'!$D$19*(HLOOKUP('Iron &amp; Steelmaker Tool'!$D$20,$D$1:$CL$11,ROW($A$11),)/HLOOKUP('Iron &amp; Steelmaker Tool'!$D$16,$D$1:$CL$11,ROW($A$11),))-'Iron &amp; Steelmaker Tool'!$D$19)*(AL$1-'Iron &amp; Steelmaker Tool'!$D$16)/('Iron &amp; Steelmaker Tool'!$D$20-'Iron &amp; Steelmaker Tool'!$D$16)))/1000,NA())</f>
        <v>#N/A</v>
      </c>
      <c r="AM88" s="56" t="e">
        <f>IFERROR(IF(AM$1&lt;'Iron &amp; Steelmaker Tool'!$D$16,NA(),IF(AM$1&gt;'Iron &amp; Steelmaker Tool'!$D$20,NA(),'Iron &amp; Steelmaker Tool'!$D$19+('Iron &amp; Steelmaker Tool'!$D$19*(HLOOKUP('Iron &amp; Steelmaker Tool'!$D$20,$D$1:$CL$11,ROW($A$11),)/HLOOKUP('Iron &amp; Steelmaker Tool'!$D$16,$D$1:$CL$11,ROW($A$11),))-'Iron &amp; Steelmaker Tool'!$D$19)*(AM$1-'Iron &amp; Steelmaker Tool'!$D$16)/('Iron &amp; Steelmaker Tool'!$D$20-'Iron &amp; Steelmaker Tool'!$D$16)))/1000,NA())</f>
        <v>#N/A</v>
      </c>
      <c r="AN88" s="56" t="e">
        <f>IFERROR(IF(AN$1&lt;'Iron &amp; Steelmaker Tool'!$D$16,NA(),IF(AN$1&gt;'Iron &amp; Steelmaker Tool'!$D$20,NA(),'Iron &amp; Steelmaker Tool'!$D$19+('Iron &amp; Steelmaker Tool'!$D$19*(HLOOKUP('Iron &amp; Steelmaker Tool'!$D$20,$D$1:$CL$11,ROW($A$11),)/HLOOKUP('Iron &amp; Steelmaker Tool'!$D$16,$D$1:$CL$11,ROW($A$11),))-'Iron &amp; Steelmaker Tool'!$D$19)*(AN$1-'Iron &amp; Steelmaker Tool'!$D$16)/('Iron &amp; Steelmaker Tool'!$D$20-'Iron &amp; Steelmaker Tool'!$D$16)))/1000,NA())</f>
        <v>#N/A</v>
      </c>
      <c r="AO88" s="56" t="e">
        <f>IFERROR(IF(AO$1&lt;'Iron &amp; Steelmaker Tool'!$D$16,NA(),IF(AO$1&gt;'Iron &amp; Steelmaker Tool'!$D$20,NA(),'Iron &amp; Steelmaker Tool'!$D$19+('Iron &amp; Steelmaker Tool'!$D$19*(HLOOKUP('Iron &amp; Steelmaker Tool'!$D$20,$D$1:$CL$11,ROW($A$11),)/HLOOKUP('Iron &amp; Steelmaker Tool'!$D$16,$D$1:$CL$11,ROW($A$11),))-'Iron &amp; Steelmaker Tool'!$D$19)*(AO$1-'Iron &amp; Steelmaker Tool'!$D$16)/('Iron &amp; Steelmaker Tool'!$D$20-'Iron &amp; Steelmaker Tool'!$D$16)))/1000,NA())</f>
        <v>#N/A</v>
      </c>
      <c r="AP88" s="56" t="e">
        <f>IFERROR(IF(AP$1&lt;'Iron &amp; Steelmaker Tool'!$D$16,NA(),IF(AP$1&gt;'Iron &amp; Steelmaker Tool'!$D$20,NA(),'Iron &amp; Steelmaker Tool'!$D$19+('Iron &amp; Steelmaker Tool'!$D$19*(HLOOKUP('Iron &amp; Steelmaker Tool'!$D$20,$D$1:$CL$11,ROW($A$11),)/HLOOKUP('Iron &amp; Steelmaker Tool'!$D$16,$D$1:$CL$11,ROW($A$11),))-'Iron &amp; Steelmaker Tool'!$D$19)*(AP$1-'Iron &amp; Steelmaker Tool'!$D$16)/('Iron &amp; Steelmaker Tool'!$D$20-'Iron &amp; Steelmaker Tool'!$D$16)))/1000,NA())</f>
        <v>#N/A</v>
      </c>
      <c r="AQ88" s="56" t="e">
        <f>IFERROR(IF(AQ$1&lt;'Iron &amp; Steelmaker Tool'!$D$16,NA(),IF(AQ$1&gt;'Iron &amp; Steelmaker Tool'!$D$20,NA(),'Iron &amp; Steelmaker Tool'!$D$19+('Iron &amp; Steelmaker Tool'!$D$19*(HLOOKUP('Iron &amp; Steelmaker Tool'!$D$20,$D$1:$CL$11,ROW($A$11),)/HLOOKUP('Iron &amp; Steelmaker Tool'!$D$16,$D$1:$CL$11,ROW($A$11),))-'Iron &amp; Steelmaker Tool'!$D$19)*(AQ$1-'Iron &amp; Steelmaker Tool'!$D$16)/('Iron &amp; Steelmaker Tool'!$D$20-'Iron &amp; Steelmaker Tool'!$D$16)))/1000,NA())</f>
        <v>#N/A</v>
      </c>
      <c r="AR88" s="56" t="e">
        <f>IFERROR(IF(AR$1&lt;'Iron &amp; Steelmaker Tool'!$D$16,NA(),IF(AR$1&gt;'Iron &amp; Steelmaker Tool'!$D$20,NA(),'Iron &amp; Steelmaker Tool'!$D$19+('Iron &amp; Steelmaker Tool'!$D$19*(HLOOKUP('Iron &amp; Steelmaker Tool'!$D$20,$D$1:$CL$11,ROW($A$11),)/HLOOKUP('Iron &amp; Steelmaker Tool'!$D$16,$D$1:$CL$11,ROW($A$11),))-'Iron &amp; Steelmaker Tool'!$D$19)*(AR$1-'Iron &amp; Steelmaker Tool'!$D$16)/('Iron &amp; Steelmaker Tool'!$D$20-'Iron &amp; Steelmaker Tool'!$D$16)))/1000,NA())</f>
        <v>#N/A</v>
      </c>
      <c r="AS88" s="56" t="e">
        <f>IFERROR(IF(AS$1&lt;'Iron &amp; Steelmaker Tool'!$D$16,NA(),IF(AS$1&gt;'Iron &amp; Steelmaker Tool'!$D$20,NA(),'Iron &amp; Steelmaker Tool'!$D$19+('Iron &amp; Steelmaker Tool'!$D$19*(HLOOKUP('Iron &amp; Steelmaker Tool'!$D$20,$D$1:$CL$11,ROW($A$11),)/HLOOKUP('Iron &amp; Steelmaker Tool'!$D$16,$D$1:$CL$11,ROW($A$11),))-'Iron &amp; Steelmaker Tool'!$D$19)*(AS$1-'Iron &amp; Steelmaker Tool'!$D$16)/('Iron &amp; Steelmaker Tool'!$D$20-'Iron &amp; Steelmaker Tool'!$D$16)))/1000,NA())</f>
        <v>#N/A</v>
      </c>
      <c r="AT88" s="56" t="e">
        <f>IFERROR(IF(AT$1&lt;'Iron &amp; Steelmaker Tool'!$D$16,NA(),IF(AT$1&gt;'Iron &amp; Steelmaker Tool'!$D$20,NA(),'Iron &amp; Steelmaker Tool'!$D$19+('Iron &amp; Steelmaker Tool'!$D$19*(HLOOKUP('Iron &amp; Steelmaker Tool'!$D$20,$D$1:$CL$11,ROW($A$11),)/HLOOKUP('Iron &amp; Steelmaker Tool'!$D$16,$D$1:$CL$11,ROW($A$11),))-'Iron &amp; Steelmaker Tool'!$D$19)*(AT$1-'Iron &amp; Steelmaker Tool'!$D$16)/('Iron &amp; Steelmaker Tool'!$D$20-'Iron &amp; Steelmaker Tool'!$D$16)))/1000,NA())</f>
        <v>#N/A</v>
      </c>
      <c r="AU88" s="56" t="e">
        <f>IFERROR(IF(AU$1&lt;'Iron &amp; Steelmaker Tool'!$D$16,NA(),IF(AU$1&gt;'Iron &amp; Steelmaker Tool'!$D$20,NA(),'Iron &amp; Steelmaker Tool'!$D$19+('Iron &amp; Steelmaker Tool'!$D$19*(HLOOKUP('Iron &amp; Steelmaker Tool'!$D$20,$D$1:$CL$11,ROW($A$11),)/HLOOKUP('Iron &amp; Steelmaker Tool'!$D$16,$D$1:$CL$11,ROW($A$11),))-'Iron &amp; Steelmaker Tool'!$D$19)*(AU$1-'Iron &amp; Steelmaker Tool'!$D$16)/('Iron &amp; Steelmaker Tool'!$D$20-'Iron &amp; Steelmaker Tool'!$D$16)))/1000,NA())</f>
        <v>#N/A</v>
      </c>
      <c r="AV88" s="56" t="e">
        <f>IFERROR(IF(AV$1&lt;'Iron &amp; Steelmaker Tool'!$D$16,NA(),IF(AV$1&gt;'Iron &amp; Steelmaker Tool'!$D$20,NA(),'Iron &amp; Steelmaker Tool'!$D$19+('Iron &amp; Steelmaker Tool'!$D$19*(HLOOKUP('Iron &amp; Steelmaker Tool'!$D$20,$D$1:$CL$11,ROW($A$11),)/HLOOKUP('Iron &amp; Steelmaker Tool'!$D$16,$D$1:$CL$11,ROW($A$11),))-'Iron &amp; Steelmaker Tool'!$D$19)*(AV$1-'Iron &amp; Steelmaker Tool'!$D$16)/('Iron &amp; Steelmaker Tool'!$D$20-'Iron &amp; Steelmaker Tool'!$D$16)))/1000,NA())</f>
        <v>#N/A</v>
      </c>
      <c r="AW88" s="56" t="e">
        <f>IFERROR(IF(AW$1&lt;'Iron &amp; Steelmaker Tool'!$D$16,NA(),IF(AW$1&gt;'Iron &amp; Steelmaker Tool'!$D$20,NA(),'Iron &amp; Steelmaker Tool'!$D$19+('Iron &amp; Steelmaker Tool'!$D$19*(HLOOKUP('Iron &amp; Steelmaker Tool'!$D$20,$D$1:$CL$11,ROW($A$11),)/HLOOKUP('Iron &amp; Steelmaker Tool'!$D$16,$D$1:$CL$11,ROW($A$11),))-'Iron &amp; Steelmaker Tool'!$D$19)*(AW$1-'Iron &amp; Steelmaker Tool'!$D$16)/('Iron &amp; Steelmaker Tool'!$D$20-'Iron &amp; Steelmaker Tool'!$D$16)))/1000,NA())</f>
        <v>#N/A</v>
      </c>
      <c r="AX88" s="56" t="e">
        <f>IFERROR(IF(AX$1&lt;'Iron &amp; Steelmaker Tool'!$D$16,NA(),IF(AX$1&gt;'Iron &amp; Steelmaker Tool'!$D$20,NA(),'Iron &amp; Steelmaker Tool'!$D$19+('Iron &amp; Steelmaker Tool'!$D$19*(HLOOKUP('Iron &amp; Steelmaker Tool'!$D$20,$D$1:$CL$11,ROW($A$11),)/HLOOKUP('Iron &amp; Steelmaker Tool'!$D$16,$D$1:$CL$11,ROW($A$11),))-'Iron &amp; Steelmaker Tool'!$D$19)*(AX$1-'Iron &amp; Steelmaker Tool'!$D$16)/('Iron &amp; Steelmaker Tool'!$D$20-'Iron &amp; Steelmaker Tool'!$D$16)))/1000,NA())</f>
        <v>#N/A</v>
      </c>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row>
    <row r="89" spans="1:91" s="43" customFormat="1" hidden="1" x14ac:dyDescent="0.15">
      <c r="A89" s="43" t="s">
        <v>45</v>
      </c>
      <c r="B89" s="43" t="str">
        <f>IF(OR('Iron &amp; Steelmaker Tool'!$D$15=Lists!$B$26,'Iron &amp; Steelmaker Tool'!$D$15=Lists!$B$27,'Iron &amp; Steelmaker Tool'!$D$15=Lists!$B$28),"Scope 3 emissions intensity ("&amp;C89&amp;")","Scope 1 emissions intensity ("&amp;C89&amp;")")</f>
        <v>Scope 1 emissions intensity (tCO2/t)</v>
      </c>
      <c r="C89" s="43" t="str">
        <f>INDEX(Lists!$E$2:$E$50,MATCH('Iron &amp; Steelmaker Tool'!$D$15,Lists!$B$2:$B$50,0))</f>
        <v>tCO2/t</v>
      </c>
      <c r="D89" s="56" t="e">
        <f>IFERROR(D87*INDEX(Lists!$F$2:$F$50,MATCH('Iron &amp; Steelmaker Tool'!$D$15,Lists!$B$2:$B$50,0))*1000/D$31,NA())</f>
        <v>#N/A</v>
      </c>
      <c r="E89" s="56" t="e">
        <f>IFERROR(E87*INDEX(Lists!$F$2:$F$50,MATCH('Iron &amp; Steelmaker Tool'!$D$15,Lists!$B$2:$B$50,0))*1000/E$31,NA())</f>
        <v>#N/A</v>
      </c>
      <c r="F89" s="56" t="e">
        <f>IFERROR(F87*INDEX(Lists!$F$2:$F$50,MATCH('Iron &amp; Steelmaker Tool'!$D$15,Lists!$B$2:$B$50,0))*1000/F$31,NA())</f>
        <v>#N/A</v>
      </c>
      <c r="G89" s="56" t="e">
        <f>IFERROR(G87*INDEX(Lists!$F$2:$F$50,MATCH('Iron &amp; Steelmaker Tool'!$D$15,Lists!$B$2:$B$50,0))*1000/G$31,NA())</f>
        <v>#N/A</v>
      </c>
      <c r="H89" s="56" t="e">
        <f>IFERROR(H87*INDEX(Lists!$F$2:$F$50,MATCH('Iron &amp; Steelmaker Tool'!$D$15,Lists!$B$2:$B$50,0))*1000/H$31,NA())</f>
        <v>#N/A</v>
      </c>
      <c r="I89" s="56" t="e">
        <f>IFERROR(I87*INDEX(Lists!$F$2:$F$50,MATCH('Iron &amp; Steelmaker Tool'!$D$15,Lists!$B$2:$B$50,0))*1000/I$31,NA())</f>
        <v>#N/A</v>
      </c>
      <c r="J89" s="56" t="e">
        <f>IFERROR(J87*INDEX(Lists!$F$2:$F$50,MATCH('Iron &amp; Steelmaker Tool'!$D$15,Lists!$B$2:$B$50,0))*1000/J$31,NA())</f>
        <v>#N/A</v>
      </c>
      <c r="K89" s="56" t="e">
        <f>IFERROR(K87*INDEX(Lists!$F$2:$F$50,MATCH('Iron &amp; Steelmaker Tool'!$D$15,Lists!$B$2:$B$50,0))*1000/K$31,NA())</f>
        <v>#N/A</v>
      </c>
      <c r="L89" s="56" t="e">
        <f>IFERROR(L87*INDEX(Lists!$F$2:$F$50,MATCH('Iron &amp; Steelmaker Tool'!$D$15,Lists!$B$2:$B$50,0))*1000/L$31,NA())</f>
        <v>#N/A</v>
      </c>
      <c r="M89" s="56" t="e">
        <f>IFERROR(M87*INDEX(Lists!$F$2:$F$50,MATCH('Iron &amp; Steelmaker Tool'!$D$15,Lists!$B$2:$B$50,0))*1000/M$31,NA())</f>
        <v>#N/A</v>
      </c>
      <c r="N89" s="56" t="e">
        <f>IFERROR(N87*INDEX(Lists!$F$2:$F$50,MATCH('Iron &amp; Steelmaker Tool'!$D$15,Lists!$B$2:$B$50,0))*1000/N$31,NA())</f>
        <v>#N/A</v>
      </c>
      <c r="O89" s="56" t="e">
        <f>IFERROR(O87*INDEX(Lists!$F$2:$F$50,MATCH('Iron &amp; Steelmaker Tool'!$D$15,Lists!$B$2:$B$50,0))*1000/O$31,NA())</f>
        <v>#N/A</v>
      </c>
      <c r="P89" s="56" t="e">
        <f>IFERROR(P87*INDEX(Lists!$F$2:$F$50,MATCH('Iron &amp; Steelmaker Tool'!$D$15,Lists!$B$2:$B$50,0))*1000/P$31,NA())</f>
        <v>#N/A</v>
      </c>
      <c r="Q89" s="56" t="e">
        <f>IFERROR(Q87*INDEX(Lists!$F$2:$F$50,MATCH('Iron &amp; Steelmaker Tool'!$D$15,Lists!$B$2:$B$50,0))*1000/Q$31,NA())</f>
        <v>#N/A</v>
      </c>
      <c r="R89" s="56" t="e">
        <f>IFERROR(R87*INDEX(Lists!$F$2:$F$50,MATCH('Iron &amp; Steelmaker Tool'!$D$15,Lists!$B$2:$B$50,0))*1000/R$31,NA())</f>
        <v>#N/A</v>
      </c>
      <c r="S89" s="56" t="e">
        <f>IFERROR(S87*INDEX(Lists!$F$2:$F$50,MATCH('Iron &amp; Steelmaker Tool'!$D$15,Lists!$B$2:$B$50,0))*1000/S$31,NA())</f>
        <v>#N/A</v>
      </c>
      <c r="T89" s="56" t="e">
        <f>IFERROR(T87*INDEX(Lists!$F$2:$F$50,MATCH('Iron &amp; Steelmaker Tool'!$D$15,Lists!$B$2:$B$50,0))*1000/T$31,NA())</f>
        <v>#N/A</v>
      </c>
      <c r="U89" s="56" t="e">
        <f>IFERROR(U87*INDEX(Lists!$F$2:$F$50,MATCH('Iron &amp; Steelmaker Tool'!$D$15,Lists!$B$2:$B$50,0))*1000/U$31,NA())</f>
        <v>#N/A</v>
      </c>
      <c r="V89" s="56" t="e">
        <f>IFERROR(V87*INDEX(Lists!$F$2:$F$50,MATCH('Iron &amp; Steelmaker Tool'!$D$15,Lists!$B$2:$B$50,0))*1000/V$31,NA())</f>
        <v>#N/A</v>
      </c>
      <c r="W89" s="56" t="e">
        <f>IFERROR(W87*INDEX(Lists!$F$2:$F$50,MATCH('Iron &amp; Steelmaker Tool'!$D$15,Lists!$B$2:$B$50,0))*1000/W$31,NA())</f>
        <v>#N/A</v>
      </c>
      <c r="X89" s="56" t="e">
        <f>IFERROR(X87*INDEX(Lists!$F$2:$F$50,MATCH('Iron &amp; Steelmaker Tool'!$D$15,Lists!$B$2:$B$50,0))*1000/X$31,NA())</f>
        <v>#N/A</v>
      </c>
      <c r="Y89" s="56" t="e">
        <f>IFERROR(Y87*INDEX(Lists!$F$2:$F$50,MATCH('Iron &amp; Steelmaker Tool'!$D$15,Lists!$B$2:$B$50,0))*1000/Y$31,NA())</f>
        <v>#N/A</v>
      </c>
      <c r="Z89" s="56" t="e">
        <f>IFERROR(Z87*INDEX(Lists!$F$2:$F$50,MATCH('Iron &amp; Steelmaker Tool'!$D$15,Lists!$B$2:$B$50,0))*1000/Z$31,NA())</f>
        <v>#N/A</v>
      </c>
      <c r="AA89" s="56" t="e">
        <f>IFERROR(AA87*INDEX(Lists!$F$2:$F$50,MATCH('Iron &amp; Steelmaker Tool'!$D$15,Lists!$B$2:$B$50,0))*1000/AA$31,NA())</f>
        <v>#N/A</v>
      </c>
      <c r="AB89" s="56" t="e">
        <f>IFERROR(AB87*INDEX(Lists!$F$2:$F$50,MATCH('Iron &amp; Steelmaker Tool'!$D$15,Lists!$B$2:$B$50,0))*1000/AB$31,NA())</f>
        <v>#N/A</v>
      </c>
      <c r="AC89" s="56" t="e">
        <f>IFERROR(AC87*INDEX(Lists!$F$2:$F$50,MATCH('Iron &amp; Steelmaker Tool'!$D$15,Lists!$B$2:$B$50,0))*1000/AC$31,NA())</f>
        <v>#N/A</v>
      </c>
      <c r="AD89" s="56" t="e">
        <f>IFERROR(AD87*INDEX(Lists!$F$2:$F$50,MATCH('Iron &amp; Steelmaker Tool'!$D$15,Lists!$B$2:$B$50,0))*1000/AD$31,NA())</f>
        <v>#N/A</v>
      </c>
      <c r="AE89" s="56" t="e">
        <f>IFERROR(AE87*INDEX(Lists!$F$2:$F$50,MATCH('Iron &amp; Steelmaker Tool'!$D$15,Lists!$B$2:$B$50,0))*1000/AE$31,NA())</f>
        <v>#N/A</v>
      </c>
      <c r="AF89" s="56" t="e">
        <f>IFERROR(AF87*INDEX(Lists!$F$2:$F$50,MATCH('Iron &amp; Steelmaker Tool'!$D$15,Lists!$B$2:$B$50,0))*1000/AF$31,NA())</f>
        <v>#N/A</v>
      </c>
      <c r="AG89" s="56" t="e">
        <f>IFERROR(AG87*INDEX(Lists!$F$2:$F$50,MATCH('Iron &amp; Steelmaker Tool'!$D$15,Lists!$B$2:$B$50,0))*1000/AG$31,NA())</f>
        <v>#N/A</v>
      </c>
      <c r="AH89" s="56" t="e">
        <f>IFERROR(AH87*INDEX(Lists!$F$2:$F$50,MATCH('Iron &amp; Steelmaker Tool'!$D$15,Lists!$B$2:$B$50,0))*1000/AH$31,NA())</f>
        <v>#N/A</v>
      </c>
      <c r="AI89" s="56" t="e">
        <f>IFERROR(AI87*INDEX(Lists!$F$2:$F$50,MATCH('Iron &amp; Steelmaker Tool'!$D$15,Lists!$B$2:$B$50,0))*1000/AI$31,NA())</f>
        <v>#N/A</v>
      </c>
      <c r="AJ89" s="56" t="e">
        <f>IFERROR(AJ87*INDEX(Lists!$F$2:$F$50,MATCH('Iron &amp; Steelmaker Tool'!$D$15,Lists!$B$2:$B$50,0))*1000/AJ$31,NA())</f>
        <v>#N/A</v>
      </c>
      <c r="AK89" s="56" t="e">
        <f>IFERROR(AK87*INDEX(Lists!$F$2:$F$50,MATCH('Iron &amp; Steelmaker Tool'!$D$15,Lists!$B$2:$B$50,0))*1000/AK$31,NA())</f>
        <v>#N/A</v>
      </c>
      <c r="AL89" s="56" t="e">
        <f>IFERROR(AL87*INDEX(Lists!$F$2:$F$50,MATCH('Iron &amp; Steelmaker Tool'!$D$15,Lists!$B$2:$B$50,0))*1000/AL$31,NA())</f>
        <v>#N/A</v>
      </c>
      <c r="AM89" s="56" t="e">
        <f>IFERROR(AM87*INDEX(Lists!$F$2:$F$50,MATCH('Iron &amp; Steelmaker Tool'!$D$15,Lists!$B$2:$B$50,0))*1000/AM$31,NA())</f>
        <v>#N/A</v>
      </c>
      <c r="AN89" s="56" t="e">
        <f>IFERROR(AN87*INDEX(Lists!$F$2:$F$50,MATCH('Iron &amp; Steelmaker Tool'!$D$15,Lists!$B$2:$B$50,0))*1000/AN$31,NA())</f>
        <v>#N/A</v>
      </c>
      <c r="AO89" s="56" t="e">
        <f>IFERROR(AO87*INDEX(Lists!$F$2:$F$50,MATCH('Iron &amp; Steelmaker Tool'!$D$15,Lists!$B$2:$B$50,0))*1000/AO$31,NA())</f>
        <v>#N/A</v>
      </c>
      <c r="AP89" s="56" t="e">
        <f>IFERROR(AP87*INDEX(Lists!$F$2:$F$50,MATCH('Iron &amp; Steelmaker Tool'!$D$15,Lists!$B$2:$B$50,0))*1000/AP$31,NA())</f>
        <v>#N/A</v>
      </c>
      <c r="AQ89" s="56" t="e">
        <f>IFERROR(AQ87*INDEX(Lists!$F$2:$F$50,MATCH('Iron &amp; Steelmaker Tool'!$D$15,Lists!$B$2:$B$50,0))*1000/AQ$31,NA())</f>
        <v>#N/A</v>
      </c>
      <c r="AR89" s="56" t="e">
        <f>IFERROR(AR87*INDEX(Lists!$F$2:$F$50,MATCH('Iron &amp; Steelmaker Tool'!$D$15,Lists!$B$2:$B$50,0))*1000/AR$31,NA())</f>
        <v>#N/A</v>
      </c>
      <c r="AS89" s="56" t="e">
        <f>IFERROR(AS87*INDEX(Lists!$F$2:$F$50,MATCH('Iron &amp; Steelmaker Tool'!$D$15,Lists!$B$2:$B$50,0))*1000/AS$31,NA())</f>
        <v>#N/A</v>
      </c>
      <c r="AT89" s="56" t="e">
        <f>IFERROR(AT87*INDEX(Lists!$F$2:$F$50,MATCH('Iron &amp; Steelmaker Tool'!$D$15,Lists!$B$2:$B$50,0))*1000/AT$31,NA())</f>
        <v>#N/A</v>
      </c>
      <c r="AU89" s="56" t="e">
        <f>IFERROR(AU87*INDEX(Lists!$F$2:$F$50,MATCH('Iron &amp; Steelmaker Tool'!$D$15,Lists!$B$2:$B$50,0))*1000/AU$31,NA())</f>
        <v>#N/A</v>
      </c>
      <c r="AV89" s="56" t="e">
        <f>IFERROR(AV87*INDEX(Lists!$F$2:$F$50,MATCH('Iron &amp; Steelmaker Tool'!$D$15,Lists!$B$2:$B$50,0))*1000/AV$31,NA())</f>
        <v>#N/A</v>
      </c>
      <c r="AW89" s="56" t="e">
        <f>IFERROR(AW87*INDEX(Lists!$F$2:$F$50,MATCH('Iron &amp; Steelmaker Tool'!$D$15,Lists!$B$2:$B$50,0))*1000/AW$31,NA())</f>
        <v>#N/A</v>
      </c>
      <c r="AX89" s="56" t="e">
        <f>IFERROR(AX87*INDEX(Lists!$F$2:$F$50,MATCH('Iron &amp; Steelmaker Tool'!$D$15,Lists!$B$2:$B$50,0))*1000/AX$31,NA())</f>
        <v>#N/A</v>
      </c>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row>
    <row r="90" spans="1:91" s="43" customFormat="1" hidden="1" x14ac:dyDescent="0.15">
      <c r="A90" s="43" t="s">
        <v>59</v>
      </c>
      <c r="B90" s="43" t="str">
        <f>"Scope 2 emissions intensity ("&amp;C90&amp;")"</f>
        <v>Scope 2 emissions intensity (tCO2/t)</v>
      </c>
      <c r="C90" s="43" t="str">
        <f>INDEX(Lists!$E$2:$E$50,MATCH('Iron &amp; Steelmaker Tool'!$D$15,Lists!$B$2:$B$50,0))</f>
        <v>tCO2/t</v>
      </c>
      <c r="D90" s="56" t="e">
        <f>IFERROR(D88*INDEX(Lists!$F$2:$F$50,MATCH('Iron &amp; Steelmaker Tool'!$D$15,Lists!$B$2:$B$50,0))*1000/D$31,NA())</f>
        <v>#N/A</v>
      </c>
      <c r="E90" s="56" t="e">
        <f>IFERROR(E88*INDEX(Lists!$F$2:$F$50,MATCH('Iron &amp; Steelmaker Tool'!$D$15,Lists!$B$2:$B$50,0))*1000/E$31,NA())</f>
        <v>#N/A</v>
      </c>
      <c r="F90" s="56" t="e">
        <f>IFERROR(F88*INDEX(Lists!$F$2:$F$50,MATCH('Iron &amp; Steelmaker Tool'!$D$15,Lists!$B$2:$B$50,0))*1000/F$31,NA())</f>
        <v>#N/A</v>
      </c>
      <c r="G90" s="56" t="e">
        <f>IFERROR(G88*INDEX(Lists!$F$2:$F$50,MATCH('Iron &amp; Steelmaker Tool'!$D$15,Lists!$B$2:$B$50,0))*1000/G$31,NA())</f>
        <v>#N/A</v>
      </c>
      <c r="H90" s="56" t="e">
        <f>IFERROR(H88*INDEX(Lists!$F$2:$F$50,MATCH('Iron &amp; Steelmaker Tool'!$D$15,Lists!$B$2:$B$50,0))*1000/H$31,NA())</f>
        <v>#N/A</v>
      </c>
      <c r="I90" s="56" t="e">
        <f>IFERROR(I88*INDEX(Lists!$F$2:$F$50,MATCH('Iron &amp; Steelmaker Tool'!$D$15,Lists!$B$2:$B$50,0))*1000/I$31,NA())</f>
        <v>#N/A</v>
      </c>
      <c r="J90" s="56" t="e">
        <f>IFERROR(J88*INDEX(Lists!$F$2:$F$50,MATCH('Iron &amp; Steelmaker Tool'!$D$15,Lists!$B$2:$B$50,0))*1000/J$31,NA())</f>
        <v>#N/A</v>
      </c>
      <c r="K90" s="56" t="e">
        <f>IFERROR(K88*INDEX(Lists!$F$2:$F$50,MATCH('Iron &amp; Steelmaker Tool'!$D$15,Lists!$B$2:$B$50,0))*1000/K$31,NA())</f>
        <v>#N/A</v>
      </c>
      <c r="L90" s="56" t="e">
        <f>IFERROR(L88*INDEX(Lists!$F$2:$F$50,MATCH('Iron &amp; Steelmaker Tool'!$D$15,Lists!$B$2:$B$50,0))*1000/L$31,NA())</f>
        <v>#N/A</v>
      </c>
      <c r="M90" s="56" t="e">
        <f>IFERROR(M88*INDEX(Lists!$F$2:$F$50,MATCH('Iron &amp; Steelmaker Tool'!$D$15,Lists!$B$2:$B$50,0))*1000/M$31,NA())</f>
        <v>#N/A</v>
      </c>
      <c r="N90" s="56" t="e">
        <f>IFERROR(N88*INDEX(Lists!$F$2:$F$50,MATCH('Iron &amp; Steelmaker Tool'!$D$15,Lists!$B$2:$B$50,0))*1000/N$31,NA())</f>
        <v>#N/A</v>
      </c>
      <c r="O90" s="56" t="e">
        <f>IFERROR(O88*INDEX(Lists!$F$2:$F$50,MATCH('Iron &amp; Steelmaker Tool'!$D$15,Lists!$B$2:$B$50,0))*1000/O$31,NA())</f>
        <v>#N/A</v>
      </c>
      <c r="P90" s="56" t="e">
        <f>IFERROR(P88*INDEX(Lists!$F$2:$F$50,MATCH('Iron &amp; Steelmaker Tool'!$D$15,Lists!$B$2:$B$50,0))*1000/P$31,NA())</f>
        <v>#N/A</v>
      </c>
      <c r="Q90" s="56" t="e">
        <f>IFERROR(Q88*INDEX(Lists!$F$2:$F$50,MATCH('Iron &amp; Steelmaker Tool'!$D$15,Lists!$B$2:$B$50,0))*1000/Q$31,NA())</f>
        <v>#N/A</v>
      </c>
      <c r="R90" s="56" t="e">
        <f>IFERROR(R88*INDEX(Lists!$F$2:$F$50,MATCH('Iron &amp; Steelmaker Tool'!$D$15,Lists!$B$2:$B$50,0))*1000/R$31,NA())</f>
        <v>#N/A</v>
      </c>
      <c r="S90" s="56" t="e">
        <f>IFERROR(S88*INDEX(Lists!$F$2:$F$50,MATCH('Iron &amp; Steelmaker Tool'!$D$15,Lists!$B$2:$B$50,0))*1000/S$31,NA())</f>
        <v>#N/A</v>
      </c>
      <c r="T90" s="56" t="e">
        <f>IFERROR(T88*INDEX(Lists!$F$2:$F$50,MATCH('Iron &amp; Steelmaker Tool'!$D$15,Lists!$B$2:$B$50,0))*1000/T$31,NA())</f>
        <v>#N/A</v>
      </c>
      <c r="U90" s="56" t="e">
        <f>IFERROR(U88*INDEX(Lists!$F$2:$F$50,MATCH('Iron &amp; Steelmaker Tool'!$D$15,Lists!$B$2:$B$50,0))*1000/U$31,NA())</f>
        <v>#N/A</v>
      </c>
      <c r="V90" s="56" t="e">
        <f>IFERROR(V88*INDEX(Lists!$F$2:$F$50,MATCH('Iron &amp; Steelmaker Tool'!$D$15,Lists!$B$2:$B$50,0))*1000/V$31,NA())</f>
        <v>#N/A</v>
      </c>
      <c r="W90" s="56" t="e">
        <f>IFERROR(W88*INDEX(Lists!$F$2:$F$50,MATCH('Iron &amp; Steelmaker Tool'!$D$15,Lists!$B$2:$B$50,0))*1000/W$31,NA())</f>
        <v>#N/A</v>
      </c>
      <c r="X90" s="56" t="e">
        <f>IFERROR(X88*INDEX(Lists!$F$2:$F$50,MATCH('Iron &amp; Steelmaker Tool'!$D$15,Lists!$B$2:$B$50,0))*1000/X$31,NA())</f>
        <v>#N/A</v>
      </c>
      <c r="Y90" s="56" t="e">
        <f>IFERROR(Y88*INDEX(Lists!$F$2:$F$50,MATCH('Iron &amp; Steelmaker Tool'!$D$15,Lists!$B$2:$B$50,0))*1000/Y$31,NA())</f>
        <v>#N/A</v>
      </c>
      <c r="Z90" s="56" t="e">
        <f>IFERROR(Z88*INDEX(Lists!$F$2:$F$50,MATCH('Iron &amp; Steelmaker Tool'!$D$15,Lists!$B$2:$B$50,0))*1000/Z$31,NA())</f>
        <v>#N/A</v>
      </c>
      <c r="AA90" s="56" t="e">
        <f>IFERROR(AA88*INDEX(Lists!$F$2:$F$50,MATCH('Iron &amp; Steelmaker Tool'!$D$15,Lists!$B$2:$B$50,0))*1000/AA$31,NA())</f>
        <v>#N/A</v>
      </c>
      <c r="AB90" s="56" t="e">
        <f>IFERROR(AB88*INDEX(Lists!$F$2:$F$50,MATCH('Iron &amp; Steelmaker Tool'!$D$15,Lists!$B$2:$B$50,0))*1000/AB$31,NA())</f>
        <v>#N/A</v>
      </c>
      <c r="AC90" s="56" t="e">
        <f>IFERROR(AC88*INDEX(Lists!$F$2:$F$50,MATCH('Iron &amp; Steelmaker Tool'!$D$15,Lists!$B$2:$B$50,0))*1000/AC$31,NA())</f>
        <v>#N/A</v>
      </c>
      <c r="AD90" s="56" t="e">
        <f>IFERROR(AD88*INDEX(Lists!$F$2:$F$50,MATCH('Iron &amp; Steelmaker Tool'!$D$15,Lists!$B$2:$B$50,0))*1000/AD$31,NA())</f>
        <v>#N/A</v>
      </c>
      <c r="AE90" s="56" t="e">
        <f>IFERROR(AE88*INDEX(Lists!$F$2:$F$50,MATCH('Iron &amp; Steelmaker Tool'!$D$15,Lists!$B$2:$B$50,0))*1000/AE$31,NA())</f>
        <v>#N/A</v>
      </c>
      <c r="AF90" s="56" t="e">
        <f>IFERROR(AF88*INDEX(Lists!$F$2:$F$50,MATCH('Iron &amp; Steelmaker Tool'!$D$15,Lists!$B$2:$B$50,0))*1000/AF$31,NA())</f>
        <v>#N/A</v>
      </c>
      <c r="AG90" s="56" t="e">
        <f>IFERROR(AG88*INDEX(Lists!$F$2:$F$50,MATCH('Iron &amp; Steelmaker Tool'!$D$15,Lists!$B$2:$B$50,0))*1000/AG$31,NA())</f>
        <v>#N/A</v>
      </c>
      <c r="AH90" s="56" t="e">
        <f>IFERROR(AH88*INDEX(Lists!$F$2:$F$50,MATCH('Iron &amp; Steelmaker Tool'!$D$15,Lists!$B$2:$B$50,0))*1000/AH$31,NA())</f>
        <v>#N/A</v>
      </c>
      <c r="AI90" s="56" t="e">
        <f>IFERROR(AI88*INDEX(Lists!$F$2:$F$50,MATCH('Iron &amp; Steelmaker Tool'!$D$15,Lists!$B$2:$B$50,0))*1000/AI$31,NA())</f>
        <v>#N/A</v>
      </c>
      <c r="AJ90" s="56" t="e">
        <f>IFERROR(AJ88*INDEX(Lists!$F$2:$F$50,MATCH('Iron &amp; Steelmaker Tool'!$D$15,Lists!$B$2:$B$50,0))*1000/AJ$31,NA())</f>
        <v>#N/A</v>
      </c>
      <c r="AK90" s="56" t="e">
        <f>IFERROR(AK88*INDEX(Lists!$F$2:$F$50,MATCH('Iron &amp; Steelmaker Tool'!$D$15,Lists!$B$2:$B$50,0))*1000/AK$31,NA())</f>
        <v>#N/A</v>
      </c>
      <c r="AL90" s="56" t="e">
        <f>IFERROR(AL88*INDEX(Lists!$F$2:$F$50,MATCH('Iron &amp; Steelmaker Tool'!$D$15,Lists!$B$2:$B$50,0))*1000/AL$31,NA())</f>
        <v>#N/A</v>
      </c>
      <c r="AM90" s="56" t="e">
        <f>IFERROR(AM88*INDEX(Lists!$F$2:$F$50,MATCH('Iron &amp; Steelmaker Tool'!$D$15,Lists!$B$2:$B$50,0))*1000/AM$31,NA())</f>
        <v>#N/A</v>
      </c>
      <c r="AN90" s="56" t="e">
        <f>IFERROR(AN88*INDEX(Lists!$F$2:$F$50,MATCH('Iron &amp; Steelmaker Tool'!$D$15,Lists!$B$2:$B$50,0))*1000/AN$31,NA())</f>
        <v>#N/A</v>
      </c>
      <c r="AO90" s="56" t="e">
        <f>IFERROR(AO88*INDEX(Lists!$F$2:$F$50,MATCH('Iron &amp; Steelmaker Tool'!$D$15,Lists!$B$2:$B$50,0))*1000/AO$31,NA())</f>
        <v>#N/A</v>
      </c>
      <c r="AP90" s="56" t="e">
        <f>IFERROR(AP88*INDEX(Lists!$F$2:$F$50,MATCH('Iron &amp; Steelmaker Tool'!$D$15,Lists!$B$2:$B$50,0))*1000/AP$31,NA())</f>
        <v>#N/A</v>
      </c>
      <c r="AQ90" s="56" t="e">
        <f>IFERROR(AQ88*INDEX(Lists!$F$2:$F$50,MATCH('Iron &amp; Steelmaker Tool'!$D$15,Lists!$B$2:$B$50,0))*1000/AQ$31,NA())</f>
        <v>#N/A</v>
      </c>
      <c r="AR90" s="56" t="e">
        <f>IFERROR(AR88*INDEX(Lists!$F$2:$F$50,MATCH('Iron &amp; Steelmaker Tool'!$D$15,Lists!$B$2:$B$50,0))*1000/AR$31,NA())</f>
        <v>#N/A</v>
      </c>
      <c r="AS90" s="56" t="e">
        <f>IFERROR(AS88*INDEX(Lists!$F$2:$F$50,MATCH('Iron &amp; Steelmaker Tool'!$D$15,Lists!$B$2:$B$50,0))*1000/AS$31,NA())</f>
        <v>#N/A</v>
      </c>
      <c r="AT90" s="56" t="e">
        <f>IFERROR(AT88*INDEX(Lists!$F$2:$F$50,MATCH('Iron &amp; Steelmaker Tool'!$D$15,Lists!$B$2:$B$50,0))*1000/AT$31,NA())</f>
        <v>#N/A</v>
      </c>
      <c r="AU90" s="56" t="e">
        <f>IFERROR(AU88*INDEX(Lists!$F$2:$F$50,MATCH('Iron &amp; Steelmaker Tool'!$D$15,Lists!$B$2:$B$50,0))*1000/AU$31,NA())</f>
        <v>#N/A</v>
      </c>
      <c r="AV90" s="56" t="e">
        <f>IFERROR(AV88*INDEX(Lists!$F$2:$F$50,MATCH('Iron &amp; Steelmaker Tool'!$D$15,Lists!$B$2:$B$50,0))*1000/AV$31,NA())</f>
        <v>#N/A</v>
      </c>
      <c r="AW90" s="56" t="e">
        <f>IFERROR(AW88*INDEX(Lists!$F$2:$F$50,MATCH('Iron &amp; Steelmaker Tool'!$D$15,Lists!$B$2:$B$50,0))*1000/AW$31,NA())</f>
        <v>#N/A</v>
      </c>
      <c r="AX90" s="56" t="e">
        <f>IFERROR(AX88*INDEX(Lists!$F$2:$F$50,MATCH('Iron &amp; Steelmaker Tool'!$D$15,Lists!$B$2:$B$50,0))*1000/AX$31,NA())</f>
        <v>#N/A</v>
      </c>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row>
    <row r="91" spans="1:91" s="43" customFormat="1" hidden="1" x14ac:dyDescent="0.15">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row>
    <row r="92" spans="1:91" s="43" customFormat="1" hidden="1" x14ac:dyDescent="0.15">
      <c r="A92" s="58" t="s">
        <v>53</v>
      </c>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row>
    <row r="93" spans="1:91" s="43" customFormat="1" hidden="1" x14ac:dyDescent="0.15">
      <c r="A93" s="58"/>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row>
    <row r="94" spans="1:91" s="43" customFormat="1" hidden="1" x14ac:dyDescent="0.15">
      <c r="A94" s="43" t="s">
        <v>43</v>
      </c>
      <c r="B94" s="43" t="str">
        <f>IF(OR('Iron &amp; Steelmaker Tool'!$D$15=Lists!$B$26,'Iron &amp; Steelmaker Tool'!$D$15=Lists!$B$27,'Iron &amp; Steelmaker Tool'!$D$15=Lists!$B$28),"Scope 3 emissions ("&amp;C94&amp;")","Scope 1 emissions ("&amp;C94&amp;")")</f>
        <v>Scope 1 emissions (MtCO2)</v>
      </c>
      <c r="C94" s="43" t="s">
        <v>25</v>
      </c>
      <c r="D94" s="56" t="e">
        <f>IFERROR(IF(HLOOKUP('Iron &amp; Steelmaker Tool'!$D$20,$D$1:$CL$10,ROW($A$10),)&lt;0,NA(),IF(D$1&lt;'Iron &amp; Steelmaker Tool'!$D$16,NA(),IF(D$1&gt;'Iron &amp; Steelmaker Tool'!$D$20,NA(),'Iron &amp; Steelmaker Tool'!$D$18*((('Iron &amp; Steelmaker Tool'!$D$18*(HLOOKUP('Iron &amp; Steelmaker Tool'!$D$20,$D$1:$CL$10,ROW($A$10),)/HLOOKUP('Iron &amp; Steelmaker Tool'!$D$16,$D$1:$CL$10,ROW($A$10),)))/'Iron &amp; Steelmaker Tool'!$D$18)^(1/('Iron &amp; Steelmaker Tool'!$D$20-'Iron &amp; Steelmaker Tool'!$D$16)))^(D$1-'Iron &amp; Steelmaker Tool'!$D$16)))/1000),NA())</f>
        <v>#N/A</v>
      </c>
      <c r="E94" s="56" t="e">
        <f>IFERROR(IF(HLOOKUP('Iron &amp; Steelmaker Tool'!$D$20,$D$1:$CL$10,ROW($A$10),)&lt;0,NA(),IF(E$1&lt;'Iron &amp; Steelmaker Tool'!$D$16,NA(),IF(E$1&gt;'Iron &amp; Steelmaker Tool'!$D$20,NA(),'Iron &amp; Steelmaker Tool'!$D$18*((('Iron &amp; Steelmaker Tool'!$D$18*(HLOOKUP('Iron &amp; Steelmaker Tool'!$D$20,$D$1:$CL$10,ROW($A$10),)/HLOOKUP('Iron &amp; Steelmaker Tool'!$D$16,$D$1:$CL$10,ROW($A$10),)))/'Iron &amp; Steelmaker Tool'!$D$18)^(1/('Iron &amp; Steelmaker Tool'!$D$20-'Iron &amp; Steelmaker Tool'!$D$16)))^(E$1-'Iron &amp; Steelmaker Tool'!$D$16)))/1000),NA())</f>
        <v>#N/A</v>
      </c>
      <c r="F94" s="56" t="e">
        <f>IFERROR(IF(HLOOKUP('Iron &amp; Steelmaker Tool'!$D$20,$D$1:$CL$10,ROW($A$10),)&lt;0,NA(),IF(F$1&lt;'Iron &amp; Steelmaker Tool'!$D$16,NA(),IF(F$1&gt;'Iron &amp; Steelmaker Tool'!$D$20,NA(),'Iron &amp; Steelmaker Tool'!$D$18*((('Iron &amp; Steelmaker Tool'!$D$18*(HLOOKUP('Iron &amp; Steelmaker Tool'!$D$20,$D$1:$CL$10,ROW($A$10),)/HLOOKUP('Iron &amp; Steelmaker Tool'!$D$16,$D$1:$CL$10,ROW($A$10),)))/'Iron &amp; Steelmaker Tool'!$D$18)^(1/('Iron &amp; Steelmaker Tool'!$D$20-'Iron &amp; Steelmaker Tool'!$D$16)))^(F$1-'Iron &amp; Steelmaker Tool'!$D$16)))/1000),NA())</f>
        <v>#N/A</v>
      </c>
      <c r="G94" s="56" t="e">
        <f>IFERROR(IF(HLOOKUP('Iron &amp; Steelmaker Tool'!$D$20,$D$1:$CL$10,ROW($A$10),)&lt;0,NA(),IF(G$1&lt;'Iron &amp; Steelmaker Tool'!$D$16,NA(),IF(G$1&gt;'Iron &amp; Steelmaker Tool'!$D$20,NA(),'Iron &amp; Steelmaker Tool'!$D$18*((('Iron &amp; Steelmaker Tool'!$D$18*(HLOOKUP('Iron &amp; Steelmaker Tool'!$D$20,$D$1:$CL$10,ROW($A$10),)/HLOOKUP('Iron &amp; Steelmaker Tool'!$D$16,$D$1:$CL$10,ROW($A$10),)))/'Iron &amp; Steelmaker Tool'!$D$18)^(1/('Iron &amp; Steelmaker Tool'!$D$20-'Iron &amp; Steelmaker Tool'!$D$16)))^(G$1-'Iron &amp; Steelmaker Tool'!$D$16)))/1000),NA())</f>
        <v>#N/A</v>
      </c>
      <c r="H94" s="56" t="e">
        <f>IFERROR(IF(HLOOKUP('Iron &amp; Steelmaker Tool'!$D$20,$D$1:$CL$10,ROW($A$10),)&lt;0,NA(),IF(H$1&lt;'Iron &amp; Steelmaker Tool'!$D$16,NA(),IF(H$1&gt;'Iron &amp; Steelmaker Tool'!$D$20,NA(),'Iron &amp; Steelmaker Tool'!$D$18*((('Iron &amp; Steelmaker Tool'!$D$18*(HLOOKUP('Iron &amp; Steelmaker Tool'!$D$20,$D$1:$CL$10,ROW($A$10),)/HLOOKUP('Iron &amp; Steelmaker Tool'!$D$16,$D$1:$CL$10,ROW($A$10),)))/'Iron &amp; Steelmaker Tool'!$D$18)^(1/('Iron &amp; Steelmaker Tool'!$D$20-'Iron &amp; Steelmaker Tool'!$D$16)))^(H$1-'Iron &amp; Steelmaker Tool'!$D$16)))/1000),NA())</f>
        <v>#N/A</v>
      </c>
      <c r="I94" s="56" t="e">
        <f>IFERROR(IF(HLOOKUP('Iron &amp; Steelmaker Tool'!$D$20,$D$1:$CL$10,ROW($A$10),)&lt;0,NA(),IF(I$1&lt;'Iron &amp; Steelmaker Tool'!$D$16,NA(),IF(I$1&gt;'Iron &amp; Steelmaker Tool'!$D$20,NA(),'Iron &amp; Steelmaker Tool'!$D$18*((('Iron &amp; Steelmaker Tool'!$D$18*(HLOOKUP('Iron &amp; Steelmaker Tool'!$D$20,$D$1:$CL$10,ROW($A$10),)/HLOOKUP('Iron &amp; Steelmaker Tool'!$D$16,$D$1:$CL$10,ROW($A$10),)))/'Iron &amp; Steelmaker Tool'!$D$18)^(1/('Iron &amp; Steelmaker Tool'!$D$20-'Iron &amp; Steelmaker Tool'!$D$16)))^(I$1-'Iron &amp; Steelmaker Tool'!$D$16)))/1000),NA())</f>
        <v>#N/A</v>
      </c>
      <c r="J94" s="56" t="e">
        <f>IFERROR(IF(HLOOKUP('Iron &amp; Steelmaker Tool'!$D$20,$D$1:$CL$10,ROW($A$10),)&lt;0,NA(),IF(J$1&lt;'Iron &amp; Steelmaker Tool'!$D$16,NA(),IF(J$1&gt;'Iron &amp; Steelmaker Tool'!$D$20,NA(),'Iron &amp; Steelmaker Tool'!$D$18*((('Iron &amp; Steelmaker Tool'!$D$18*(HLOOKUP('Iron &amp; Steelmaker Tool'!$D$20,$D$1:$CL$10,ROW($A$10),)/HLOOKUP('Iron &amp; Steelmaker Tool'!$D$16,$D$1:$CL$10,ROW($A$10),)))/'Iron &amp; Steelmaker Tool'!$D$18)^(1/('Iron &amp; Steelmaker Tool'!$D$20-'Iron &amp; Steelmaker Tool'!$D$16)))^(J$1-'Iron &amp; Steelmaker Tool'!$D$16)))/1000),NA())</f>
        <v>#N/A</v>
      </c>
      <c r="K94" s="56" t="e">
        <f>IFERROR(IF(HLOOKUP('Iron &amp; Steelmaker Tool'!$D$20,$D$1:$CL$10,ROW($A$10),)&lt;0,NA(),IF(K$1&lt;'Iron &amp; Steelmaker Tool'!$D$16,NA(),IF(K$1&gt;'Iron &amp; Steelmaker Tool'!$D$20,NA(),'Iron &amp; Steelmaker Tool'!$D$18*((('Iron &amp; Steelmaker Tool'!$D$18*(HLOOKUP('Iron &amp; Steelmaker Tool'!$D$20,$D$1:$CL$10,ROW($A$10),)/HLOOKUP('Iron &amp; Steelmaker Tool'!$D$16,$D$1:$CL$10,ROW($A$10),)))/'Iron &amp; Steelmaker Tool'!$D$18)^(1/('Iron &amp; Steelmaker Tool'!$D$20-'Iron &amp; Steelmaker Tool'!$D$16)))^(K$1-'Iron &amp; Steelmaker Tool'!$D$16)))/1000),NA())</f>
        <v>#N/A</v>
      </c>
      <c r="L94" s="56" t="e">
        <f>IFERROR(IF(HLOOKUP('Iron &amp; Steelmaker Tool'!$D$20,$D$1:$CL$10,ROW($A$10),)&lt;0,NA(),IF(L$1&lt;'Iron &amp; Steelmaker Tool'!$D$16,NA(),IF(L$1&gt;'Iron &amp; Steelmaker Tool'!$D$20,NA(),'Iron &amp; Steelmaker Tool'!$D$18*((('Iron &amp; Steelmaker Tool'!$D$18*(HLOOKUP('Iron &amp; Steelmaker Tool'!$D$20,$D$1:$CL$10,ROW($A$10),)/HLOOKUP('Iron &amp; Steelmaker Tool'!$D$16,$D$1:$CL$10,ROW($A$10),)))/'Iron &amp; Steelmaker Tool'!$D$18)^(1/('Iron &amp; Steelmaker Tool'!$D$20-'Iron &amp; Steelmaker Tool'!$D$16)))^(L$1-'Iron &amp; Steelmaker Tool'!$D$16)))/1000),NA())</f>
        <v>#N/A</v>
      </c>
      <c r="M94" s="56" t="e">
        <f>IFERROR(IF(HLOOKUP('Iron &amp; Steelmaker Tool'!$D$20,$D$1:$CL$10,ROW($A$10),)&lt;0,NA(),IF(M$1&lt;'Iron &amp; Steelmaker Tool'!$D$16,NA(),IF(M$1&gt;'Iron &amp; Steelmaker Tool'!$D$20,NA(),'Iron &amp; Steelmaker Tool'!$D$18*((('Iron &amp; Steelmaker Tool'!$D$18*(HLOOKUP('Iron &amp; Steelmaker Tool'!$D$20,$D$1:$CL$10,ROW($A$10),)/HLOOKUP('Iron &amp; Steelmaker Tool'!$D$16,$D$1:$CL$10,ROW($A$10),)))/'Iron &amp; Steelmaker Tool'!$D$18)^(1/('Iron &amp; Steelmaker Tool'!$D$20-'Iron &amp; Steelmaker Tool'!$D$16)))^(M$1-'Iron &amp; Steelmaker Tool'!$D$16)))/1000),NA())</f>
        <v>#N/A</v>
      </c>
      <c r="N94" s="56" t="e">
        <f>IFERROR(IF(HLOOKUP('Iron &amp; Steelmaker Tool'!$D$20,$D$1:$CL$10,ROW($A$10),)&lt;0,NA(),IF(N$1&lt;'Iron &amp; Steelmaker Tool'!$D$16,NA(),IF(N$1&gt;'Iron &amp; Steelmaker Tool'!$D$20,NA(),'Iron &amp; Steelmaker Tool'!$D$18*((('Iron &amp; Steelmaker Tool'!$D$18*(HLOOKUP('Iron &amp; Steelmaker Tool'!$D$20,$D$1:$CL$10,ROW($A$10),)/HLOOKUP('Iron &amp; Steelmaker Tool'!$D$16,$D$1:$CL$10,ROW($A$10),)))/'Iron &amp; Steelmaker Tool'!$D$18)^(1/('Iron &amp; Steelmaker Tool'!$D$20-'Iron &amp; Steelmaker Tool'!$D$16)))^(N$1-'Iron &amp; Steelmaker Tool'!$D$16)))/1000),NA())</f>
        <v>#N/A</v>
      </c>
      <c r="O94" s="56" t="e">
        <f>IFERROR(IF(HLOOKUP('Iron &amp; Steelmaker Tool'!$D$20,$D$1:$CL$10,ROW($A$10),)&lt;0,NA(),IF(O$1&lt;'Iron &amp; Steelmaker Tool'!$D$16,NA(),IF(O$1&gt;'Iron &amp; Steelmaker Tool'!$D$20,NA(),'Iron &amp; Steelmaker Tool'!$D$18*((('Iron &amp; Steelmaker Tool'!$D$18*(HLOOKUP('Iron &amp; Steelmaker Tool'!$D$20,$D$1:$CL$10,ROW($A$10),)/HLOOKUP('Iron &amp; Steelmaker Tool'!$D$16,$D$1:$CL$10,ROW($A$10),)))/'Iron &amp; Steelmaker Tool'!$D$18)^(1/('Iron &amp; Steelmaker Tool'!$D$20-'Iron &amp; Steelmaker Tool'!$D$16)))^(O$1-'Iron &amp; Steelmaker Tool'!$D$16)))/1000),NA())</f>
        <v>#N/A</v>
      </c>
      <c r="P94" s="56" t="e">
        <f>IFERROR(IF(HLOOKUP('Iron &amp; Steelmaker Tool'!$D$20,$D$1:$CL$10,ROW($A$10),)&lt;0,NA(),IF(P$1&lt;'Iron &amp; Steelmaker Tool'!$D$16,NA(),IF(P$1&gt;'Iron &amp; Steelmaker Tool'!$D$20,NA(),'Iron &amp; Steelmaker Tool'!$D$18*((('Iron &amp; Steelmaker Tool'!$D$18*(HLOOKUP('Iron &amp; Steelmaker Tool'!$D$20,$D$1:$CL$10,ROW($A$10),)/HLOOKUP('Iron &amp; Steelmaker Tool'!$D$16,$D$1:$CL$10,ROW($A$10),)))/'Iron &amp; Steelmaker Tool'!$D$18)^(1/('Iron &amp; Steelmaker Tool'!$D$20-'Iron &amp; Steelmaker Tool'!$D$16)))^(P$1-'Iron &amp; Steelmaker Tool'!$D$16)))/1000),NA())</f>
        <v>#N/A</v>
      </c>
      <c r="Q94" s="56" t="e">
        <f>IFERROR(IF(HLOOKUP('Iron &amp; Steelmaker Tool'!$D$20,$D$1:$CL$10,ROW($A$10),)&lt;0,NA(),IF(Q$1&lt;'Iron &amp; Steelmaker Tool'!$D$16,NA(),IF(Q$1&gt;'Iron &amp; Steelmaker Tool'!$D$20,NA(),'Iron &amp; Steelmaker Tool'!$D$18*((('Iron &amp; Steelmaker Tool'!$D$18*(HLOOKUP('Iron &amp; Steelmaker Tool'!$D$20,$D$1:$CL$10,ROW($A$10),)/HLOOKUP('Iron &amp; Steelmaker Tool'!$D$16,$D$1:$CL$10,ROW($A$10),)))/'Iron &amp; Steelmaker Tool'!$D$18)^(1/('Iron &amp; Steelmaker Tool'!$D$20-'Iron &amp; Steelmaker Tool'!$D$16)))^(Q$1-'Iron &amp; Steelmaker Tool'!$D$16)))/1000),NA())</f>
        <v>#N/A</v>
      </c>
      <c r="R94" s="56" t="e">
        <f>IFERROR(IF(HLOOKUP('Iron &amp; Steelmaker Tool'!$D$20,$D$1:$CL$10,ROW($A$10),)&lt;0,NA(),IF(R$1&lt;'Iron &amp; Steelmaker Tool'!$D$16,NA(),IF(R$1&gt;'Iron &amp; Steelmaker Tool'!$D$20,NA(),'Iron &amp; Steelmaker Tool'!$D$18*((('Iron &amp; Steelmaker Tool'!$D$18*(HLOOKUP('Iron &amp; Steelmaker Tool'!$D$20,$D$1:$CL$10,ROW($A$10),)/HLOOKUP('Iron &amp; Steelmaker Tool'!$D$16,$D$1:$CL$10,ROW($A$10),)))/'Iron &amp; Steelmaker Tool'!$D$18)^(1/('Iron &amp; Steelmaker Tool'!$D$20-'Iron &amp; Steelmaker Tool'!$D$16)))^(R$1-'Iron &amp; Steelmaker Tool'!$D$16)))/1000),NA())</f>
        <v>#N/A</v>
      </c>
      <c r="S94" s="56" t="e">
        <f>IFERROR(IF(HLOOKUP('Iron &amp; Steelmaker Tool'!$D$20,$D$1:$CL$10,ROW($A$10),)&lt;0,NA(),IF(S$1&lt;'Iron &amp; Steelmaker Tool'!$D$16,NA(),IF(S$1&gt;'Iron &amp; Steelmaker Tool'!$D$20,NA(),'Iron &amp; Steelmaker Tool'!$D$18*((('Iron &amp; Steelmaker Tool'!$D$18*(HLOOKUP('Iron &amp; Steelmaker Tool'!$D$20,$D$1:$CL$10,ROW($A$10),)/HLOOKUP('Iron &amp; Steelmaker Tool'!$D$16,$D$1:$CL$10,ROW($A$10),)))/'Iron &amp; Steelmaker Tool'!$D$18)^(1/('Iron &amp; Steelmaker Tool'!$D$20-'Iron &amp; Steelmaker Tool'!$D$16)))^(S$1-'Iron &amp; Steelmaker Tool'!$D$16)))/1000),NA())</f>
        <v>#N/A</v>
      </c>
      <c r="T94" s="56" t="e">
        <f>IFERROR(IF(HLOOKUP('Iron &amp; Steelmaker Tool'!$D$20,$D$1:$CL$10,ROW($A$10),)&lt;0,NA(),IF(T$1&lt;'Iron &amp; Steelmaker Tool'!$D$16,NA(),IF(T$1&gt;'Iron &amp; Steelmaker Tool'!$D$20,NA(),'Iron &amp; Steelmaker Tool'!$D$18*((('Iron &amp; Steelmaker Tool'!$D$18*(HLOOKUP('Iron &amp; Steelmaker Tool'!$D$20,$D$1:$CL$10,ROW($A$10),)/HLOOKUP('Iron &amp; Steelmaker Tool'!$D$16,$D$1:$CL$10,ROW($A$10),)))/'Iron &amp; Steelmaker Tool'!$D$18)^(1/('Iron &amp; Steelmaker Tool'!$D$20-'Iron &amp; Steelmaker Tool'!$D$16)))^(T$1-'Iron &amp; Steelmaker Tool'!$D$16)))/1000),NA())</f>
        <v>#N/A</v>
      </c>
      <c r="U94" s="56" t="e">
        <f>IFERROR(IF(HLOOKUP('Iron &amp; Steelmaker Tool'!$D$20,$D$1:$CL$10,ROW($A$10),)&lt;0,NA(),IF(U$1&lt;'Iron &amp; Steelmaker Tool'!$D$16,NA(),IF(U$1&gt;'Iron &amp; Steelmaker Tool'!$D$20,NA(),'Iron &amp; Steelmaker Tool'!$D$18*((('Iron &amp; Steelmaker Tool'!$D$18*(HLOOKUP('Iron &amp; Steelmaker Tool'!$D$20,$D$1:$CL$10,ROW($A$10),)/HLOOKUP('Iron &amp; Steelmaker Tool'!$D$16,$D$1:$CL$10,ROW($A$10),)))/'Iron &amp; Steelmaker Tool'!$D$18)^(1/('Iron &amp; Steelmaker Tool'!$D$20-'Iron &amp; Steelmaker Tool'!$D$16)))^(U$1-'Iron &amp; Steelmaker Tool'!$D$16)))/1000),NA())</f>
        <v>#N/A</v>
      </c>
      <c r="V94" s="56" t="e">
        <f>IFERROR(IF(HLOOKUP('Iron &amp; Steelmaker Tool'!$D$20,$D$1:$CL$10,ROW($A$10),)&lt;0,NA(),IF(V$1&lt;'Iron &amp; Steelmaker Tool'!$D$16,NA(),IF(V$1&gt;'Iron &amp; Steelmaker Tool'!$D$20,NA(),'Iron &amp; Steelmaker Tool'!$D$18*((('Iron &amp; Steelmaker Tool'!$D$18*(HLOOKUP('Iron &amp; Steelmaker Tool'!$D$20,$D$1:$CL$10,ROW($A$10),)/HLOOKUP('Iron &amp; Steelmaker Tool'!$D$16,$D$1:$CL$10,ROW($A$10),)))/'Iron &amp; Steelmaker Tool'!$D$18)^(1/('Iron &amp; Steelmaker Tool'!$D$20-'Iron &amp; Steelmaker Tool'!$D$16)))^(V$1-'Iron &amp; Steelmaker Tool'!$D$16)))/1000),NA())</f>
        <v>#N/A</v>
      </c>
      <c r="W94" s="56" t="e">
        <f>IFERROR(IF(HLOOKUP('Iron &amp; Steelmaker Tool'!$D$20,$D$1:$CL$10,ROW($A$10),)&lt;0,NA(),IF(W$1&lt;'Iron &amp; Steelmaker Tool'!$D$16,NA(),IF(W$1&gt;'Iron &amp; Steelmaker Tool'!$D$20,NA(),'Iron &amp; Steelmaker Tool'!$D$18*((('Iron &amp; Steelmaker Tool'!$D$18*(HLOOKUP('Iron &amp; Steelmaker Tool'!$D$20,$D$1:$CL$10,ROW($A$10),)/HLOOKUP('Iron &amp; Steelmaker Tool'!$D$16,$D$1:$CL$10,ROW($A$10),)))/'Iron &amp; Steelmaker Tool'!$D$18)^(1/('Iron &amp; Steelmaker Tool'!$D$20-'Iron &amp; Steelmaker Tool'!$D$16)))^(W$1-'Iron &amp; Steelmaker Tool'!$D$16)))/1000),NA())</f>
        <v>#N/A</v>
      </c>
      <c r="X94" s="56" t="e">
        <f>IFERROR(IF(HLOOKUP('Iron &amp; Steelmaker Tool'!$D$20,$D$1:$CL$10,ROW($A$10),)&lt;0,NA(),IF(X$1&lt;'Iron &amp; Steelmaker Tool'!$D$16,NA(),IF(X$1&gt;'Iron &amp; Steelmaker Tool'!$D$20,NA(),'Iron &amp; Steelmaker Tool'!$D$18*((('Iron &amp; Steelmaker Tool'!$D$18*(HLOOKUP('Iron &amp; Steelmaker Tool'!$D$20,$D$1:$CL$10,ROW($A$10),)/HLOOKUP('Iron &amp; Steelmaker Tool'!$D$16,$D$1:$CL$10,ROW($A$10),)))/'Iron &amp; Steelmaker Tool'!$D$18)^(1/('Iron &amp; Steelmaker Tool'!$D$20-'Iron &amp; Steelmaker Tool'!$D$16)))^(X$1-'Iron &amp; Steelmaker Tool'!$D$16)))/1000),NA())</f>
        <v>#N/A</v>
      </c>
      <c r="Y94" s="56" t="e">
        <f>IFERROR(IF(HLOOKUP('Iron &amp; Steelmaker Tool'!$D$20,$D$1:$CL$10,ROW($A$10),)&lt;0,NA(),IF(Y$1&lt;'Iron &amp; Steelmaker Tool'!$D$16,NA(),IF(Y$1&gt;'Iron &amp; Steelmaker Tool'!$D$20,NA(),'Iron &amp; Steelmaker Tool'!$D$18*((('Iron &amp; Steelmaker Tool'!$D$18*(HLOOKUP('Iron &amp; Steelmaker Tool'!$D$20,$D$1:$CL$10,ROW($A$10),)/HLOOKUP('Iron &amp; Steelmaker Tool'!$D$16,$D$1:$CL$10,ROW($A$10),)))/'Iron &amp; Steelmaker Tool'!$D$18)^(1/('Iron &amp; Steelmaker Tool'!$D$20-'Iron &amp; Steelmaker Tool'!$D$16)))^(Y$1-'Iron &amp; Steelmaker Tool'!$D$16)))/1000),NA())</f>
        <v>#N/A</v>
      </c>
      <c r="Z94" s="56" t="e">
        <f>IFERROR(IF(HLOOKUP('Iron &amp; Steelmaker Tool'!$D$20,$D$1:$CL$10,ROW($A$10),)&lt;0,NA(),IF(Z$1&lt;'Iron &amp; Steelmaker Tool'!$D$16,NA(),IF(Z$1&gt;'Iron &amp; Steelmaker Tool'!$D$20,NA(),'Iron &amp; Steelmaker Tool'!$D$18*((('Iron &amp; Steelmaker Tool'!$D$18*(HLOOKUP('Iron &amp; Steelmaker Tool'!$D$20,$D$1:$CL$10,ROW($A$10),)/HLOOKUP('Iron &amp; Steelmaker Tool'!$D$16,$D$1:$CL$10,ROW($A$10),)))/'Iron &amp; Steelmaker Tool'!$D$18)^(1/('Iron &amp; Steelmaker Tool'!$D$20-'Iron &amp; Steelmaker Tool'!$D$16)))^(Z$1-'Iron &amp; Steelmaker Tool'!$D$16)))/1000),NA())</f>
        <v>#N/A</v>
      </c>
      <c r="AA94" s="56" t="e">
        <f>IFERROR(IF(HLOOKUP('Iron &amp; Steelmaker Tool'!$D$20,$D$1:$CL$10,ROW($A$10),)&lt;0,NA(),IF(AA$1&lt;'Iron &amp; Steelmaker Tool'!$D$16,NA(),IF(AA$1&gt;'Iron &amp; Steelmaker Tool'!$D$20,NA(),'Iron &amp; Steelmaker Tool'!$D$18*((('Iron &amp; Steelmaker Tool'!$D$18*(HLOOKUP('Iron &amp; Steelmaker Tool'!$D$20,$D$1:$CL$10,ROW($A$10),)/HLOOKUP('Iron &amp; Steelmaker Tool'!$D$16,$D$1:$CL$10,ROW($A$10),)))/'Iron &amp; Steelmaker Tool'!$D$18)^(1/('Iron &amp; Steelmaker Tool'!$D$20-'Iron &amp; Steelmaker Tool'!$D$16)))^(AA$1-'Iron &amp; Steelmaker Tool'!$D$16)))/1000),NA())</f>
        <v>#N/A</v>
      </c>
      <c r="AB94" s="56" t="e">
        <f>IFERROR(IF(HLOOKUP('Iron &amp; Steelmaker Tool'!$D$20,$D$1:$CL$10,ROW($A$10),)&lt;0,NA(),IF(AB$1&lt;'Iron &amp; Steelmaker Tool'!$D$16,NA(),IF(AB$1&gt;'Iron &amp; Steelmaker Tool'!$D$20,NA(),'Iron &amp; Steelmaker Tool'!$D$18*((('Iron &amp; Steelmaker Tool'!$D$18*(HLOOKUP('Iron &amp; Steelmaker Tool'!$D$20,$D$1:$CL$10,ROW($A$10),)/HLOOKUP('Iron &amp; Steelmaker Tool'!$D$16,$D$1:$CL$10,ROW($A$10),)))/'Iron &amp; Steelmaker Tool'!$D$18)^(1/('Iron &amp; Steelmaker Tool'!$D$20-'Iron &amp; Steelmaker Tool'!$D$16)))^(AB$1-'Iron &amp; Steelmaker Tool'!$D$16)))/1000),NA())</f>
        <v>#N/A</v>
      </c>
      <c r="AC94" s="56" t="e">
        <f>IFERROR(IF(HLOOKUP('Iron &amp; Steelmaker Tool'!$D$20,$D$1:$CL$10,ROW($A$10),)&lt;0,NA(),IF(AC$1&lt;'Iron &amp; Steelmaker Tool'!$D$16,NA(),IF(AC$1&gt;'Iron &amp; Steelmaker Tool'!$D$20,NA(),'Iron &amp; Steelmaker Tool'!$D$18*((('Iron &amp; Steelmaker Tool'!$D$18*(HLOOKUP('Iron &amp; Steelmaker Tool'!$D$20,$D$1:$CL$10,ROW($A$10),)/HLOOKUP('Iron &amp; Steelmaker Tool'!$D$16,$D$1:$CL$10,ROW($A$10),)))/'Iron &amp; Steelmaker Tool'!$D$18)^(1/('Iron &amp; Steelmaker Tool'!$D$20-'Iron &amp; Steelmaker Tool'!$D$16)))^(AC$1-'Iron &amp; Steelmaker Tool'!$D$16)))/1000),NA())</f>
        <v>#N/A</v>
      </c>
      <c r="AD94" s="56" t="e">
        <f>IFERROR(IF(HLOOKUP('Iron &amp; Steelmaker Tool'!$D$20,$D$1:$CL$10,ROW($A$10),)&lt;0,NA(),IF(AD$1&lt;'Iron &amp; Steelmaker Tool'!$D$16,NA(),IF(AD$1&gt;'Iron &amp; Steelmaker Tool'!$D$20,NA(),'Iron &amp; Steelmaker Tool'!$D$18*((('Iron &amp; Steelmaker Tool'!$D$18*(HLOOKUP('Iron &amp; Steelmaker Tool'!$D$20,$D$1:$CL$10,ROW($A$10),)/HLOOKUP('Iron &amp; Steelmaker Tool'!$D$16,$D$1:$CL$10,ROW($A$10),)))/'Iron &amp; Steelmaker Tool'!$D$18)^(1/('Iron &amp; Steelmaker Tool'!$D$20-'Iron &amp; Steelmaker Tool'!$D$16)))^(AD$1-'Iron &amp; Steelmaker Tool'!$D$16)))/1000),NA())</f>
        <v>#N/A</v>
      </c>
      <c r="AE94" s="56" t="e">
        <f>IFERROR(IF(HLOOKUP('Iron &amp; Steelmaker Tool'!$D$20,$D$1:$CL$10,ROW($A$10),)&lt;0,NA(),IF(AE$1&lt;'Iron &amp; Steelmaker Tool'!$D$16,NA(),IF(AE$1&gt;'Iron &amp; Steelmaker Tool'!$D$20,NA(),'Iron &amp; Steelmaker Tool'!$D$18*((('Iron &amp; Steelmaker Tool'!$D$18*(HLOOKUP('Iron &amp; Steelmaker Tool'!$D$20,$D$1:$CL$10,ROW($A$10),)/HLOOKUP('Iron &amp; Steelmaker Tool'!$D$16,$D$1:$CL$10,ROW($A$10),)))/'Iron &amp; Steelmaker Tool'!$D$18)^(1/('Iron &amp; Steelmaker Tool'!$D$20-'Iron &amp; Steelmaker Tool'!$D$16)))^(AE$1-'Iron &amp; Steelmaker Tool'!$D$16)))/1000),NA())</f>
        <v>#N/A</v>
      </c>
      <c r="AF94" s="56" t="e">
        <f>IFERROR(IF(HLOOKUP('Iron &amp; Steelmaker Tool'!$D$20,$D$1:$CL$10,ROW($A$10),)&lt;0,NA(),IF(AF$1&lt;'Iron &amp; Steelmaker Tool'!$D$16,NA(),IF(AF$1&gt;'Iron &amp; Steelmaker Tool'!$D$20,NA(),'Iron &amp; Steelmaker Tool'!$D$18*((('Iron &amp; Steelmaker Tool'!$D$18*(HLOOKUP('Iron &amp; Steelmaker Tool'!$D$20,$D$1:$CL$10,ROW($A$10),)/HLOOKUP('Iron &amp; Steelmaker Tool'!$D$16,$D$1:$CL$10,ROW($A$10),)))/'Iron &amp; Steelmaker Tool'!$D$18)^(1/('Iron &amp; Steelmaker Tool'!$D$20-'Iron &amp; Steelmaker Tool'!$D$16)))^(AF$1-'Iron &amp; Steelmaker Tool'!$D$16)))/1000),NA())</f>
        <v>#N/A</v>
      </c>
      <c r="AG94" s="56" t="e">
        <f>IFERROR(IF(HLOOKUP('Iron &amp; Steelmaker Tool'!$D$20,$D$1:$CL$10,ROW($A$10),)&lt;0,NA(),IF(AG$1&lt;'Iron &amp; Steelmaker Tool'!$D$16,NA(),IF(AG$1&gt;'Iron &amp; Steelmaker Tool'!$D$20,NA(),'Iron &amp; Steelmaker Tool'!$D$18*((('Iron &amp; Steelmaker Tool'!$D$18*(HLOOKUP('Iron &amp; Steelmaker Tool'!$D$20,$D$1:$CL$10,ROW($A$10),)/HLOOKUP('Iron &amp; Steelmaker Tool'!$D$16,$D$1:$CL$10,ROW($A$10),)))/'Iron &amp; Steelmaker Tool'!$D$18)^(1/('Iron &amp; Steelmaker Tool'!$D$20-'Iron &amp; Steelmaker Tool'!$D$16)))^(AG$1-'Iron &amp; Steelmaker Tool'!$D$16)))/1000),NA())</f>
        <v>#N/A</v>
      </c>
      <c r="AH94" s="56" t="e">
        <f>IFERROR(IF(HLOOKUP('Iron &amp; Steelmaker Tool'!$D$20,$D$1:$CL$10,ROW($A$10),)&lt;0,NA(),IF(AH$1&lt;'Iron &amp; Steelmaker Tool'!$D$16,NA(),IF(AH$1&gt;'Iron &amp; Steelmaker Tool'!$D$20,NA(),'Iron &amp; Steelmaker Tool'!$D$18*((('Iron &amp; Steelmaker Tool'!$D$18*(HLOOKUP('Iron &amp; Steelmaker Tool'!$D$20,$D$1:$CL$10,ROW($A$10),)/HLOOKUP('Iron &amp; Steelmaker Tool'!$D$16,$D$1:$CL$10,ROW($A$10),)))/'Iron &amp; Steelmaker Tool'!$D$18)^(1/('Iron &amp; Steelmaker Tool'!$D$20-'Iron &amp; Steelmaker Tool'!$D$16)))^(AH$1-'Iron &amp; Steelmaker Tool'!$D$16)))/1000),NA())</f>
        <v>#N/A</v>
      </c>
      <c r="AI94" s="56" t="e">
        <f>IFERROR(IF(HLOOKUP('Iron &amp; Steelmaker Tool'!$D$20,$D$1:$CL$10,ROW($A$10),)&lt;0,NA(),IF(AI$1&lt;'Iron &amp; Steelmaker Tool'!$D$16,NA(),IF(AI$1&gt;'Iron &amp; Steelmaker Tool'!$D$20,NA(),'Iron &amp; Steelmaker Tool'!$D$18*((('Iron &amp; Steelmaker Tool'!$D$18*(HLOOKUP('Iron &amp; Steelmaker Tool'!$D$20,$D$1:$CL$10,ROW($A$10),)/HLOOKUP('Iron &amp; Steelmaker Tool'!$D$16,$D$1:$CL$10,ROW($A$10),)))/'Iron &amp; Steelmaker Tool'!$D$18)^(1/('Iron &amp; Steelmaker Tool'!$D$20-'Iron &amp; Steelmaker Tool'!$D$16)))^(AI$1-'Iron &amp; Steelmaker Tool'!$D$16)))/1000),NA())</f>
        <v>#N/A</v>
      </c>
      <c r="AJ94" s="56" t="e">
        <f>IFERROR(IF(HLOOKUP('Iron &amp; Steelmaker Tool'!$D$20,$D$1:$CL$10,ROW($A$10),)&lt;0,NA(),IF(AJ$1&lt;'Iron &amp; Steelmaker Tool'!$D$16,NA(),IF(AJ$1&gt;'Iron &amp; Steelmaker Tool'!$D$20,NA(),'Iron &amp; Steelmaker Tool'!$D$18*((('Iron &amp; Steelmaker Tool'!$D$18*(HLOOKUP('Iron &amp; Steelmaker Tool'!$D$20,$D$1:$CL$10,ROW($A$10),)/HLOOKUP('Iron &amp; Steelmaker Tool'!$D$16,$D$1:$CL$10,ROW($A$10),)))/'Iron &amp; Steelmaker Tool'!$D$18)^(1/('Iron &amp; Steelmaker Tool'!$D$20-'Iron &amp; Steelmaker Tool'!$D$16)))^(AJ$1-'Iron &amp; Steelmaker Tool'!$D$16)))/1000),NA())</f>
        <v>#N/A</v>
      </c>
      <c r="AK94" s="56" t="e">
        <f>IFERROR(IF(HLOOKUP('Iron &amp; Steelmaker Tool'!$D$20,$D$1:$CL$10,ROW($A$10),)&lt;0,NA(),IF(AK$1&lt;'Iron &amp; Steelmaker Tool'!$D$16,NA(),IF(AK$1&gt;'Iron &amp; Steelmaker Tool'!$D$20,NA(),'Iron &amp; Steelmaker Tool'!$D$18*((('Iron &amp; Steelmaker Tool'!$D$18*(HLOOKUP('Iron &amp; Steelmaker Tool'!$D$20,$D$1:$CL$10,ROW($A$10),)/HLOOKUP('Iron &amp; Steelmaker Tool'!$D$16,$D$1:$CL$10,ROW($A$10),)))/'Iron &amp; Steelmaker Tool'!$D$18)^(1/('Iron &amp; Steelmaker Tool'!$D$20-'Iron &amp; Steelmaker Tool'!$D$16)))^(AK$1-'Iron &amp; Steelmaker Tool'!$D$16)))/1000),NA())</f>
        <v>#N/A</v>
      </c>
      <c r="AL94" s="56" t="e">
        <f>IFERROR(IF(HLOOKUP('Iron &amp; Steelmaker Tool'!$D$20,$D$1:$CL$10,ROW($A$10),)&lt;0,NA(),IF(AL$1&lt;'Iron &amp; Steelmaker Tool'!$D$16,NA(),IF(AL$1&gt;'Iron &amp; Steelmaker Tool'!$D$20,NA(),'Iron &amp; Steelmaker Tool'!$D$18*((('Iron &amp; Steelmaker Tool'!$D$18*(HLOOKUP('Iron &amp; Steelmaker Tool'!$D$20,$D$1:$CL$10,ROW($A$10),)/HLOOKUP('Iron &amp; Steelmaker Tool'!$D$16,$D$1:$CL$10,ROW($A$10),)))/'Iron &amp; Steelmaker Tool'!$D$18)^(1/('Iron &amp; Steelmaker Tool'!$D$20-'Iron &amp; Steelmaker Tool'!$D$16)))^(AL$1-'Iron &amp; Steelmaker Tool'!$D$16)))/1000),NA())</f>
        <v>#N/A</v>
      </c>
      <c r="AM94" s="56" t="e">
        <f>IFERROR(IF(HLOOKUP('Iron &amp; Steelmaker Tool'!$D$20,$D$1:$CL$10,ROW($A$10),)&lt;0,NA(),IF(AM$1&lt;'Iron &amp; Steelmaker Tool'!$D$16,NA(),IF(AM$1&gt;'Iron &amp; Steelmaker Tool'!$D$20,NA(),'Iron &amp; Steelmaker Tool'!$D$18*((('Iron &amp; Steelmaker Tool'!$D$18*(HLOOKUP('Iron &amp; Steelmaker Tool'!$D$20,$D$1:$CL$10,ROW($A$10),)/HLOOKUP('Iron &amp; Steelmaker Tool'!$D$16,$D$1:$CL$10,ROW($A$10),)))/'Iron &amp; Steelmaker Tool'!$D$18)^(1/('Iron &amp; Steelmaker Tool'!$D$20-'Iron &amp; Steelmaker Tool'!$D$16)))^(AM$1-'Iron &amp; Steelmaker Tool'!$D$16)))/1000),NA())</f>
        <v>#N/A</v>
      </c>
      <c r="AN94" s="56" t="e">
        <f>IFERROR(IF(HLOOKUP('Iron &amp; Steelmaker Tool'!$D$20,$D$1:$CL$10,ROW($A$10),)&lt;0,NA(),IF(AN$1&lt;'Iron &amp; Steelmaker Tool'!$D$16,NA(),IF(AN$1&gt;'Iron &amp; Steelmaker Tool'!$D$20,NA(),'Iron &amp; Steelmaker Tool'!$D$18*((('Iron &amp; Steelmaker Tool'!$D$18*(HLOOKUP('Iron &amp; Steelmaker Tool'!$D$20,$D$1:$CL$10,ROW($A$10),)/HLOOKUP('Iron &amp; Steelmaker Tool'!$D$16,$D$1:$CL$10,ROW($A$10),)))/'Iron &amp; Steelmaker Tool'!$D$18)^(1/('Iron &amp; Steelmaker Tool'!$D$20-'Iron &amp; Steelmaker Tool'!$D$16)))^(AN$1-'Iron &amp; Steelmaker Tool'!$D$16)))/1000),NA())</f>
        <v>#N/A</v>
      </c>
      <c r="AO94" s="56" t="e">
        <f>IFERROR(IF(HLOOKUP('Iron &amp; Steelmaker Tool'!$D$20,$D$1:$CL$10,ROW($A$10),)&lt;0,NA(),IF(AO$1&lt;'Iron &amp; Steelmaker Tool'!$D$16,NA(),IF(AO$1&gt;'Iron &amp; Steelmaker Tool'!$D$20,NA(),'Iron &amp; Steelmaker Tool'!$D$18*((('Iron &amp; Steelmaker Tool'!$D$18*(HLOOKUP('Iron &amp; Steelmaker Tool'!$D$20,$D$1:$CL$10,ROW($A$10),)/HLOOKUP('Iron &amp; Steelmaker Tool'!$D$16,$D$1:$CL$10,ROW($A$10),)))/'Iron &amp; Steelmaker Tool'!$D$18)^(1/('Iron &amp; Steelmaker Tool'!$D$20-'Iron &amp; Steelmaker Tool'!$D$16)))^(AO$1-'Iron &amp; Steelmaker Tool'!$D$16)))/1000),NA())</f>
        <v>#N/A</v>
      </c>
      <c r="AP94" s="56" t="e">
        <f>IFERROR(IF(HLOOKUP('Iron &amp; Steelmaker Tool'!$D$20,$D$1:$CL$10,ROW($A$10),)&lt;0,NA(),IF(AP$1&lt;'Iron &amp; Steelmaker Tool'!$D$16,NA(),IF(AP$1&gt;'Iron &amp; Steelmaker Tool'!$D$20,NA(),'Iron &amp; Steelmaker Tool'!$D$18*((('Iron &amp; Steelmaker Tool'!$D$18*(HLOOKUP('Iron &amp; Steelmaker Tool'!$D$20,$D$1:$CL$10,ROW($A$10),)/HLOOKUP('Iron &amp; Steelmaker Tool'!$D$16,$D$1:$CL$10,ROW($A$10),)))/'Iron &amp; Steelmaker Tool'!$D$18)^(1/('Iron &amp; Steelmaker Tool'!$D$20-'Iron &amp; Steelmaker Tool'!$D$16)))^(AP$1-'Iron &amp; Steelmaker Tool'!$D$16)))/1000),NA())</f>
        <v>#N/A</v>
      </c>
      <c r="AQ94" s="56" t="e">
        <f>IFERROR(IF(HLOOKUP('Iron &amp; Steelmaker Tool'!$D$20,$D$1:$CL$10,ROW($A$10),)&lt;0,NA(),IF(AQ$1&lt;'Iron &amp; Steelmaker Tool'!$D$16,NA(),IF(AQ$1&gt;'Iron &amp; Steelmaker Tool'!$D$20,NA(),'Iron &amp; Steelmaker Tool'!$D$18*((('Iron &amp; Steelmaker Tool'!$D$18*(HLOOKUP('Iron &amp; Steelmaker Tool'!$D$20,$D$1:$CL$10,ROW($A$10),)/HLOOKUP('Iron &amp; Steelmaker Tool'!$D$16,$D$1:$CL$10,ROW($A$10),)))/'Iron &amp; Steelmaker Tool'!$D$18)^(1/('Iron &amp; Steelmaker Tool'!$D$20-'Iron &amp; Steelmaker Tool'!$D$16)))^(AQ$1-'Iron &amp; Steelmaker Tool'!$D$16)))/1000),NA())</f>
        <v>#N/A</v>
      </c>
      <c r="AR94" s="56" t="e">
        <f>IFERROR(IF(HLOOKUP('Iron &amp; Steelmaker Tool'!$D$20,$D$1:$CL$10,ROW($A$10),)&lt;0,NA(),IF(AR$1&lt;'Iron &amp; Steelmaker Tool'!$D$16,NA(),IF(AR$1&gt;'Iron &amp; Steelmaker Tool'!$D$20,NA(),'Iron &amp; Steelmaker Tool'!$D$18*((('Iron &amp; Steelmaker Tool'!$D$18*(HLOOKUP('Iron &amp; Steelmaker Tool'!$D$20,$D$1:$CL$10,ROW($A$10),)/HLOOKUP('Iron &amp; Steelmaker Tool'!$D$16,$D$1:$CL$10,ROW($A$10),)))/'Iron &amp; Steelmaker Tool'!$D$18)^(1/('Iron &amp; Steelmaker Tool'!$D$20-'Iron &amp; Steelmaker Tool'!$D$16)))^(AR$1-'Iron &amp; Steelmaker Tool'!$D$16)))/1000),NA())</f>
        <v>#N/A</v>
      </c>
      <c r="AS94" s="56" t="e">
        <f>IFERROR(IF(HLOOKUP('Iron &amp; Steelmaker Tool'!$D$20,$D$1:$CL$10,ROW($A$10),)&lt;0,NA(),IF(AS$1&lt;'Iron &amp; Steelmaker Tool'!$D$16,NA(),IF(AS$1&gt;'Iron &amp; Steelmaker Tool'!$D$20,NA(),'Iron &amp; Steelmaker Tool'!$D$18*((('Iron &amp; Steelmaker Tool'!$D$18*(HLOOKUP('Iron &amp; Steelmaker Tool'!$D$20,$D$1:$CL$10,ROW($A$10),)/HLOOKUP('Iron &amp; Steelmaker Tool'!$D$16,$D$1:$CL$10,ROW($A$10),)))/'Iron &amp; Steelmaker Tool'!$D$18)^(1/('Iron &amp; Steelmaker Tool'!$D$20-'Iron &amp; Steelmaker Tool'!$D$16)))^(AS$1-'Iron &amp; Steelmaker Tool'!$D$16)))/1000),NA())</f>
        <v>#N/A</v>
      </c>
      <c r="AT94" s="56" t="e">
        <f>IFERROR(IF(HLOOKUP('Iron &amp; Steelmaker Tool'!$D$20,$D$1:$CL$10,ROW($A$10),)&lt;0,NA(),IF(AT$1&lt;'Iron &amp; Steelmaker Tool'!$D$16,NA(),IF(AT$1&gt;'Iron &amp; Steelmaker Tool'!$D$20,NA(),'Iron &amp; Steelmaker Tool'!$D$18*((('Iron &amp; Steelmaker Tool'!$D$18*(HLOOKUP('Iron &amp; Steelmaker Tool'!$D$20,$D$1:$CL$10,ROW($A$10),)/HLOOKUP('Iron &amp; Steelmaker Tool'!$D$16,$D$1:$CL$10,ROW($A$10),)))/'Iron &amp; Steelmaker Tool'!$D$18)^(1/('Iron &amp; Steelmaker Tool'!$D$20-'Iron &amp; Steelmaker Tool'!$D$16)))^(AT$1-'Iron &amp; Steelmaker Tool'!$D$16)))/1000),NA())</f>
        <v>#N/A</v>
      </c>
      <c r="AU94" s="56" t="e">
        <f>IFERROR(IF(HLOOKUP('Iron &amp; Steelmaker Tool'!$D$20,$D$1:$CL$10,ROW($A$10),)&lt;0,NA(),IF(AU$1&lt;'Iron &amp; Steelmaker Tool'!$D$16,NA(),IF(AU$1&gt;'Iron &amp; Steelmaker Tool'!$D$20,NA(),'Iron &amp; Steelmaker Tool'!$D$18*((('Iron &amp; Steelmaker Tool'!$D$18*(HLOOKUP('Iron &amp; Steelmaker Tool'!$D$20,$D$1:$CL$10,ROW($A$10),)/HLOOKUP('Iron &amp; Steelmaker Tool'!$D$16,$D$1:$CL$10,ROW($A$10),)))/'Iron &amp; Steelmaker Tool'!$D$18)^(1/('Iron &amp; Steelmaker Tool'!$D$20-'Iron &amp; Steelmaker Tool'!$D$16)))^(AU$1-'Iron &amp; Steelmaker Tool'!$D$16)))/1000),NA())</f>
        <v>#N/A</v>
      </c>
      <c r="AV94" s="56" t="e">
        <f>IFERROR(IF(HLOOKUP('Iron &amp; Steelmaker Tool'!$D$20,$D$1:$CL$10,ROW($A$10),)&lt;0,NA(),IF(AV$1&lt;'Iron &amp; Steelmaker Tool'!$D$16,NA(),IF(AV$1&gt;'Iron &amp; Steelmaker Tool'!$D$20,NA(),'Iron &amp; Steelmaker Tool'!$D$18*((('Iron &amp; Steelmaker Tool'!$D$18*(HLOOKUP('Iron &amp; Steelmaker Tool'!$D$20,$D$1:$CL$10,ROW($A$10),)/HLOOKUP('Iron &amp; Steelmaker Tool'!$D$16,$D$1:$CL$10,ROW($A$10),)))/'Iron &amp; Steelmaker Tool'!$D$18)^(1/('Iron &amp; Steelmaker Tool'!$D$20-'Iron &amp; Steelmaker Tool'!$D$16)))^(AV$1-'Iron &amp; Steelmaker Tool'!$D$16)))/1000),NA())</f>
        <v>#N/A</v>
      </c>
      <c r="AW94" s="56" t="e">
        <f>IFERROR(IF(HLOOKUP('Iron &amp; Steelmaker Tool'!$D$20,$D$1:$CL$10,ROW($A$10),)&lt;0,NA(),IF(AW$1&lt;'Iron &amp; Steelmaker Tool'!$D$16,NA(),IF(AW$1&gt;'Iron &amp; Steelmaker Tool'!$D$20,NA(),'Iron &amp; Steelmaker Tool'!$D$18*((('Iron &amp; Steelmaker Tool'!$D$18*(HLOOKUP('Iron &amp; Steelmaker Tool'!$D$20,$D$1:$CL$10,ROW($A$10),)/HLOOKUP('Iron &amp; Steelmaker Tool'!$D$16,$D$1:$CL$10,ROW($A$10),)))/'Iron &amp; Steelmaker Tool'!$D$18)^(1/('Iron &amp; Steelmaker Tool'!$D$20-'Iron &amp; Steelmaker Tool'!$D$16)))^(AW$1-'Iron &amp; Steelmaker Tool'!$D$16)))/1000),NA())</f>
        <v>#N/A</v>
      </c>
      <c r="AX94" s="56" t="e">
        <f>IFERROR(IF(HLOOKUP('Iron &amp; Steelmaker Tool'!$D$20,$D$1:$CL$10,ROW($A$10),)&lt;0,NA(),IF(AX$1&lt;'Iron &amp; Steelmaker Tool'!$D$16,NA(),IF(AX$1&gt;'Iron &amp; Steelmaker Tool'!$D$20,NA(),'Iron &amp; Steelmaker Tool'!$D$18*((('Iron &amp; Steelmaker Tool'!$D$18*(HLOOKUP('Iron &amp; Steelmaker Tool'!$D$20,$D$1:$CL$10,ROW($A$10),)/HLOOKUP('Iron &amp; Steelmaker Tool'!$D$16,$D$1:$CL$10,ROW($A$10),)))/'Iron &amp; Steelmaker Tool'!$D$18)^(1/('Iron &amp; Steelmaker Tool'!$D$20-'Iron &amp; Steelmaker Tool'!$D$16)))^(AX$1-'Iron &amp; Steelmaker Tool'!$D$16)))/1000),NA())</f>
        <v>#N/A</v>
      </c>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row>
    <row r="95" spans="1:91" s="43" customFormat="1" hidden="1" x14ac:dyDescent="0.15">
      <c r="A95" s="43" t="s">
        <v>51</v>
      </c>
      <c r="B95" s="43" t="str">
        <f>"Scope 2 emissions ("&amp;C95&amp;")"</f>
        <v>Scope 2 emissions (MtCO2)</v>
      </c>
      <c r="C95" s="43" t="s">
        <v>25</v>
      </c>
      <c r="D95" s="56" t="e">
        <f>IFERROR(IF(HLOOKUP('Iron &amp; Steelmaker Tool'!$D$20,$D$1:$CL$11,ROW($A$11),)&lt;0,NA(),IF(D$1&lt;'Iron &amp; Steelmaker Tool'!$D$16,NA(),IF(D$1&gt;'Iron &amp; Steelmaker Tool'!$D$20,NA(),'Iron &amp; Steelmaker Tool'!$D$19*((('Iron &amp; Steelmaker Tool'!$D$19*(HLOOKUP('Iron &amp; Steelmaker Tool'!$D$20,$D$1:$CL$11,ROW($A$11),)/HLOOKUP('Iron &amp; Steelmaker Tool'!$D$16,$D$1:$CL$11,ROW($A$11),)))/'Iron &amp; Steelmaker Tool'!$D$19)^(1/('Iron &amp; Steelmaker Tool'!$D$20-'Iron &amp; Steelmaker Tool'!$D$16)))^(D$1-'Iron &amp; Steelmaker Tool'!$D$16)))/1000),NA())</f>
        <v>#N/A</v>
      </c>
      <c r="E95" s="56" t="e">
        <f>IFERROR(IF(HLOOKUP('Iron &amp; Steelmaker Tool'!$D$20,$D$1:$CL$11,ROW($A$11),)&lt;0,NA(),IF(E$1&lt;'Iron &amp; Steelmaker Tool'!$D$16,NA(),IF(E$1&gt;'Iron &amp; Steelmaker Tool'!$D$20,NA(),'Iron &amp; Steelmaker Tool'!$D$19*((('Iron &amp; Steelmaker Tool'!$D$19*(HLOOKUP('Iron &amp; Steelmaker Tool'!$D$20,$D$1:$CL$11,ROW($A$11),)/HLOOKUP('Iron &amp; Steelmaker Tool'!$D$16,$D$1:$CL$11,ROW($A$11),)))/'Iron &amp; Steelmaker Tool'!$D$19)^(1/('Iron &amp; Steelmaker Tool'!$D$20-'Iron &amp; Steelmaker Tool'!$D$16)))^(E$1-'Iron &amp; Steelmaker Tool'!$D$16)))/1000),NA())</f>
        <v>#N/A</v>
      </c>
      <c r="F95" s="56" t="e">
        <f>IFERROR(IF(HLOOKUP('Iron &amp; Steelmaker Tool'!$D$20,$D$1:$CL$11,ROW($A$11),)&lt;0,NA(),IF(F$1&lt;'Iron &amp; Steelmaker Tool'!$D$16,NA(),IF(F$1&gt;'Iron &amp; Steelmaker Tool'!$D$20,NA(),'Iron &amp; Steelmaker Tool'!$D$19*((('Iron &amp; Steelmaker Tool'!$D$19*(HLOOKUP('Iron &amp; Steelmaker Tool'!$D$20,$D$1:$CL$11,ROW($A$11),)/HLOOKUP('Iron &amp; Steelmaker Tool'!$D$16,$D$1:$CL$11,ROW($A$11),)))/'Iron &amp; Steelmaker Tool'!$D$19)^(1/('Iron &amp; Steelmaker Tool'!$D$20-'Iron &amp; Steelmaker Tool'!$D$16)))^(F$1-'Iron &amp; Steelmaker Tool'!$D$16)))/1000),NA())</f>
        <v>#N/A</v>
      </c>
      <c r="G95" s="56" t="e">
        <f>IFERROR(IF(HLOOKUP('Iron &amp; Steelmaker Tool'!$D$20,$D$1:$CL$11,ROW($A$11),)&lt;0,NA(),IF(G$1&lt;'Iron &amp; Steelmaker Tool'!$D$16,NA(),IF(G$1&gt;'Iron &amp; Steelmaker Tool'!$D$20,NA(),'Iron &amp; Steelmaker Tool'!$D$19*((('Iron &amp; Steelmaker Tool'!$D$19*(HLOOKUP('Iron &amp; Steelmaker Tool'!$D$20,$D$1:$CL$11,ROW($A$11),)/HLOOKUP('Iron &amp; Steelmaker Tool'!$D$16,$D$1:$CL$11,ROW($A$11),)))/'Iron &amp; Steelmaker Tool'!$D$19)^(1/('Iron &amp; Steelmaker Tool'!$D$20-'Iron &amp; Steelmaker Tool'!$D$16)))^(G$1-'Iron &amp; Steelmaker Tool'!$D$16)))/1000),NA())</f>
        <v>#N/A</v>
      </c>
      <c r="H95" s="56" t="e">
        <f>IFERROR(IF(HLOOKUP('Iron &amp; Steelmaker Tool'!$D$20,$D$1:$CL$11,ROW($A$11),)&lt;0,NA(),IF(H$1&lt;'Iron &amp; Steelmaker Tool'!$D$16,NA(),IF(H$1&gt;'Iron &amp; Steelmaker Tool'!$D$20,NA(),'Iron &amp; Steelmaker Tool'!$D$19*((('Iron &amp; Steelmaker Tool'!$D$19*(HLOOKUP('Iron &amp; Steelmaker Tool'!$D$20,$D$1:$CL$11,ROW($A$11),)/HLOOKUP('Iron &amp; Steelmaker Tool'!$D$16,$D$1:$CL$11,ROW($A$11),)))/'Iron &amp; Steelmaker Tool'!$D$19)^(1/('Iron &amp; Steelmaker Tool'!$D$20-'Iron &amp; Steelmaker Tool'!$D$16)))^(H$1-'Iron &amp; Steelmaker Tool'!$D$16)))/1000),NA())</f>
        <v>#N/A</v>
      </c>
      <c r="I95" s="56" t="e">
        <f>IFERROR(IF(HLOOKUP('Iron &amp; Steelmaker Tool'!$D$20,$D$1:$CL$11,ROW($A$11),)&lt;0,NA(),IF(I$1&lt;'Iron &amp; Steelmaker Tool'!$D$16,NA(),IF(I$1&gt;'Iron &amp; Steelmaker Tool'!$D$20,NA(),'Iron &amp; Steelmaker Tool'!$D$19*((('Iron &amp; Steelmaker Tool'!$D$19*(HLOOKUP('Iron &amp; Steelmaker Tool'!$D$20,$D$1:$CL$11,ROW($A$11),)/HLOOKUP('Iron &amp; Steelmaker Tool'!$D$16,$D$1:$CL$11,ROW($A$11),)))/'Iron &amp; Steelmaker Tool'!$D$19)^(1/('Iron &amp; Steelmaker Tool'!$D$20-'Iron &amp; Steelmaker Tool'!$D$16)))^(I$1-'Iron &amp; Steelmaker Tool'!$D$16)))/1000),NA())</f>
        <v>#N/A</v>
      </c>
      <c r="J95" s="56" t="e">
        <f>IFERROR(IF(HLOOKUP('Iron &amp; Steelmaker Tool'!$D$20,$D$1:$CL$11,ROW($A$11),)&lt;0,NA(),IF(J$1&lt;'Iron &amp; Steelmaker Tool'!$D$16,NA(),IF(J$1&gt;'Iron &amp; Steelmaker Tool'!$D$20,NA(),'Iron &amp; Steelmaker Tool'!$D$19*((('Iron &amp; Steelmaker Tool'!$D$19*(HLOOKUP('Iron &amp; Steelmaker Tool'!$D$20,$D$1:$CL$11,ROW($A$11),)/HLOOKUP('Iron &amp; Steelmaker Tool'!$D$16,$D$1:$CL$11,ROW($A$11),)))/'Iron &amp; Steelmaker Tool'!$D$19)^(1/('Iron &amp; Steelmaker Tool'!$D$20-'Iron &amp; Steelmaker Tool'!$D$16)))^(J$1-'Iron &amp; Steelmaker Tool'!$D$16)))/1000),NA())</f>
        <v>#N/A</v>
      </c>
      <c r="K95" s="56" t="e">
        <f>IFERROR(IF(HLOOKUP('Iron &amp; Steelmaker Tool'!$D$20,$D$1:$CL$11,ROW($A$11),)&lt;0,NA(),IF(K$1&lt;'Iron &amp; Steelmaker Tool'!$D$16,NA(),IF(K$1&gt;'Iron &amp; Steelmaker Tool'!$D$20,NA(),'Iron &amp; Steelmaker Tool'!$D$19*((('Iron &amp; Steelmaker Tool'!$D$19*(HLOOKUP('Iron &amp; Steelmaker Tool'!$D$20,$D$1:$CL$11,ROW($A$11),)/HLOOKUP('Iron &amp; Steelmaker Tool'!$D$16,$D$1:$CL$11,ROW($A$11),)))/'Iron &amp; Steelmaker Tool'!$D$19)^(1/('Iron &amp; Steelmaker Tool'!$D$20-'Iron &amp; Steelmaker Tool'!$D$16)))^(K$1-'Iron &amp; Steelmaker Tool'!$D$16)))/1000),NA())</f>
        <v>#N/A</v>
      </c>
      <c r="L95" s="56" t="e">
        <f>IFERROR(IF(HLOOKUP('Iron &amp; Steelmaker Tool'!$D$20,$D$1:$CL$11,ROW($A$11),)&lt;0,NA(),IF(L$1&lt;'Iron &amp; Steelmaker Tool'!$D$16,NA(),IF(L$1&gt;'Iron &amp; Steelmaker Tool'!$D$20,NA(),'Iron &amp; Steelmaker Tool'!$D$19*((('Iron &amp; Steelmaker Tool'!$D$19*(HLOOKUP('Iron &amp; Steelmaker Tool'!$D$20,$D$1:$CL$11,ROW($A$11),)/HLOOKUP('Iron &amp; Steelmaker Tool'!$D$16,$D$1:$CL$11,ROW($A$11),)))/'Iron &amp; Steelmaker Tool'!$D$19)^(1/('Iron &amp; Steelmaker Tool'!$D$20-'Iron &amp; Steelmaker Tool'!$D$16)))^(L$1-'Iron &amp; Steelmaker Tool'!$D$16)))/1000),NA())</f>
        <v>#N/A</v>
      </c>
      <c r="M95" s="56" t="e">
        <f>IFERROR(IF(HLOOKUP('Iron &amp; Steelmaker Tool'!$D$20,$D$1:$CL$11,ROW($A$11),)&lt;0,NA(),IF(M$1&lt;'Iron &amp; Steelmaker Tool'!$D$16,NA(),IF(M$1&gt;'Iron &amp; Steelmaker Tool'!$D$20,NA(),'Iron &amp; Steelmaker Tool'!$D$19*((('Iron &amp; Steelmaker Tool'!$D$19*(HLOOKUP('Iron &amp; Steelmaker Tool'!$D$20,$D$1:$CL$11,ROW($A$11),)/HLOOKUP('Iron &amp; Steelmaker Tool'!$D$16,$D$1:$CL$11,ROW($A$11),)))/'Iron &amp; Steelmaker Tool'!$D$19)^(1/('Iron &amp; Steelmaker Tool'!$D$20-'Iron &amp; Steelmaker Tool'!$D$16)))^(M$1-'Iron &amp; Steelmaker Tool'!$D$16)))/1000),NA())</f>
        <v>#N/A</v>
      </c>
      <c r="N95" s="56" t="e">
        <f>IFERROR(IF(HLOOKUP('Iron &amp; Steelmaker Tool'!$D$20,$D$1:$CL$11,ROW($A$11),)&lt;0,NA(),IF(N$1&lt;'Iron &amp; Steelmaker Tool'!$D$16,NA(),IF(N$1&gt;'Iron &amp; Steelmaker Tool'!$D$20,NA(),'Iron &amp; Steelmaker Tool'!$D$19*((('Iron &amp; Steelmaker Tool'!$D$19*(HLOOKUP('Iron &amp; Steelmaker Tool'!$D$20,$D$1:$CL$11,ROW($A$11),)/HLOOKUP('Iron &amp; Steelmaker Tool'!$D$16,$D$1:$CL$11,ROW($A$11),)))/'Iron &amp; Steelmaker Tool'!$D$19)^(1/('Iron &amp; Steelmaker Tool'!$D$20-'Iron &amp; Steelmaker Tool'!$D$16)))^(N$1-'Iron &amp; Steelmaker Tool'!$D$16)))/1000),NA())</f>
        <v>#N/A</v>
      </c>
      <c r="O95" s="56" t="e">
        <f>IFERROR(IF(HLOOKUP('Iron &amp; Steelmaker Tool'!$D$20,$D$1:$CL$11,ROW($A$11),)&lt;0,NA(),IF(O$1&lt;'Iron &amp; Steelmaker Tool'!$D$16,NA(),IF(O$1&gt;'Iron &amp; Steelmaker Tool'!$D$20,NA(),'Iron &amp; Steelmaker Tool'!$D$19*((('Iron &amp; Steelmaker Tool'!$D$19*(HLOOKUP('Iron &amp; Steelmaker Tool'!$D$20,$D$1:$CL$11,ROW($A$11),)/HLOOKUP('Iron &amp; Steelmaker Tool'!$D$16,$D$1:$CL$11,ROW($A$11),)))/'Iron &amp; Steelmaker Tool'!$D$19)^(1/('Iron &amp; Steelmaker Tool'!$D$20-'Iron &amp; Steelmaker Tool'!$D$16)))^(O$1-'Iron &amp; Steelmaker Tool'!$D$16)))/1000),NA())</f>
        <v>#N/A</v>
      </c>
      <c r="P95" s="56" t="e">
        <f>IFERROR(IF(HLOOKUP('Iron &amp; Steelmaker Tool'!$D$20,$D$1:$CL$11,ROW($A$11),)&lt;0,NA(),IF(P$1&lt;'Iron &amp; Steelmaker Tool'!$D$16,NA(),IF(P$1&gt;'Iron &amp; Steelmaker Tool'!$D$20,NA(),'Iron &amp; Steelmaker Tool'!$D$19*((('Iron &amp; Steelmaker Tool'!$D$19*(HLOOKUP('Iron &amp; Steelmaker Tool'!$D$20,$D$1:$CL$11,ROW($A$11),)/HLOOKUP('Iron &amp; Steelmaker Tool'!$D$16,$D$1:$CL$11,ROW($A$11),)))/'Iron &amp; Steelmaker Tool'!$D$19)^(1/('Iron &amp; Steelmaker Tool'!$D$20-'Iron &amp; Steelmaker Tool'!$D$16)))^(P$1-'Iron &amp; Steelmaker Tool'!$D$16)))/1000),NA())</f>
        <v>#N/A</v>
      </c>
      <c r="Q95" s="56" t="e">
        <f>IFERROR(IF(HLOOKUP('Iron &amp; Steelmaker Tool'!$D$20,$D$1:$CL$11,ROW($A$11),)&lt;0,NA(),IF(Q$1&lt;'Iron &amp; Steelmaker Tool'!$D$16,NA(),IF(Q$1&gt;'Iron &amp; Steelmaker Tool'!$D$20,NA(),'Iron &amp; Steelmaker Tool'!$D$19*((('Iron &amp; Steelmaker Tool'!$D$19*(HLOOKUP('Iron &amp; Steelmaker Tool'!$D$20,$D$1:$CL$11,ROW($A$11),)/HLOOKUP('Iron &amp; Steelmaker Tool'!$D$16,$D$1:$CL$11,ROW($A$11),)))/'Iron &amp; Steelmaker Tool'!$D$19)^(1/('Iron &amp; Steelmaker Tool'!$D$20-'Iron &amp; Steelmaker Tool'!$D$16)))^(Q$1-'Iron &amp; Steelmaker Tool'!$D$16)))/1000),NA())</f>
        <v>#N/A</v>
      </c>
      <c r="R95" s="56" t="e">
        <f>IFERROR(IF(HLOOKUP('Iron &amp; Steelmaker Tool'!$D$20,$D$1:$CL$11,ROW($A$11),)&lt;0,NA(),IF(R$1&lt;'Iron &amp; Steelmaker Tool'!$D$16,NA(),IF(R$1&gt;'Iron &amp; Steelmaker Tool'!$D$20,NA(),'Iron &amp; Steelmaker Tool'!$D$19*((('Iron &amp; Steelmaker Tool'!$D$19*(HLOOKUP('Iron &amp; Steelmaker Tool'!$D$20,$D$1:$CL$11,ROW($A$11),)/HLOOKUP('Iron &amp; Steelmaker Tool'!$D$16,$D$1:$CL$11,ROW($A$11),)))/'Iron &amp; Steelmaker Tool'!$D$19)^(1/('Iron &amp; Steelmaker Tool'!$D$20-'Iron &amp; Steelmaker Tool'!$D$16)))^(R$1-'Iron &amp; Steelmaker Tool'!$D$16)))/1000),NA())</f>
        <v>#N/A</v>
      </c>
      <c r="S95" s="56" t="e">
        <f>IFERROR(IF(HLOOKUP('Iron &amp; Steelmaker Tool'!$D$20,$D$1:$CL$11,ROW($A$11),)&lt;0,NA(),IF(S$1&lt;'Iron &amp; Steelmaker Tool'!$D$16,NA(),IF(S$1&gt;'Iron &amp; Steelmaker Tool'!$D$20,NA(),'Iron &amp; Steelmaker Tool'!$D$19*((('Iron &amp; Steelmaker Tool'!$D$19*(HLOOKUP('Iron &amp; Steelmaker Tool'!$D$20,$D$1:$CL$11,ROW($A$11),)/HLOOKUP('Iron &amp; Steelmaker Tool'!$D$16,$D$1:$CL$11,ROW($A$11),)))/'Iron &amp; Steelmaker Tool'!$D$19)^(1/('Iron &amp; Steelmaker Tool'!$D$20-'Iron &amp; Steelmaker Tool'!$D$16)))^(S$1-'Iron &amp; Steelmaker Tool'!$D$16)))/1000),NA())</f>
        <v>#N/A</v>
      </c>
      <c r="T95" s="56" t="e">
        <f>IFERROR(IF(HLOOKUP('Iron &amp; Steelmaker Tool'!$D$20,$D$1:$CL$11,ROW($A$11),)&lt;0,NA(),IF(T$1&lt;'Iron &amp; Steelmaker Tool'!$D$16,NA(),IF(T$1&gt;'Iron &amp; Steelmaker Tool'!$D$20,NA(),'Iron &amp; Steelmaker Tool'!$D$19*((('Iron &amp; Steelmaker Tool'!$D$19*(HLOOKUP('Iron &amp; Steelmaker Tool'!$D$20,$D$1:$CL$11,ROW($A$11),)/HLOOKUP('Iron &amp; Steelmaker Tool'!$D$16,$D$1:$CL$11,ROW($A$11),)))/'Iron &amp; Steelmaker Tool'!$D$19)^(1/('Iron &amp; Steelmaker Tool'!$D$20-'Iron &amp; Steelmaker Tool'!$D$16)))^(T$1-'Iron &amp; Steelmaker Tool'!$D$16)))/1000),NA())</f>
        <v>#N/A</v>
      </c>
      <c r="U95" s="56" t="e">
        <f>IFERROR(IF(HLOOKUP('Iron &amp; Steelmaker Tool'!$D$20,$D$1:$CL$11,ROW($A$11),)&lt;0,NA(),IF(U$1&lt;'Iron &amp; Steelmaker Tool'!$D$16,NA(),IF(U$1&gt;'Iron &amp; Steelmaker Tool'!$D$20,NA(),'Iron &amp; Steelmaker Tool'!$D$19*((('Iron &amp; Steelmaker Tool'!$D$19*(HLOOKUP('Iron &amp; Steelmaker Tool'!$D$20,$D$1:$CL$11,ROW($A$11),)/HLOOKUP('Iron &amp; Steelmaker Tool'!$D$16,$D$1:$CL$11,ROW($A$11),)))/'Iron &amp; Steelmaker Tool'!$D$19)^(1/('Iron &amp; Steelmaker Tool'!$D$20-'Iron &amp; Steelmaker Tool'!$D$16)))^(U$1-'Iron &amp; Steelmaker Tool'!$D$16)))/1000),NA())</f>
        <v>#N/A</v>
      </c>
      <c r="V95" s="56" t="e">
        <f>IFERROR(IF(HLOOKUP('Iron &amp; Steelmaker Tool'!$D$20,$D$1:$CL$11,ROW($A$11),)&lt;0,NA(),IF(V$1&lt;'Iron &amp; Steelmaker Tool'!$D$16,NA(),IF(V$1&gt;'Iron &amp; Steelmaker Tool'!$D$20,NA(),'Iron &amp; Steelmaker Tool'!$D$19*((('Iron &amp; Steelmaker Tool'!$D$19*(HLOOKUP('Iron &amp; Steelmaker Tool'!$D$20,$D$1:$CL$11,ROW($A$11),)/HLOOKUP('Iron &amp; Steelmaker Tool'!$D$16,$D$1:$CL$11,ROW($A$11),)))/'Iron &amp; Steelmaker Tool'!$D$19)^(1/('Iron &amp; Steelmaker Tool'!$D$20-'Iron &amp; Steelmaker Tool'!$D$16)))^(V$1-'Iron &amp; Steelmaker Tool'!$D$16)))/1000),NA())</f>
        <v>#N/A</v>
      </c>
      <c r="W95" s="56" t="e">
        <f>IFERROR(IF(HLOOKUP('Iron &amp; Steelmaker Tool'!$D$20,$D$1:$CL$11,ROW($A$11),)&lt;0,NA(),IF(W$1&lt;'Iron &amp; Steelmaker Tool'!$D$16,NA(),IF(W$1&gt;'Iron &amp; Steelmaker Tool'!$D$20,NA(),'Iron &amp; Steelmaker Tool'!$D$19*((('Iron &amp; Steelmaker Tool'!$D$19*(HLOOKUP('Iron &amp; Steelmaker Tool'!$D$20,$D$1:$CL$11,ROW($A$11),)/HLOOKUP('Iron &amp; Steelmaker Tool'!$D$16,$D$1:$CL$11,ROW($A$11),)))/'Iron &amp; Steelmaker Tool'!$D$19)^(1/('Iron &amp; Steelmaker Tool'!$D$20-'Iron &amp; Steelmaker Tool'!$D$16)))^(W$1-'Iron &amp; Steelmaker Tool'!$D$16)))/1000),NA())</f>
        <v>#N/A</v>
      </c>
      <c r="X95" s="56" t="e">
        <f>IFERROR(IF(HLOOKUP('Iron &amp; Steelmaker Tool'!$D$20,$D$1:$CL$11,ROW($A$11),)&lt;0,NA(),IF(X$1&lt;'Iron &amp; Steelmaker Tool'!$D$16,NA(),IF(X$1&gt;'Iron &amp; Steelmaker Tool'!$D$20,NA(),'Iron &amp; Steelmaker Tool'!$D$19*((('Iron &amp; Steelmaker Tool'!$D$19*(HLOOKUP('Iron &amp; Steelmaker Tool'!$D$20,$D$1:$CL$11,ROW($A$11),)/HLOOKUP('Iron &amp; Steelmaker Tool'!$D$16,$D$1:$CL$11,ROW($A$11),)))/'Iron &amp; Steelmaker Tool'!$D$19)^(1/('Iron &amp; Steelmaker Tool'!$D$20-'Iron &amp; Steelmaker Tool'!$D$16)))^(X$1-'Iron &amp; Steelmaker Tool'!$D$16)))/1000),NA())</f>
        <v>#N/A</v>
      </c>
      <c r="Y95" s="56" t="e">
        <f>IFERROR(IF(HLOOKUP('Iron &amp; Steelmaker Tool'!$D$20,$D$1:$CL$11,ROW($A$11),)&lt;0,NA(),IF(Y$1&lt;'Iron &amp; Steelmaker Tool'!$D$16,NA(),IF(Y$1&gt;'Iron &amp; Steelmaker Tool'!$D$20,NA(),'Iron &amp; Steelmaker Tool'!$D$19*((('Iron &amp; Steelmaker Tool'!$D$19*(HLOOKUP('Iron &amp; Steelmaker Tool'!$D$20,$D$1:$CL$11,ROW($A$11),)/HLOOKUP('Iron &amp; Steelmaker Tool'!$D$16,$D$1:$CL$11,ROW($A$11),)))/'Iron &amp; Steelmaker Tool'!$D$19)^(1/('Iron &amp; Steelmaker Tool'!$D$20-'Iron &amp; Steelmaker Tool'!$D$16)))^(Y$1-'Iron &amp; Steelmaker Tool'!$D$16)))/1000),NA())</f>
        <v>#N/A</v>
      </c>
      <c r="Z95" s="56" t="e">
        <f>IFERROR(IF(HLOOKUP('Iron &amp; Steelmaker Tool'!$D$20,$D$1:$CL$11,ROW($A$11),)&lt;0,NA(),IF(Z$1&lt;'Iron &amp; Steelmaker Tool'!$D$16,NA(),IF(Z$1&gt;'Iron &amp; Steelmaker Tool'!$D$20,NA(),'Iron &amp; Steelmaker Tool'!$D$19*((('Iron &amp; Steelmaker Tool'!$D$19*(HLOOKUP('Iron &amp; Steelmaker Tool'!$D$20,$D$1:$CL$11,ROW($A$11),)/HLOOKUP('Iron &amp; Steelmaker Tool'!$D$16,$D$1:$CL$11,ROW($A$11),)))/'Iron &amp; Steelmaker Tool'!$D$19)^(1/('Iron &amp; Steelmaker Tool'!$D$20-'Iron &amp; Steelmaker Tool'!$D$16)))^(Z$1-'Iron &amp; Steelmaker Tool'!$D$16)))/1000),NA())</f>
        <v>#N/A</v>
      </c>
      <c r="AA95" s="56" t="e">
        <f>IFERROR(IF(HLOOKUP('Iron &amp; Steelmaker Tool'!$D$20,$D$1:$CL$11,ROW($A$11),)&lt;0,NA(),IF(AA$1&lt;'Iron &amp; Steelmaker Tool'!$D$16,NA(),IF(AA$1&gt;'Iron &amp; Steelmaker Tool'!$D$20,NA(),'Iron &amp; Steelmaker Tool'!$D$19*((('Iron &amp; Steelmaker Tool'!$D$19*(HLOOKUP('Iron &amp; Steelmaker Tool'!$D$20,$D$1:$CL$11,ROW($A$11),)/HLOOKUP('Iron &amp; Steelmaker Tool'!$D$16,$D$1:$CL$11,ROW($A$11),)))/'Iron &amp; Steelmaker Tool'!$D$19)^(1/('Iron &amp; Steelmaker Tool'!$D$20-'Iron &amp; Steelmaker Tool'!$D$16)))^(AA$1-'Iron &amp; Steelmaker Tool'!$D$16)))/1000),NA())</f>
        <v>#N/A</v>
      </c>
      <c r="AB95" s="56" t="e">
        <f>IFERROR(IF(HLOOKUP('Iron &amp; Steelmaker Tool'!$D$20,$D$1:$CL$11,ROW($A$11),)&lt;0,NA(),IF(AB$1&lt;'Iron &amp; Steelmaker Tool'!$D$16,NA(),IF(AB$1&gt;'Iron &amp; Steelmaker Tool'!$D$20,NA(),'Iron &amp; Steelmaker Tool'!$D$19*((('Iron &amp; Steelmaker Tool'!$D$19*(HLOOKUP('Iron &amp; Steelmaker Tool'!$D$20,$D$1:$CL$11,ROW($A$11),)/HLOOKUP('Iron &amp; Steelmaker Tool'!$D$16,$D$1:$CL$11,ROW($A$11),)))/'Iron &amp; Steelmaker Tool'!$D$19)^(1/('Iron &amp; Steelmaker Tool'!$D$20-'Iron &amp; Steelmaker Tool'!$D$16)))^(AB$1-'Iron &amp; Steelmaker Tool'!$D$16)))/1000),NA())</f>
        <v>#N/A</v>
      </c>
      <c r="AC95" s="56" t="e">
        <f>IFERROR(IF(HLOOKUP('Iron &amp; Steelmaker Tool'!$D$20,$D$1:$CL$11,ROW($A$11),)&lt;0,NA(),IF(AC$1&lt;'Iron &amp; Steelmaker Tool'!$D$16,NA(),IF(AC$1&gt;'Iron &amp; Steelmaker Tool'!$D$20,NA(),'Iron &amp; Steelmaker Tool'!$D$19*((('Iron &amp; Steelmaker Tool'!$D$19*(HLOOKUP('Iron &amp; Steelmaker Tool'!$D$20,$D$1:$CL$11,ROW($A$11),)/HLOOKUP('Iron &amp; Steelmaker Tool'!$D$16,$D$1:$CL$11,ROW($A$11),)))/'Iron &amp; Steelmaker Tool'!$D$19)^(1/('Iron &amp; Steelmaker Tool'!$D$20-'Iron &amp; Steelmaker Tool'!$D$16)))^(AC$1-'Iron &amp; Steelmaker Tool'!$D$16)))/1000),NA())</f>
        <v>#N/A</v>
      </c>
      <c r="AD95" s="56" t="e">
        <f>IFERROR(IF(HLOOKUP('Iron &amp; Steelmaker Tool'!$D$20,$D$1:$CL$11,ROW($A$11),)&lt;0,NA(),IF(AD$1&lt;'Iron &amp; Steelmaker Tool'!$D$16,NA(),IF(AD$1&gt;'Iron &amp; Steelmaker Tool'!$D$20,NA(),'Iron &amp; Steelmaker Tool'!$D$19*((('Iron &amp; Steelmaker Tool'!$D$19*(HLOOKUP('Iron &amp; Steelmaker Tool'!$D$20,$D$1:$CL$11,ROW($A$11),)/HLOOKUP('Iron &amp; Steelmaker Tool'!$D$16,$D$1:$CL$11,ROW($A$11),)))/'Iron &amp; Steelmaker Tool'!$D$19)^(1/('Iron &amp; Steelmaker Tool'!$D$20-'Iron &amp; Steelmaker Tool'!$D$16)))^(AD$1-'Iron &amp; Steelmaker Tool'!$D$16)))/1000),NA())</f>
        <v>#N/A</v>
      </c>
      <c r="AE95" s="56" t="e">
        <f>IFERROR(IF(HLOOKUP('Iron &amp; Steelmaker Tool'!$D$20,$D$1:$CL$11,ROW($A$11),)&lt;0,NA(),IF(AE$1&lt;'Iron &amp; Steelmaker Tool'!$D$16,NA(),IF(AE$1&gt;'Iron &amp; Steelmaker Tool'!$D$20,NA(),'Iron &amp; Steelmaker Tool'!$D$19*((('Iron &amp; Steelmaker Tool'!$D$19*(HLOOKUP('Iron &amp; Steelmaker Tool'!$D$20,$D$1:$CL$11,ROW($A$11),)/HLOOKUP('Iron &amp; Steelmaker Tool'!$D$16,$D$1:$CL$11,ROW($A$11),)))/'Iron &amp; Steelmaker Tool'!$D$19)^(1/('Iron &amp; Steelmaker Tool'!$D$20-'Iron &amp; Steelmaker Tool'!$D$16)))^(AE$1-'Iron &amp; Steelmaker Tool'!$D$16)))/1000),NA())</f>
        <v>#N/A</v>
      </c>
      <c r="AF95" s="56" t="e">
        <f>IFERROR(IF(HLOOKUP('Iron &amp; Steelmaker Tool'!$D$20,$D$1:$CL$11,ROW($A$11),)&lt;0,NA(),IF(AF$1&lt;'Iron &amp; Steelmaker Tool'!$D$16,NA(),IF(AF$1&gt;'Iron &amp; Steelmaker Tool'!$D$20,NA(),'Iron &amp; Steelmaker Tool'!$D$19*((('Iron &amp; Steelmaker Tool'!$D$19*(HLOOKUP('Iron &amp; Steelmaker Tool'!$D$20,$D$1:$CL$11,ROW($A$11),)/HLOOKUP('Iron &amp; Steelmaker Tool'!$D$16,$D$1:$CL$11,ROW($A$11),)))/'Iron &amp; Steelmaker Tool'!$D$19)^(1/('Iron &amp; Steelmaker Tool'!$D$20-'Iron &amp; Steelmaker Tool'!$D$16)))^(AF$1-'Iron &amp; Steelmaker Tool'!$D$16)))/1000),NA())</f>
        <v>#N/A</v>
      </c>
      <c r="AG95" s="56" t="e">
        <f>IFERROR(IF(HLOOKUP('Iron &amp; Steelmaker Tool'!$D$20,$D$1:$CL$11,ROW($A$11),)&lt;0,NA(),IF(AG$1&lt;'Iron &amp; Steelmaker Tool'!$D$16,NA(),IF(AG$1&gt;'Iron &amp; Steelmaker Tool'!$D$20,NA(),'Iron &amp; Steelmaker Tool'!$D$19*((('Iron &amp; Steelmaker Tool'!$D$19*(HLOOKUP('Iron &amp; Steelmaker Tool'!$D$20,$D$1:$CL$11,ROW($A$11),)/HLOOKUP('Iron &amp; Steelmaker Tool'!$D$16,$D$1:$CL$11,ROW($A$11),)))/'Iron &amp; Steelmaker Tool'!$D$19)^(1/('Iron &amp; Steelmaker Tool'!$D$20-'Iron &amp; Steelmaker Tool'!$D$16)))^(AG$1-'Iron &amp; Steelmaker Tool'!$D$16)))/1000),NA())</f>
        <v>#N/A</v>
      </c>
      <c r="AH95" s="56" t="e">
        <f>IFERROR(IF(HLOOKUP('Iron &amp; Steelmaker Tool'!$D$20,$D$1:$CL$11,ROW($A$11),)&lt;0,NA(),IF(AH$1&lt;'Iron &amp; Steelmaker Tool'!$D$16,NA(),IF(AH$1&gt;'Iron &amp; Steelmaker Tool'!$D$20,NA(),'Iron &amp; Steelmaker Tool'!$D$19*((('Iron &amp; Steelmaker Tool'!$D$19*(HLOOKUP('Iron &amp; Steelmaker Tool'!$D$20,$D$1:$CL$11,ROW($A$11),)/HLOOKUP('Iron &amp; Steelmaker Tool'!$D$16,$D$1:$CL$11,ROW($A$11),)))/'Iron &amp; Steelmaker Tool'!$D$19)^(1/('Iron &amp; Steelmaker Tool'!$D$20-'Iron &amp; Steelmaker Tool'!$D$16)))^(AH$1-'Iron &amp; Steelmaker Tool'!$D$16)))/1000),NA())</f>
        <v>#N/A</v>
      </c>
      <c r="AI95" s="56" t="e">
        <f>IFERROR(IF(HLOOKUP('Iron &amp; Steelmaker Tool'!$D$20,$D$1:$CL$11,ROW($A$11),)&lt;0,NA(),IF(AI$1&lt;'Iron &amp; Steelmaker Tool'!$D$16,NA(),IF(AI$1&gt;'Iron &amp; Steelmaker Tool'!$D$20,NA(),'Iron &amp; Steelmaker Tool'!$D$19*((('Iron &amp; Steelmaker Tool'!$D$19*(HLOOKUP('Iron &amp; Steelmaker Tool'!$D$20,$D$1:$CL$11,ROW($A$11),)/HLOOKUP('Iron &amp; Steelmaker Tool'!$D$16,$D$1:$CL$11,ROW($A$11),)))/'Iron &amp; Steelmaker Tool'!$D$19)^(1/('Iron &amp; Steelmaker Tool'!$D$20-'Iron &amp; Steelmaker Tool'!$D$16)))^(AI$1-'Iron &amp; Steelmaker Tool'!$D$16)))/1000),NA())</f>
        <v>#N/A</v>
      </c>
      <c r="AJ95" s="56" t="e">
        <f>IFERROR(IF(HLOOKUP('Iron &amp; Steelmaker Tool'!$D$20,$D$1:$CL$11,ROW($A$11),)&lt;0,NA(),IF(AJ$1&lt;'Iron &amp; Steelmaker Tool'!$D$16,NA(),IF(AJ$1&gt;'Iron &amp; Steelmaker Tool'!$D$20,NA(),'Iron &amp; Steelmaker Tool'!$D$19*((('Iron &amp; Steelmaker Tool'!$D$19*(HLOOKUP('Iron &amp; Steelmaker Tool'!$D$20,$D$1:$CL$11,ROW($A$11),)/HLOOKUP('Iron &amp; Steelmaker Tool'!$D$16,$D$1:$CL$11,ROW($A$11),)))/'Iron &amp; Steelmaker Tool'!$D$19)^(1/('Iron &amp; Steelmaker Tool'!$D$20-'Iron &amp; Steelmaker Tool'!$D$16)))^(AJ$1-'Iron &amp; Steelmaker Tool'!$D$16)))/1000),NA())</f>
        <v>#N/A</v>
      </c>
      <c r="AK95" s="56" t="e">
        <f>IFERROR(IF(HLOOKUP('Iron &amp; Steelmaker Tool'!$D$20,$D$1:$CL$11,ROW($A$11),)&lt;0,NA(),IF(AK$1&lt;'Iron &amp; Steelmaker Tool'!$D$16,NA(),IF(AK$1&gt;'Iron &amp; Steelmaker Tool'!$D$20,NA(),'Iron &amp; Steelmaker Tool'!$D$19*((('Iron &amp; Steelmaker Tool'!$D$19*(HLOOKUP('Iron &amp; Steelmaker Tool'!$D$20,$D$1:$CL$11,ROW($A$11),)/HLOOKUP('Iron &amp; Steelmaker Tool'!$D$16,$D$1:$CL$11,ROW($A$11),)))/'Iron &amp; Steelmaker Tool'!$D$19)^(1/('Iron &amp; Steelmaker Tool'!$D$20-'Iron &amp; Steelmaker Tool'!$D$16)))^(AK$1-'Iron &amp; Steelmaker Tool'!$D$16)))/1000),NA())</f>
        <v>#N/A</v>
      </c>
      <c r="AL95" s="56" t="e">
        <f>IFERROR(IF(HLOOKUP('Iron &amp; Steelmaker Tool'!$D$20,$D$1:$CL$11,ROW($A$11),)&lt;0,NA(),IF(AL$1&lt;'Iron &amp; Steelmaker Tool'!$D$16,NA(),IF(AL$1&gt;'Iron &amp; Steelmaker Tool'!$D$20,NA(),'Iron &amp; Steelmaker Tool'!$D$19*((('Iron &amp; Steelmaker Tool'!$D$19*(HLOOKUP('Iron &amp; Steelmaker Tool'!$D$20,$D$1:$CL$11,ROW($A$11),)/HLOOKUP('Iron &amp; Steelmaker Tool'!$D$16,$D$1:$CL$11,ROW($A$11),)))/'Iron &amp; Steelmaker Tool'!$D$19)^(1/('Iron &amp; Steelmaker Tool'!$D$20-'Iron &amp; Steelmaker Tool'!$D$16)))^(AL$1-'Iron &amp; Steelmaker Tool'!$D$16)))/1000),NA())</f>
        <v>#N/A</v>
      </c>
      <c r="AM95" s="56" t="e">
        <f>IFERROR(IF(HLOOKUP('Iron &amp; Steelmaker Tool'!$D$20,$D$1:$CL$11,ROW($A$11),)&lt;0,NA(),IF(AM$1&lt;'Iron &amp; Steelmaker Tool'!$D$16,NA(),IF(AM$1&gt;'Iron &amp; Steelmaker Tool'!$D$20,NA(),'Iron &amp; Steelmaker Tool'!$D$19*((('Iron &amp; Steelmaker Tool'!$D$19*(HLOOKUP('Iron &amp; Steelmaker Tool'!$D$20,$D$1:$CL$11,ROW($A$11),)/HLOOKUP('Iron &amp; Steelmaker Tool'!$D$16,$D$1:$CL$11,ROW($A$11),)))/'Iron &amp; Steelmaker Tool'!$D$19)^(1/('Iron &amp; Steelmaker Tool'!$D$20-'Iron &amp; Steelmaker Tool'!$D$16)))^(AM$1-'Iron &amp; Steelmaker Tool'!$D$16)))/1000),NA())</f>
        <v>#N/A</v>
      </c>
      <c r="AN95" s="56" t="e">
        <f>IFERROR(IF(HLOOKUP('Iron &amp; Steelmaker Tool'!$D$20,$D$1:$CL$11,ROW($A$11),)&lt;0,NA(),IF(AN$1&lt;'Iron &amp; Steelmaker Tool'!$D$16,NA(),IF(AN$1&gt;'Iron &amp; Steelmaker Tool'!$D$20,NA(),'Iron &amp; Steelmaker Tool'!$D$19*((('Iron &amp; Steelmaker Tool'!$D$19*(HLOOKUP('Iron &amp; Steelmaker Tool'!$D$20,$D$1:$CL$11,ROW($A$11),)/HLOOKUP('Iron &amp; Steelmaker Tool'!$D$16,$D$1:$CL$11,ROW($A$11),)))/'Iron &amp; Steelmaker Tool'!$D$19)^(1/('Iron &amp; Steelmaker Tool'!$D$20-'Iron &amp; Steelmaker Tool'!$D$16)))^(AN$1-'Iron &amp; Steelmaker Tool'!$D$16)))/1000),NA())</f>
        <v>#N/A</v>
      </c>
      <c r="AO95" s="56" t="e">
        <f>IFERROR(IF(HLOOKUP('Iron &amp; Steelmaker Tool'!$D$20,$D$1:$CL$11,ROW($A$11),)&lt;0,NA(),IF(AO$1&lt;'Iron &amp; Steelmaker Tool'!$D$16,NA(),IF(AO$1&gt;'Iron &amp; Steelmaker Tool'!$D$20,NA(),'Iron &amp; Steelmaker Tool'!$D$19*((('Iron &amp; Steelmaker Tool'!$D$19*(HLOOKUP('Iron &amp; Steelmaker Tool'!$D$20,$D$1:$CL$11,ROW($A$11),)/HLOOKUP('Iron &amp; Steelmaker Tool'!$D$16,$D$1:$CL$11,ROW($A$11),)))/'Iron &amp; Steelmaker Tool'!$D$19)^(1/('Iron &amp; Steelmaker Tool'!$D$20-'Iron &amp; Steelmaker Tool'!$D$16)))^(AO$1-'Iron &amp; Steelmaker Tool'!$D$16)))/1000),NA())</f>
        <v>#N/A</v>
      </c>
      <c r="AP95" s="56" t="e">
        <f>IFERROR(IF(HLOOKUP('Iron &amp; Steelmaker Tool'!$D$20,$D$1:$CL$11,ROW($A$11),)&lt;0,NA(),IF(AP$1&lt;'Iron &amp; Steelmaker Tool'!$D$16,NA(),IF(AP$1&gt;'Iron &amp; Steelmaker Tool'!$D$20,NA(),'Iron &amp; Steelmaker Tool'!$D$19*((('Iron &amp; Steelmaker Tool'!$D$19*(HLOOKUP('Iron &amp; Steelmaker Tool'!$D$20,$D$1:$CL$11,ROW($A$11),)/HLOOKUP('Iron &amp; Steelmaker Tool'!$D$16,$D$1:$CL$11,ROW($A$11),)))/'Iron &amp; Steelmaker Tool'!$D$19)^(1/('Iron &amp; Steelmaker Tool'!$D$20-'Iron &amp; Steelmaker Tool'!$D$16)))^(AP$1-'Iron &amp; Steelmaker Tool'!$D$16)))/1000),NA())</f>
        <v>#N/A</v>
      </c>
      <c r="AQ95" s="56" t="e">
        <f>IFERROR(IF(HLOOKUP('Iron &amp; Steelmaker Tool'!$D$20,$D$1:$CL$11,ROW($A$11),)&lt;0,NA(),IF(AQ$1&lt;'Iron &amp; Steelmaker Tool'!$D$16,NA(),IF(AQ$1&gt;'Iron &amp; Steelmaker Tool'!$D$20,NA(),'Iron &amp; Steelmaker Tool'!$D$19*((('Iron &amp; Steelmaker Tool'!$D$19*(HLOOKUP('Iron &amp; Steelmaker Tool'!$D$20,$D$1:$CL$11,ROW($A$11),)/HLOOKUP('Iron &amp; Steelmaker Tool'!$D$16,$D$1:$CL$11,ROW($A$11),)))/'Iron &amp; Steelmaker Tool'!$D$19)^(1/('Iron &amp; Steelmaker Tool'!$D$20-'Iron &amp; Steelmaker Tool'!$D$16)))^(AQ$1-'Iron &amp; Steelmaker Tool'!$D$16)))/1000),NA())</f>
        <v>#N/A</v>
      </c>
      <c r="AR95" s="56" t="e">
        <f>IFERROR(IF(HLOOKUP('Iron &amp; Steelmaker Tool'!$D$20,$D$1:$CL$11,ROW($A$11),)&lt;0,NA(),IF(AR$1&lt;'Iron &amp; Steelmaker Tool'!$D$16,NA(),IF(AR$1&gt;'Iron &amp; Steelmaker Tool'!$D$20,NA(),'Iron &amp; Steelmaker Tool'!$D$19*((('Iron &amp; Steelmaker Tool'!$D$19*(HLOOKUP('Iron &amp; Steelmaker Tool'!$D$20,$D$1:$CL$11,ROW($A$11),)/HLOOKUP('Iron &amp; Steelmaker Tool'!$D$16,$D$1:$CL$11,ROW($A$11),)))/'Iron &amp; Steelmaker Tool'!$D$19)^(1/('Iron &amp; Steelmaker Tool'!$D$20-'Iron &amp; Steelmaker Tool'!$D$16)))^(AR$1-'Iron &amp; Steelmaker Tool'!$D$16)))/1000),NA())</f>
        <v>#N/A</v>
      </c>
      <c r="AS95" s="56" t="e">
        <f>IFERROR(IF(HLOOKUP('Iron &amp; Steelmaker Tool'!$D$20,$D$1:$CL$11,ROW($A$11),)&lt;0,NA(),IF(AS$1&lt;'Iron &amp; Steelmaker Tool'!$D$16,NA(),IF(AS$1&gt;'Iron &amp; Steelmaker Tool'!$D$20,NA(),'Iron &amp; Steelmaker Tool'!$D$19*((('Iron &amp; Steelmaker Tool'!$D$19*(HLOOKUP('Iron &amp; Steelmaker Tool'!$D$20,$D$1:$CL$11,ROW($A$11),)/HLOOKUP('Iron &amp; Steelmaker Tool'!$D$16,$D$1:$CL$11,ROW($A$11),)))/'Iron &amp; Steelmaker Tool'!$D$19)^(1/('Iron &amp; Steelmaker Tool'!$D$20-'Iron &amp; Steelmaker Tool'!$D$16)))^(AS$1-'Iron &amp; Steelmaker Tool'!$D$16)))/1000),NA())</f>
        <v>#N/A</v>
      </c>
      <c r="AT95" s="56" t="e">
        <f>IFERROR(IF(HLOOKUP('Iron &amp; Steelmaker Tool'!$D$20,$D$1:$CL$11,ROW($A$11),)&lt;0,NA(),IF(AT$1&lt;'Iron &amp; Steelmaker Tool'!$D$16,NA(),IF(AT$1&gt;'Iron &amp; Steelmaker Tool'!$D$20,NA(),'Iron &amp; Steelmaker Tool'!$D$19*((('Iron &amp; Steelmaker Tool'!$D$19*(HLOOKUP('Iron &amp; Steelmaker Tool'!$D$20,$D$1:$CL$11,ROW($A$11),)/HLOOKUP('Iron &amp; Steelmaker Tool'!$D$16,$D$1:$CL$11,ROW($A$11),)))/'Iron &amp; Steelmaker Tool'!$D$19)^(1/('Iron &amp; Steelmaker Tool'!$D$20-'Iron &amp; Steelmaker Tool'!$D$16)))^(AT$1-'Iron &amp; Steelmaker Tool'!$D$16)))/1000),NA())</f>
        <v>#N/A</v>
      </c>
      <c r="AU95" s="56" t="e">
        <f>IFERROR(IF(HLOOKUP('Iron &amp; Steelmaker Tool'!$D$20,$D$1:$CL$11,ROW($A$11),)&lt;0,NA(),IF(AU$1&lt;'Iron &amp; Steelmaker Tool'!$D$16,NA(),IF(AU$1&gt;'Iron &amp; Steelmaker Tool'!$D$20,NA(),'Iron &amp; Steelmaker Tool'!$D$19*((('Iron &amp; Steelmaker Tool'!$D$19*(HLOOKUP('Iron &amp; Steelmaker Tool'!$D$20,$D$1:$CL$11,ROW($A$11),)/HLOOKUP('Iron &amp; Steelmaker Tool'!$D$16,$D$1:$CL$11,ROW($A$11),)))/'Iron &amp; Steelmaker Tool'!$D$19)^(1/('Iron &amp; Steelmaker Tool'!$D$20-'Iron &amp; Steelmaker Tool'!$D$16)))^(AU$1-'Iron &amp; Steelmaker Tool'!$D$16)))/1000),NA())</f>
        <v>#N/A</v>
      </c>
      <c r="AV95" s="56" t="e">
        <f>IFERROR(IF(HLOOKUP('Iron &amp; Steelmaker Tool'!$D$20,$D$1:$CL$11,ROW($A$11),)&lt;0,NA(),IF(AV$1&lt;'Iron &amp; Steelmaker Tool'!$D$16,NA(),IF(AV$1&gt;'Iron &amp; Steelmaker Tool'!$D$20,NA(),'Iron &amp; Steelmaker Tool'!$D$19*((('Iron &amp; Steelmaker Tool'!$D$19*(HLOOKUP('Iron &amp; Steelmaker Tool'!$D$20,$D$1:$CL$11,ROW($A$11),)/HLOOKUP('Iron &amp; Steelmaker Tool'!$D$16,$D$1:$CL$11,ROW($A$11),)))/'Iron &amp; Steelmaker Tool'!$D$19)^(1/('Iron &amp; Steelmaker Tool'!$D$20-'Iron &amp; Steelmaker Tool'!$D$16)))^(AV$1-'Iron &amp; Steelmaker Tool'!$D$16)))/1000),NA())</f>
        <v>#N/A</v>
      </c>
      <c r="AW95" s="56" t="e">
        <f>IFERROR(IF(HLOOKUP('Iron &amp; Steelmaker Tool'!$D$20,$D$1:$CL$11,ROW($A$11),)&lt;0,NA(),IF(AW$1&lt;'Iron &amp; Steelmaker Tool'!$D$16,NA(),IF(AW$1&gt;'Iron &amp; Steelmaker Tool'!$D$20,NA(),'Iron &amp; Steelmaker Tool'!$D$19*((('Iron &amp; Steelmaker Tool'!$D$19*(HLOOKUP('Iron &amp; Steelmaker Tool'!$D$20,$D$1:$CL$11,ROW($A$11),)/HLOOKUP('Iron &amp; Steelmaker Tool'!$D$16,$D$1:$CL$11,ROW($A$11),)))/'Iron &amp; Steelmaker Tool'!$D$19)^(1/('Iron &amp; Steelmaker Tool'!$D$20-'Iron &amp; Steelmaker Tool'!$D$16)))^(AW$1-'Iron &amp; Steelmaker Tool'!$D$16)))/1000),NA())</f>
        <v>#N/A</v>
      </c>
      <c r="AX95" s="56" t="e">
        <f>IFERROR(IF(HLOOKUP('Iron &amp; Steelmaker Tool'!$D$20,$D$1:$CL$11,ROW($A$11),)&lt;0,NA(),IF(AX$1&lt;'Iron &amp; Steelmaker Tool'!$D$16,NA(),IF(AX$1&gt;'Iron &amp; Steelmaker Tool'!$D$20,NA(),'Iron &amp; Steelmaker Tool'!$D$19*((('Iron &amp; Steelmaker Tool'!$D$19*(HLOOKUP('Iron &amp; Steelmaker Tool'!$D$20,$D$1:$CL$11,ROW($A$11),)/HLOOKUP('Iron &amp; Steelmaker Tool'!$D$16,$D$1:$CL$11,ROW($A$11),)))/'Iron &amp; Steelmaker Tool'!$D$19)^(1/('Iron &amp; Steelmaker Tool'!$D$20-'Iron &amp; Steelmaker Tool'!$D$16)))^(AX$1-'Iron &amp; Steelmaker Tool'!$D$16)))/1000),NA())</f>
        <v>#N/A</v>
      </c>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row>
    <row r="96" spans="1:91" s="43" customFormat="1" hidden="1" x14ac:dyDescent="0.15">
      <c r="A96" s="43" t="s">
        <v>45</v>
      </c>
      <c r="B96" s="43" t="str">
        <f>IF(OR('Iron &amp; Steelmaker Tool'!$D$15=Lists!$B$26,'Iron &amp; Steelmaker Tool'!$D$15=Lists!$B$27,'Iron &amp; Steelmaker Tool'!$D$15=Lists!$B$28),"Scope 3 emissions intensity ("&amp;C96&amp;")","Scope 1 emissions intensity ("&amp;C96&amp;")")</f>
        <v>Scope 1 emissions intensity (tCO2/t)</v>
      </c>
      <c r="C96" s="43" t="str">
        <f>INDEX(Lists!$E$2:$E$50,MATCH('Iron &amp; Steelmaker Tool'!$D$15,Lists!$B$2:$B$50,0))</f>
        <v>tCO2/t</v>
      </c>
      <c r="D96" s="56" t="e">
        <f>IFERROR(D94*INDEX(Lists!$F$2:$F$50,MATCH('Iron &amp; Steelmaker Tool'!$D$15,Lists!$B$2:$B$50,0))*1000/D$31,NA())</f>
        <v>#N/A</v>
      </c>
      <c r="E96" s="56" t="e">
        <f>IFERROR(E94*INDEX(Lists!$F$2:$F$50,MATCH('Iron &amp; Steelmaker Tool'!$D$15,Lists!$B$2:$B$50,0))*1000/E$31,NA())</f>
        <v>#N/A</v>
      </c>
      <c r="F96" s="56" t="e">
        <f>IFERROR(F94*INDEX(Lists!$F$2:$F$50,MATCH('Iron &amp; Steelmaker Tool'!$D$15,Lists!$B$2:$B$50,0))*1000/F$31,NA())</f>
        <v>#N/A</v>
      </c>
      <c r="G96" s="56" t="e">
        <f>IFERROR(G94*INDEX(Lists!$F$2:$F$50,MATCH('Iron &amp; Steelmaker Tool'!$D$15,Lists!$B$2:$B$50,0))*1000/G$31,NA())</f>
        <v>#N/A</v>
      </c>
      <c r="H96" s="56" t="e">
        <f>IFERROR(H94*INDEX(Lists!$F$2:$F$50,MATCH('Iron &amp; Steelmaker Tool'!$D$15,Lists!$B$2:$B$50,0))*1000/H$31,NA())</f>
        <v>#N/A</v>
      </c>
      <c r="I96" s="56" t="e">
        <f>IFERROR(I94*INDEX(Lists!$F$2:$F$50,MATCH('Iron &amp; Steelmaker Tool'!$D$15,Lists!$B$2:$B$50,0))*1000/I$31,NA())</f>
        <v>#N/A</v>
      </c>
      <c r="J96" s="56" t="e">
        <f>IFERROR(J94*INDEX(Lists!$F$2:$F$50,MATCH('Iron &amp; Steelmaker Tool'!$D$15,Lists!$B$2:$B$50,0))*1000/J$31,NA())</f>
        <v>#N/A</v>
      </c>
      <c r="K96" s="56" t="e">
        <f>IFERROR(K94*INDEX(Lists!$F$2:$F$50,MATCH('Iron &amp; Steelmaker Tool'!$D$15,Lists!$B$2:$B$50,0))*1000/K$31,NA())</f>
        <v>#N/A</v>
      </c>
      <c r="L96" s="56" t="e">
        <f>IFERROR(L94*INDEX(Lists!$F$2:$F$50,MATCH('Iron &amp; Steelmaker Tool'!$D$15,Lists!$B$2:$B$50,0))*1000/L$31,NA())</f>
        <v>#N/A</v>
      </c>
      <c r="M96" s="56" t="e">
        <f>IFERROR(M94*INDEX(Lists!$F$2:$F$50,MATCH('Iron &amp; Steelmaker Tool'!$D$15,Lists!$B$2:$B$50,0))*1000/M$31,NA())</f>
        <v>#N/A</v>
      </c>
      <c r="N96" s="56" t="e">
        <f>IFERROR(N94*INDEX(Lists!$F$2:$F$50,MATCH('Iron &amp; Steelmaker Tool'!$D$15,Lists!$B$2:$B$50,0))*1000/N$31,NA())</f>
        <v>#N/A</v>
      </c>
      <c r="O96" s="56" t="e">
        <f>IFERROR(O94*INDEX(Lists!$F$2:$F$50,MATCH('Iron &amp; Steelmaker Tool'!$D$15,Lists!$B$2:$B$50,0))*1000/O$31,NA())</f>
        <v>#N/A</v>
      </c>
      <c r="P96" s="56" t="e">
        <f>IFERROR(P94*INDEX(Lists!$F$2:$F$50,MATCH('Iron &amp; Steelmaker Tool'!$D$15,Lists!$B$2:$B$50,0))*1000/P$31,NA())</f>
        <v>#N/A</v>
      </c>
      <c r="Q96" s="56" t="e">
        <f>IFERROR(Q94*INDEX(Lists!$F$2:$F$50,MATCH('Iron &amp; Steelmaker Tool'!$D$15,Lists!$B$2:$B$50,0))*1000/Q$31,NA())</f>
        <v>#N/A</v>
      </c>
      <c r="R96" s="56" t="e">
        <f>IFERROR(R94*INDEX(Lists!$F$2:$F$50,MATCH('Iron &amp; Steelmaker Tool'!$D$15,Lists!$B$2:$B$50,0))*1000/R$31,NA())</f>
        <v>#N/A</v>
      </c>
      <c r="S96" s="56" t="e">
        <f>IFERROR(S94*INDEX(Lists!$F$2:$F$50,MATCH('Iron &amp; Steelmaker Tool'!$D$15,Lists!$B$2:$B$50,0))*1000/S$31,NA())</f>
        <v>#N/A</v>
      </c>
      <c r="T96" s="56" t="e">
        <f>IFERROR(T94*INDEX(Lists!$F$2:$F$50,MATCH('Iron &amp; Steelmaker Tool'!$D$15,Lists!$B$2:$B$50,0))*1000/T$31,NA())</f>
        <v>#N/A</v>
      </c>
      <c r="U96" s="56" t="e">
        <f>IFERROR(U94*INDEX(Lists!$F$2:$F$50,MATCH('Iron &amp; Steelmaker Tool'!$D$15,Lists!$B$2:$B$50,0))*1000/U$31,NA())</f>
        <v>#N/A</v>
      </c>
      <c r="V96" s="56" t="e">
        <f>IFERROR(V94*INDEX(Lists!$F$2:$F$50,MATCH('Iron &amp; Steelmaker Tool'!$D$15,Lists!$B$2:$B$50,0))*1000/V$31,NA())</f>
        <v>#N/A</v>
      </c>
      <c r="W96" s="56" t="e">
        <f>IFERROR(W94*INDEX(Lists!$F$2:$F$50,MATCH('Iron &amp; Steelmaker Tool'!$D$15,Lists!$B$2:$B$50,0))*1000/W$31,NA())</f>
        <v>#N/A</v>
      </c>
      <c r="X96" s="56" t="e">
        <f>IFERROR(X94*INDEX(Lists!$F$2:$F$50,MATCH('Iron &amp; Steelmaker Tool'!$D$15,Lists!$B$2:$B$50,0))*1000/X$31,NA())</f>
        <v>#N/A</v>
      </c>
      <c r="Y96" s="56" t="e">
        <f>IFERROR(Y94*INDEX(Lists!$F$2:$F$50,MATCH('Iron &amp; Steelmaker Tool'!$D$15,Lists!$B$2:$B$50,0))*1000/Y$31,NA())</f>
        <v>#N/A</v>
      </c>
      <c r="Z96" s="56" t="e">
        <f>IFERROR(Z94*INDEX(Lists!$F$2:$F$50,MATCH('Iron &amp; Steelmaker Tool'!$D$15,Lists!$B$2:$B$50,0))*1000/Z$31,NA())</f>
        <v>#N/A</v>
      </c>
      <c r="AA96" s="56" t="e">
        <f>IFERROR(AA94*INDEX(Lists!$F$2:$F$50,MATCH('Iron &amp; Steelmaker Tool'!$D$15,Lists!$B$2:$B$50,0))*1000/AA$31,NA())</f>
        <v>#N/A</v>
      </c>
      <c r="AB96" s="56" t="e">
        <f>IFERROR(AB94*INDEX(Lists!$F$2:$F$50,MATCH('Iron &amp; Steelmaker Tool'!$D$15,Lists!$B$2:$B$50,0))*1000/AB$31,NA())</f>
        <v>#N/A</v>
      </c>
      <c r="AC96" s="56" t="e">
        <f>IFERROR(AC94*INDEX(Lists!$F$2:$F$50,MATCH('Iron &amp; Steelmaker Tool'!$D$15,Lists!$B$2:$B$50,0))*1000/AC$31,NA())</f>
        <v>#N/A</v>
      </c>
      <c r="AD96" s="56" t="e">
        <f>IFERROR(AD94*INDEX(Lists!$F$2:$F$50,MATCH('Iron &amp; Steelmaker Tool'!$D$15,Lists!$B$2:$B$50,0))*1000/AD$31,NA())</f>
        <v>#N/A</v>
      </c>
      <c r="AE96" s="56" t="e">
        <f>IFERROR(AE94*INDEX(Lists!$F$2:$F$50,MATCH('Iron &amp; Steelmaker Tool'!$D$15,Lists!$B$2:$B$50,0))*1000/AE$31,NA())</f>
        <v>#N/A</v>
      </c>
      <c r="AF96" s="56" t="e">
        <f>IFERROR(AF94*INDEX(Lists!$F$2:$F$50,MATCH('Iron &amp; Steelmaker Tool'!$D$15,Lists!$B$2:$B$50,0))*1000/AF$31,NA())</f>
        <v>#N/A</v>
      </c>
      <c r="AG96" s="56" t="e">
        <f>IFERROR(AG94*INDEX(Lists!$F$2:$F$50,MATCH('Iron &amp; Steelmaker Tool'!$D$15,Lists!$B$2:$B$50,0))*1000/AG$31,NA())</f>
        <v>#N/A</v>
      </c>
      <c r="AH96" s="56" t="e">
        <f>IFERROR(AH94*INDEX(Lists!$F$2:$F$50,MATCH('Iron &amp; Steelmaker Tool'!$D$15,Lists!$B$2:$B$50,0))*1000/AH$31,NA())</f>
        <v>#N/A</v>
      </c>
      <c r="AI96" s="56" t="e">
        <f>IFERROR(AI94*INDEX(Lists!$F$2:$F$50,MATCH('Iron &amp; Steelmaker Tool'!$D$15,Lists!$B$2:$B$50,0))*1000/AI$31,NA())</f>
        <v>#N/A</v>
      </c>
      <c r="AJ96" s="56" t="e">
        <f>IFERROR(AJ94*INDEX(Lists!$F$2:$F$50,MATCH('Iron &amp; Steelmaker Tool'!$D$15,Lists!$B$2:$B$50,0))*1000/AJ$31,NA())</f>
        <v>#N/A</v>
      </c>
      <c r="AK96" s="56" t="e">
        <f>IFERROR(AK94*INDEX(Lists!$F$2:$F$50,MATCH('Iron &amp; Steelmaker Tool'!$D$15,Lists!$B$2:$B$50,0))*1000/AK$31,NA())</f>
        <v>#N/A</v>
      </c>
      <c r="AL96" s="56" t="e">
        <f>IFERROR(AL94*INDEX(Lists!$F$2:$F$50,MATCH('Iron &amp; Steelmaker Tool'!$D$15,Lists!$B$2:$B$50,0))*1000/AL$31,NA())</f>
        <v>#N/A</v>
      </c>
      <c r="AM96" s="56" t="e">
        <f>IFERROR(AM94*INDEX(Lists!$F$2:$F$50,MATCH('Iron &amp; Steelmaker Tool'!$D$15,Lists!$B$2:$B$50,0))*1000/AM$31,NA())</f>
        <v>#N/A</v>
      </c>
      <c r="AN96" s="56" t="e">
        <f>IFERROR(AN94*INDEX(Lists!$F$2:$F$50,MATCH('Iron &amp; Steelmaker Tool'!$D$15,Lists!$B$2:$B$50,0))*1000/AN$31,NA())</f>
        <v>#N/A</v>
      </c>
      <c r="AO96" s="56" t="e">
        <f>IFERROR(AO94*INDEX(Lists!$F$2:$F$50,MATCH('Iron &amp; Steelmaker Tool'!$D$15,Lists!$B$2:$B$50,0))*1000/AO$31,NA())</f>
        <v>#N/A</v>
      </c>
      <c r="AP96" s="56" t="e">
        <f>IFERROR(AP94*INDEX(Lists!$F$2:$F$50,MATCH('Iron &amp; Steelmaker Tool'!$D$15,Lists!$B$2:$B$50,0))*1000/AP$31,NA())</f>
        <v>#N/A</v>
      </c>
      <c r="AQ96" s="56" t="e">
        <f>IFERROR(AQ94*INDEX(Lists!$F$2:$F$50,MATCH('Iron &amp; Steelmaker Tool'!$D$15,Lists!$B$2:$B$50,0))*1000/AQ$31,NA())</f>
        <v>#N/A</v>
      </c>
      <c r="AR96" s="56" t="e">
        <f>IFERROR(AR94*INDEX(Lists!$F$2:$F$50,MATCH('Iron &amp; Steelmaker Tool'!$D$15,Lists!$B$2:$B$50,0))*1000/AR$31,NA())</f>
        <v>#N/A</v>
      </c>
      <c r="AS96" s="56" t="e">
        <f>IFERROR(AS94*INDEX(Lists!$F$2:$F$50,MATCH('Iron &amp; Steelmaker Tool'!$D$15,Lists!$B$2:$B$50,0))*1000/AS$31,NA())</f>
        <v>#N/A</v>
      </c>
      <c r="AT96" s="56" t="e">
        <f>IFERROR(AT94*INDEX(Lists!$F$2:$F$50,MATCH('Iron &amp; Steelmaker Tool'!$D$15,Lists!$B$2:$B$50,0))*1000/AT$31,NA())</f>
        <v>#N/A</v>
      </c>
      <c r="AU96" s="56" t="e">
        <f>IFERROR(AU94*INDEX(Lists!$F$2:$F$50,MATCH('Iron &amp; Steelmaker Tool'!$D$15,Lists!$B$2:$B$50,0))*1000/AU$31,NA())</f>
        <v>#N/A</v>
      </c>
      <c r="AV96" s="56" t="e">
        <f>IFERROR(AV94*INDEX(Lists!$F$2:$F$50,MATCH('Iron &amp; Steelmaker Tool'!$D$15,Lists!$B$2:$B$50,0))*1000/AV$31,NA())</f>
        <v>#N/A</v>
      </c>
      <c r="AW96" s="56" t="e">
        <f>IFERROR(AW94*INDEX(Lists!$F$2:$F$50,MATCH('Iron &amp; Steelmaker Tool'!$D$15,Lists!$B$2:$B$50,0))*1000/AW$31,NA())</f>
        <v>#N/A</v>
      </c>
      <c r="AX96" s="56" t="e">
        <f>IFERROR(AX94*INDEX(Lists!$F$2:$F$50,MATCH('Iron &amp; Steelmaker Tool'!$D$15,Lists!$B$2:$B$50,0))*1000/AX$31,NA())</f>
        <v>#N/A</v>
      </c>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row>
    <row r="97" spans="1:90" s="43" customFormat="1" hidden="1" x14ac:dyDescent="0.15">
      <c r="A97" s="43" t="s">
        <v>59</v>
      </c>
      <c r="B97" s="43" t="str">
        <f>"Scope 2 emissions intensity ("&amp;C97&amp;")"</f>
        <v>Scope 2 emissions intensity (tCO2/t)</v>
      </c>
      <c r="C97" s="43" t="str">
        <f>INDEX(Lists!$E$2:$E$50,MATCH('Iron &amp; Steelmaker Tool'!$D$15,Lists!$B$2:$B$50,0))</f>
        <v>tCO2/t</v>
      </c>
      <c r="D97" s="56" t="e">
        <f>IFERROR(D95*INDEX(Lists!$F$2:$F$50,MATCH('Iron &amp; Steelmaker Tool'!$D$15,Lists!$B$2:$B$50,0))*1000/D$31,NA())</f>
        <v>#N/A</v>
      </c>
      <c r="E97" s="56" t="e">
        <f>IFERROR(E95*INDEX(Lists!$F$2:$F$50,MATCH('Iron &amp; Steelmaker Tool'!$D$15,Lists!$B$2:$B$50,0))*1000/E$31,NA())</f>
        <v>#N/A</v>
      </c>
      <c r="F97" s="56" t="e">
        <f>IFERROR(F95*INDEX(Lists!$F$2:$F$50,MATCH('Iron &amp; Steelmaker Tool'!$D$15,Lists!$B$2:$B$50,0))*1000/F$31,NA())</f>
        <v>#N/A</v>
      </c>
      <c r="G97" s="56" t="e">
        <f>IFERROR(G95*INDEX(Lists!$F$2:$F$50,MATCH('Iron &amp; Steelmaker Tool'!$D$15,Lists!$B$2:$B$50,0))*1000/G$31,NA())</f>
        <v>#N/A</v>
      </c>
      <c r="H97" s="56" t="e">
        <f>IFERROR(H95*INDEX(Lists!$F$2:$F$50,MATCH('Iron &amp; Steelmaker Tool'!$D$15,Lists!$B$2:$B$50,0))*1000/H$31,NA())</f>
        <v>#N/A</v>
      </c>
      <c r="I97" s="56" t="e">
        <f>IFERROR(I95*INDEX(Lists!$F$2:$F$50,MATCH('Iron &amp; Steelmaker Tool'!$D$15,Lists!$B$2:$B$50,0))*1000/I$31,NA())</f>
        <v>#N/A</v>
      </c>
      <c r="J97" s="56" t="e">
        <f>IFERROR(J95*INDEX(Lists!$F$2:$F$50,MATCH('Iron &amp; Steelmaker Tool'!$D$15,Lists!$B$2:$B$50,0))*1000/J$31,NA())</f>
        <v>#N/A</v>
      </c>
      <c r="K97" s="56" t="e">
        <f>IFERROR(K95*INDEX(Lists!$F$2:$F$50,MATCH('Iron &amp; Steelmaker Tool'!$D$15,Lists!$B$2:$B$50,0))*1000/K$31,NA())</f>
        <v>#N/A</v>
      </c>
      <c r="L97" s="56" t="e">
        <f>IFERROR(L95*INDEX(Lists!$F$2:$F$50,MATCH('Iron &amp; Steelmaker Tool'!$D$15,Lists!$B$2:$B$50,0))*1000/L$31,NA())</f>
        <v>#N/A</v>
      </c>
      <c r="M97" s="56" t="e">
        <f>IFERROR(M95*INDEX(Lists!$F$2:$F$50,MATCH('Iron &amp; Steelmaker Tool'!$D$15,Lists!$B$2:$B$50,0))*1000/M$31,NA())</f>
        <v>#N/A</v>
      </c>
      <c r="N97" s="56" t="e">
        <f>IFERROR(N95*INDEX(Lists!$F$2:$F$50,MATCH('Iron &amp; Steelmaker Tool'!$D$15,Lists!$B$2:$B$50,0))*1000/N$31,NA())</f>
        <v>#N/A</v>
      </c>
      <c r="O97" s="56" t="e">
        <f>IFERROR(O95*INDEX(Lists!$F$2:$F$50,MATCH('Iron &amp; Steelmaker Tool'!$D$15,Lists!$B$2:$B$50,0))*1000/O$31,NA())</f>
        <v>#N/A</v>
      </c>
      <c r="P97" s="56" t="e">
        <f>IFERROR(P95*INDEX(Lists!$F$2:$F$50,MATCH('Iron &amp; Steelmaker Tool'!$D$15,Lists!$B$2:$B$50,0))*1000/P$31,NA())</f>
        <v>#N/A</v>
      </c>
      <c r="Q97" s="56" t="e">
        <f>IFERROR(Q95*INDEX(Lists!$F$2:$F$50,MATCH('Iron &amp; Steelmaker Tool'!$D$15,Lists!$B$2:$B$50,0))*1000/Q$31,NA())</f>
        <v>#N/A</v>
      </c>
      <c r="R97" s="56" t="e">
        <f>IFERROR(R95*INDEX(Lists!$F$2:$F$50,MATCH('Iron &amp; Steelmaker Tool'!$D$15,Lists!$B$2:$B$50,0))*1000/R$31,NA())</f>
        <v>#N/A</v>
      </c>
      <c r="S97" s="56" t="e">
        <f>IFERROR(S95*INDEX(Lists!$F$2:$F$50,MATCH('Iron &amp; Steelmaker Tool'!$D$15,Lists!$B$2:$B$50,0))*1000/S$31,NA())</f>
        <v>#N/A</v>
      </c>
      <c r="T97" s="56" t="e">
        <f>IFERROR(T95*INDEX(Lists!$F$2:$F$50,MATCH('Iron &amp; Steelmaker Tool'!$D$15,Lists!$B$2:$B$50,0))*1000/T$31,NA())</f>
        <v>#N/A</v>
      </c>
      <c r="U97" s="56" t="e">
        <f>IFERROR(U95*INDEX(Lists!$F$2:$F$50,MATCH('Iron &amp; Steelmaker Tool'!$D$15,Lists!$B$2:$B$50,0))*1000/U$31,NA())</f>
        <v>#N/A</v>
      </c>
      <c r="V97" s="56" t="e">
        <f>IFERROR(V95*INDEX(Lists!$F$2:$F$50,MATCH('Iron &amp; Steelmaker Tool'!$D$15,Lists!$B$2:$B$50,0))*1000/V$31,NA())</f>
        <v>#N/A</v>
      </c>
      <c r="W97" s="56" t="e">
        <f>IFERROR(W95*INDEX(Lists!$F$2:$F$50,MATCH('Iron &amp; Steelmaker Tool'!$D$15,Lists!$B$2:$B$50,0))*1000/W$31,NA())</f>
        <v>#N/A</v>
      </c>
      <c r="X97" s="56" t="e">
        <f>IFERROR(X95*INDEX(Lists!$F$2:$F$50,MATCH('Iron &amp; Steelmaker Tool'!$D$15,Lists!$B$2:$B$50,0))*1000/X$31,NA())</f>
        <v>#N/A</v>
      </c>
      <c r="Y97" s="56" t="e">
        <f>IFERROR(Y95*INDEX(Lists!$F$2:$F$50,MATCH('Iron &amp; Steelmaker Tool'!$D$15,Lists!$B$2:$B$50,0))*1000/Y$31,NA())</f>
        <v>#N/A</v>
      </c>
      <c r="Z97" s="56" t="e">
        <f>IFERROR(Z95*INDEX(Lists!$F$2:$F$50,MATCH('Iron &amp; Steelmaker Tool'!$D$15,Lists!$B$2:$B$50,0))*1000/Z$31,NA())</f>
        <v>#N/A</v>
      </c>
      <c r="AA97" s="56" t="e">
        <f>IFERROR(AA95*INDEX(Lists!$F$2:$F$50,MATCH('Iron &amp; Steelmaker Tool'!$D$15,Lists!$B$2:$B$50,0))*1000/AA$31,NA())</f>
        <v>#N/A</v>
      </c>
      <c r="AB97" s="56" t="e">
        <f>IFERROR(AB95*INDEX(Lists!$F$2:$F$50,MATCH('Iron &amp; Steelmaker Tool'!$D$15,Lists!$B$2:$B$50,0))*1000/AB$31,NA())</f>
        <v>#N/A</v>
      </c>
      <c r="AC97" s="56" t="e">
        <f>IFERROR(AC95*INDEX(Lists!$F$2:$F$50,MATCH('Iron &amp; Steelmaker Tool'!$D$15,Lists!$B$2:$B$50,0))*1000/AC$31,NA())</f>
        <v>#N/A</v>
      </c>
      <c r="AD97" s="56" t="e">
        <f>IFERROR(AD95*INDEX(Lists!$F$2:$F$50,MATCH('Iron &amp; Steelmaker Tool'!$D$15,Lists!$B$2:$B$50,0))*1000/AD$31,NA())</f>
        <v>#N/A</v>
      </c>
      <c r="AE97" s="56" t="e">
        <f>IFERROR(AE95*INDEX(Lists!$F$2:$F$50,MATCH('Iron &amp; Steelmaker Tool'!$D$15,Lists!$B$2:$B$50,0))*1000/AE$31,NA())</f>
        <v>#N/A</v>
      </c>
      <c r="AF97" s="56" t="e">
        <f>IFERROR(AF95*INDEX(Lists!$F$2:$F$50,MATCH('Iron &amp; Steelmaker Tool'!$D$15,Lists!$B$2:$B$50,0))*1000/AF$31,NA())</f>
        <v>#N/A</v>
      </c>
      <c r="AG97" s="56" t="e">
        <f>IFERROR(AG95*INDEX(Lists!$F$2:$F$50,MATCH('Iron &amp; Steelmaker Tool'!$D$15,Lists!$B$2:$B$50,0))*1000/AG$31,NA())</f>
        <v>#N/A</v>
      </c>
      <c r="AH97" s="56" t="e">
        <f>IFERROR(AH95*INDEX(Lists!$F$2:$F$50,MATCH('Iron &amp; Steelmaker Tool'!$D$15,Lists!$B$2:$B$50,0))*1000/AH$31,NA())</f>
        <v>#N/A</v>
      </c>
      <c r="AI97" s="56" t="e">
        <f>IFERROR(AI95*INDEX(Lists!$F$2:$F$50,MATCH('Iron &amp; Steelmaker Tool'!$D$15,Lists!$B$2:$B$50,0))*1000/AI$31,NA())</f>
        <v>#N/A</v>
      </c>
      <c r="AJ97" s="56" t="e">
        <f>IFERROR(AJ95*INDEX(Lists!$F$2:$F$50,MATCH('Iron &amp; Steelmaker Tool'!$D$15,Lists!$B$2:$B$50,0))*1000/AJ$31,NA())</f>
        <v>#N/A</v>
      </c>
      <c r="AK97" s="56" t="e">
        <f>IFERROR(AK95*INDEX(Lists!$F$2:$F$50,MATCH('Iron &amp; Steelmaker Tool'!$D$15,Lists!$B$2:$B$50,0))*1000/AK$31,NA())</f>
        <v>#N/A</v>
      </c>
      <c r="AL97" s="56" t="e">
        <f>IFERROR(AL95*INDEX(Lists!$F$2:$F$50,MATCH('Iron &amp; Steelmaker Tool'!$D$15,Lists!$B$2:$B$50,0))*1000/AL$31,NA())</f>
        <v>#N/A</v>
      </c>
      <c r="AM97" s="56" t="e">
        <f>IFERROR(AM95*INDEX(Lists!$F$2:$F$50,MATCH('Iron &amp; Steelmaker Tool'!$D$15,Lists!$B$2:$B$50,0))*1000/AM$31,NA())</f>
        <v>#N/A</v>
      </c>
      <c r="AN97" s="56" t="e">
        <f>IFERROR(AN95*INDEX(Lists!$F$2:$F$50,MATCH('Iron &amp; Steelmaker Tool'!$D$15,Lists!$B$2:$B$50,0))*1000/AN$31,NA())</f>
        <v>#N/A</v>
      </c>
      <c r="AO97" s="56" t="e">
        <f>IFERROR(AO95*INDEX(Lists!$F$2:$F$50,MATCH('Iron &amp; Steelmaker Tool'!$D$15,Lists!$B$2:$B$50,0))*1000/AO$31,NA())</f>
        <v>#N/A</v>
      </c>
      <c r="AP97" s="56" t="e">
        <f>IFERROR(AP95*INDEX(Lists!$F$2:$F$50,MATCH('Iron &amp; Steelmaker Tool'!$D$15,Lists!$B$2:$B$50,0))*1000/AP$31,NA())</f>
        <v>#N/A</v>
      </c>
      <c r="AQ97" s="56" t="e">
        <f>IFERROR(AQ95*INDEX(Lists!$F$2:$F$50,MATCH('Iron &amp; Steelmaker Tool'!$D$15,Lists!$B$2:$B$50,0))*1000/AQ$31,NA())</f>
        <v>#N/A</v>
      </c>
      <c r="AR97" s="56" t="e">
        <f>IFERROR(AR95*INDEX(Lists!$F$2:$F$50,MATCH('Iron &amp; Steelmaker Tool'!$D$15,Lists!$B$2:$B$50,0))*1000/AR$31,NA())</f>
        <v>#N/A</v>
      </c>
      <c r="AS97" s="56" t="e">
        <f>IFERROR(AS95*INDEX(Lists!$F$2:$F$50,MATCH('Iron &amp; Steelmaker Tool'!$D$15,Lists!$B$2:$B$50,0))*1000/AS$31,NA())</f>
        <v>#N/A</v>
      </c>
      <c r="AT97" s="56" t="e">
        <f>IFERROR(AT95*INDEX(Lists!$F$2:$F$50,MATCH('Iron &amp; Steelmaker Tool'!$D$15,Lists!$B$2:$B$50,0))*1000/AT$31,NA())</f>
        <v>#N/A</v>
      </c>
      <c r="AU97" s="56" t="e">
        <f>IFERROR(AU95*INDEX(Lists!$F$2:$F$50,MATCH('Iron &amp; Steelmaker Tool'!$D$15,Lists!$B$2:$B$50,0))*1000/AU$31,NA())</f>
        <v>#N/A</v>
      </c>
      <c r="AV97" s="56" t="e">
        <f>IFERROR(AV95*INDEX(Lists!$F$2:$F$50,MATCH('Iron &amp; Steelmaker Tool'!$D$15,Lists!$B$2:$B$50,0))*1000/AV$31,NA())</f>
        <v>#N/A</v>
      </c>
      <c r="AW97" s="56" t="e">
        <f>IFERROR(AW95*INDEX(Lists!$F$2:$F$50,MATCH('Iron &amp; Steelmaker Tool'!$D$15,Lists!$B$2:$B$50,0))*1000/AW$31,NA())</f>
        <v>#N/A</v>
      </c>
      <c r="AX97" s="56" t="e">
        <f>IFERROR(AX95*INDEX(Lists!$F$2:$F$50,MATCH('Iron &amp; Steelmaker Tool'!$D$15,Lists!$B$2:$B$50,0))*1000/AX$31,NA())</f>
        <v>#N/A</v>
      </c>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row>
    <row r="98" spans="1:90" s="43" customFormat="1" hidden="1" x14ac:dyDescent="0.15">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row>
    <row r="99" spans="1:90" x14ac:dyDescent="0.15">
      <c r="D99" s="137">
        <v>2014</v>
      </c>
      <c r="E99" s="137">
        <v>2015</v>
      </c>
      <c r="F99" s="137">
        <v>2016</v>
      </c>
      <c r="G99" s="137">
        <v>2017</v>
      </c>
      <c r="H99" s="137">
        <v>2018</v>
      </c>
      <c r="I99" s="137">
        <v>2019</v>
      </c>
      <c r="J99" s="137">
        <v>2020</v>
      </c>
      <c r="K99" s="137">
        <v>2021</v>
      </c>
      <c r="L99" s="137">
        <v>2022</v>
      </c>
      <c r="M99" s="137">
        <v>2023</v>
      </c>
      <c r="N99" s="137">
        <v>2024</v>
      </c>
      <c r="O99" s="137">
        <v>2025</v>
      </c>
      <c r="P99" s="137">
        <v>2026</v>
      </c>
      <c r="Q99" s="137">
        <v>2027</v>
      </c>
      <c r="R99" s="137">
        <v>2028</v>
      </c>
      <c r="S99" s="137">
        <v>2029</v>
      </c>
      <c r="T99" s="137">
        <v>2030</v>
      </c>
      <c r="U99" s="137">
        <v>2031</v>
      </c>
      <c r="V99" s="137">
        <v>2032</v>
      </c>
      <c r="W99" s="137">
        <v>2033</v>
      </c>
      <c r="X99" s="137">
        <v>2034</v>
      </c>
      <c r="Y99" s="137">
        <v>2035</v>
      </c>
      <c r="Z99" s="137">
        <v>2036</v>
      </c>
      <c r="AA99" s="137">
        <v>2037</v>
      </c>
      <c r="AB99" s="137">
        <v>2038</v>
      </c>
      <c r="AC99" s="137">
        <v>2039</v>
      </c>
      <c r="AD99" s="137">
        <v>2040</v>
      </c>
      <c r="AE99" s="137">
        <v>2041</v>
      </c>
      <c r="AF99" s="137">
        <v>2042</v>
      </c>
      <c r="AG99" s="137">
        <v>2043</v>
      </c>
      <c r="AH99" s="137">
        <v>2044</v>
      </c>
      <c r="AI99" s="137">
        <v>2045</v>
      </c>
      <c r="AJ99" s="137">
        <v>2046</v>
      </c>
      <c r="AK99" s="137">
        <v>2047</v>
      </c>
      <c r="AL99" s="137">
        <v>2048</v>
      </c>
      <c r="AM99" s="137">
        <v>2049</v>
      </c>
      <c r="AN99" s="137">
        <v>2050</v>
      </c>
      <c r="AO99" s="137">
        <v>2051</v>
      </c>
      <c r="AP99" s="137">
        <v>2052</v>
      </c>
      <c r="AQ99" s="137">
        <v>2053</v>
      </c>
      <c r="AR99" s="137">
        <v>2054</v>
      </c>
      <c r="AS99" s="137">
        <v>2055</v>
      </c>
      <c r="AT99" s="137">
        <v>2056</v>
      </c>
      <c r="AU99" s="137">
        <v>2057</v>
      </c>
      <c r="AV99" s="137">
        <v>2058</v>
      </c>
      <c r="AW99" s="137">
        <v>2059</v>
      </c>
      <c r="AX99" s="137">
        <v>2060</v>
      </c>
    </row>
    <row r="101" spans="1:90" x14ac:dyDescent="0.15">
      <c r="B101" s="1" t="str">
        <f>CONCATENATE("Graph 1 | SDA absolute emissions (",'Iron &amp; Steelmaker Tool'!D14,")")</f>
        <v>Graph 1 | SDA absolute emissions (SBTi 1.5C)</v>
      </c>
    </row>
    <row r="102" spans="1:90" x14ac:dyDescent="0.15">
      <c r="B102" t="str">
        <f>+B50</f>
        <v>Company | Emissions within core boundary (tCO2)</v>
      </c>
      <c r="C102" t="s">
        <v>212</v>
      </c>
      <c r="D102" s="2" t="e">
        <f>D50</f>
        <v>#N/A</v>
      </c>
      <c r="E102" s="2" t="e">
        <f t="shared" ref="E102:AN102" si="7">E50</f>
        <v>#N/A</v>
      </c>
      <c r="F102" s="2" t="e">
        <f t="shared" si="7"/>
        <v>#N/A</v>
      </c>
      <c r="G102" s="2" t="e">
        <f t="shared" si="7"/>
        <v>#N/A</v>
      </c>
      <c r="H102" s="2" t="e">
        <f t="shared" si="7"/>
        <v>#N/A</v>
      </c>
      <c r="I102" s="2" t="e">
        <f t="shared" si="7"/>
        <v>#N/A</v>
      </c>
      <c r="J102" s="2" t="e">
        <f t="shared" si="7"/>
        <v>#N/A</v>
      </c>
      <c r="K102" s="2" t="e">
        <f t="shared" si="7"/>
        <v>#N/A</v>
      </c>
      <c r="L102" s="2" t="e">
        <f t="shared" si="7"/>
        <v>#N/A</v>
      </c>
      <c r="M102" s="2" t="e">
        <f t="shared" si="7"/>
        <v>#N/A</v>
      </c>
      <c r="N102" s="2" t="e">
        <f t="shared" si="7"/>
        <v>#N/A</v>
      </c>
      <c r="O102" s="2" t="e">
        <f t="shared" si="7"/>
        <v>#N/A</v>
      </c>
      <c r="P102" s="2" t="e">
        <f t="shared" si="7"/>
        <v>#N/A</v>
      </c>
      <c r="Q102" s="2" t="e">
        <f t="shared" si="7"/>
        <v>#N/A</v>
      </c>
      <c r="R102" s="2" t="e">
        <f t="shared" si="7"/>
        <v>#N/A</v>
      </c>
      <c r="S102" s="2" t="e">
        <f t="shared" si="7"/>
        <v>#N/A</v>
      </c>
      <c r="T102" s="2" t="e">
        <f t="shared" si="7"/>
        <v>#N/A</v>
      </c>
      <c r="U102" s="2" t="e">
        <f t="shared" si="7"/>
        <v>#N/A</v>
      </c>
      <c r="V102" s="2" t="e">
        <f t="shared" si="7"/>
        <v>#N/A</v>
      </c>
      <c r="W102" s="2" t="e">
        <f t="shared" si="7"/>
        <v>#N/A</v>
      </c>
      <c r="X102" s="2" t="e">
        <f t="shared" si="7"/>
        <v>#N/A</v>
      </c>
      <c r="Y102" s="2" t="e">
        <f t="shared" si="7"/>
        <v>#N/A</v>
      </c>
      <c r="Z102" s="2" t="e">
        <f t="shared" si="7"/>
        <v>#N/A</v>
      </c>
      <c r="AA102" s="2" t="e">
        <f t="shared" si="7"/>
        <v>#N/A</v>
      </c>
      <c r="AB102" s="2" t="e">
        <f t="shared" si="7"/>
        <v>#N/A</v>
      </c>
      <c r="AC102" s="2" t="e">
        <f t="shared" si="7"/>
        <v>#N/A</v>
      </c>
      <c r="AD102" s="2" t="e">
        <f t="shared" si="7"/>
        <v>#N/A</v>
      </c>
      <c r="AE102" s="2" t="e">
        <f t="shared" si="7"/>
        <v>#N/A</v>
      </c>
      <c r="AF102" s="2" t="e">
        <f t="shared" si="7"/>
        <v>#N/A</v>
      </c>
      <c r="AG102" s="2" t="e">
        <f t="shared" si="7"/>
        <v>#N/A</v>
      </c>
      <c r="AH102" s="2" t="e">
        <f t="shared" si="7"/>
        <v>#N/A</v>
      </c>
      <c r="AI102" s="2" t="e">
        <f t="shared" si="7"/>
        <v>#N/A</v>
      </c>
      <c r="AJ102" s="2" t="e">
        <f t="shared" si="7"/>
        <v>#N/A</v>
      </c>
      <c r="AK102" s="2" t="e">
        <f t="shared" si="7"/>
        <v>#N/A</v>
      </c>
      <c r="AL102" s="2" t="e">
        <f t="shared" si="7"/>
        <v>#N/A</v>
      </c>
      <c r="AM102" s="2" t="e">
        <f t="shared" si="7"/>
        <v>#N/A</v>
      </c>
      <c r="AN102" s="2" t="e">
        <f t="shared" si="7"/>
        <v>#N/A</v>
      </c>
      <c r="AO102"/>
      <c r="AP102"/>
      <c r="AQ102"/>
      <c r="AR102"/>
      <c r="AS102"/>
      <c r="AT102"/>
      <c r="AU102"/>
      <c r="AV102"/>
      <c r="AW102"/>
      <c r="AX102"/>
    </row>
    <row r="103" spans="1:90" x14ac:dyDescent="0.15">
      <c r="B103" s="89" t="s">
        <v>673</v>
      </c>
      <c r="C103" t="s">
        <v>212</v>
      </c>
      <c r="D103" s="63" t="e">
        <f>+D51</f>
        <v>#DIV/0!</v>
      </c>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row>
    <row r="104" spans="1:90" x14ac:dyDescent="0.15">
      <c r="B104" s="89" t="str">
        <f>IF('Iron &amp; Steelmaker Tool'!D$15=Lists!$B$3,"Scope 2 Target","")</f>
        <v/>
      </c>
      <c r="D104" s="91"/>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row>
    <row r="105" spans="1:90" x14ac:dyDescent="0.15">
      <c r="B105" s="1" t="str">
        <f>CONCATENATE("Graph 2 | SDA intensity (",'Iron &amp; Steelmaker Tool'!D14,")")</f>
        <v>Graph 2 | SDA intensity (SBTi 1.5C)</v>
      </c>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row r="106" spans="1:90" x14ac:dyDescent="0.15">
      <c r="B106" t="str">
        <f>+B49</f>
        <v>Company | Emissions intensity within core boundary (tCO2/t)</v>
      </c>
      <c r="C106" t="s">
        <v>69</v>
      </c>
      <c r="D106" t="e">
        <f>+D49</f>
        <v>#N/A</v>
      </c>
      <c r="E106" t="e">
        <f t="shared" ref="E106:AN106" si="8">+E49</f>
        <v>#N/A</v>
      </c>
      <c r="F106" t="e">
        <f t="shared" si="8"/>
        <v>#N/A</v>
      </c>
      <c r="G106" t="e">
        <f t="shared" si="8"/>
        <v>#N/A</v>
      </c>
      <c r="H106" t="e">
        <f t="shared" si="8"/>
        <v>#N/A</v>
      </c>
      <c r="I106" t="e">
        <f t="shared" si="8"/>
        <v>#N/A</v>
      </c>
      <c r="J106" t="e">
        <f t="shared" si="8"/>
        <v>#N/A</v>
      </c>
      <c r="K106" t="e">
        <f t="shared" si="8"/>
        <v>#N/A</v>
      </c>
      <c r="L106" t="e">
        <f t="shared" si="8"/>
        <v>#N/A</v>
      </c>
      <c r="M106" t="e">
        <f t="shared" si="8"/>
        <v>#N/A</v>
      </c>
      <c r="N106" t="e">
        <f t="shared" si="8"/>
        <v>#N/A</v>
      </c>
      <c r="O106" t="e">
        <f t="shared" si="8"/>
        <v>#N/A</v>
      </c>
      <c r="P106" t="e">
        <f t="shared" si="8"/>
        <v>#N/A</v>
      </c>
      <c r="Q106" t="e">
        <f t="shared" si="8"/>
        <v>#N/A</v>
      </c>
      <c r="R106" t="e">
        <f t="shared" si="8"/>
        <v>#N/A</v>
      </c>
      <c r="S106" t="e">
        <f t="shared" si="8"/>
        <v>#N/A</v>
      </c>
      <c r="T106" t="e">
        <f t="shared" si="8"/>
        <v>#N/A</v>
      </c>
      <c r="U106" t="e">
        <f t="shared" si="8"/>
        <v>#N/A</v>
      </c>
      <c r="V106" t="e">
        <f t="shared" si="8"/>
        <v>#N/A</v>
      </c>
      <c r="W106" t="e">
        <f t="shared" si="8"/>
        <v>#N/A</v>
      </c>
      <c r="X106" t="e">
        <f t="shared" si="8"/>
        <v>#N/A</v>
      </c>
      <c r="Y106" t="e">
        <f t="shared" si="8"/>
        <v>#N/A</v>
      </c>
      <c r="Z106" t="e">
        <f t="shared" si="8"/>
        <v>#N/A</v>
      </c>
      <c r="AA106" t="e">
        <f t="shared" si="8"/>
        <v>#N/A</v>
      </c>
      <c r="AB106" t="e">
        <f t="shared" si="8"/>
        <v>#N/A</v>
      </c>
      <c r="AC106" t="e">
        <f t="shared" si="8"/>
        <v>#N/A</v>
      </c>
      <c r="AD106" t="e">
        <f t="shared" si="8"/>
        <v>#N/A</v>
      </c>
      <c r="AE106" t="e">
        <f t="shared" si="8"/>
        <v>#N/A</v>
      </c>
      <c r="AF106" t="e">
        <f t="shared" si="8"/>
        <v>#N/A</v>
      </c>
      <c r="AG106" t="e">
        <f t="shared" si="8"/>
        <v>#N/A</v>
      </c>
      <c r="AH106" t="e">
        <f t="shared" si="8"/>
        <v>#N/A</v>
      </c>
      <c r="AI106" t="e">
        <f t="shared" si="8"/>
        <v>#N/A</v>
      </c>
      <c r="AJ106" t="e">
        <f t="shared" si="8"/>
        <v>#N/A</v>
      </c>
      <c r="AK106" t="e">
        <f t="shared" si="8"/>
        <v>#N/A</v>
      </c>
      <c r="AL106" t="e">
        <f t="shared" si="8"/>
        <v>#N/A</v>
      </c>
      <c r="AM106" t="e">
        <f t="shared" si="8"/>
        <v>#N/A</v>
      </c>
      <c r="AN106" t="e">
        <f t="shared" si="8"/>
        <v>#N/A</v>
      </c>
      <c r="AO106"/>
      <c r="AP106"/>
      <c r="AQ106"/>
      <c r="AR106"/>
      <c r="AS106"/>
      <c r="AT106"/>
      <c r="AU106"/>
      <c r="AV106"/>
      <c r="AW106"/>
      <c r="AX106"/>
    </row>
    <row r="107" spans="1:90" x14ac:dyDescent="0.15">
      <c r="B107" t="str">
        <f>+B42</f>
        <v>Scrap-input dependent sector pathway (tCO2/t)</v>
      </c>
      <c r="C107" t="s">
        <v>69</v>
      </c>
      <c r="D107" t="e">
        <f>IF(AND(D$1&gt;='Iron &amp; Steelmaker Tool'!$D$16,D$1&lt;=2060), +D$42,NA())</f>
        <v>#N/A</v>
      </c>
      <c r="E107">
        <f>IF(AND(E$1&gt;='Iron &amp; Steelmaker Tool'!$D$16,E$1&lt;=2060), +E$42,NA())</f>
        <v>2.4211073569206505</v>
      </c>
      <c r="F107">
        <f>IF(AND(F$1&gt;='Iron &amp; Steelmaker Tool'!$D$16,F$1&lt;=2060), +F$42,NA())</f>
        <v>2.4424018088262245</v>
      </c>
      <c r="G107">
        <f>IF(AND(G$1&gt;='Iron &amp; Steelmaker Tool'!$D$16,G$1&lt;=2060), +G$42,NA())</f>
        <v>2.4642862799622671</v>
      </c>
      <c r="H107">
        <f>IF(AND(H$1&gt;='Iron &amp; Steelmaker Tool'!$D$16,H$1&lt;=2060), +H$42,NA())</f>
        <v>2.4870676905034186</v>
      </c>
      <c r="I107">
        <f>IF(AND(I$1&gt;='Iron &amp; Steelmaker Tool'!$D$16,I$1&lt;=2060), +I$42,NA())</f>
        <v>2.509887206142364</v>
      </c>
      <c r="J107">
        <f>IF(AND(J$1&gt;='Iron &amp; Steelmaker Tool'!$D$16,J$1&lt;=2060), +J$42,NA())</f>
        <v>2.4232181366275407</v>
      </c>
      <c r="K107">
        <f>IF(AND(K$1&gt;='Iron &amp; Steelmaker Tool'!$D$16,K$1&lt;=2060), +K$42,NA())</f>
        <v>2.2970289089871687</v>
      </c>
      <c r="L107">
        <f>IF(AND(L$1&gt;='Iron &amp; Steelmaker Tool'!$D$16,L$1&lt;=2060), +L$42,NA())</f>
        <v>2.2325564833920861</v>
      </c>
      <c r="M107">
        <f>IF(AND(M$1&gt;='Iron &amp; Steelmaker Tool'!$D$16,M$1&lt;=2060), +M$42,NA())</f>
        <v>2.169051892996543</v>
      </c>
      <c r="N107">
        <f>IF(AND(N$1&gt;='Iron &amp; Steelmaker Tool'!$D$16,N$1&lt;=2060), +N$42,NA())</f>
        <v>2.1051540203912005</v>
      </c>
      <c r="O107">
        <f>IF(AND(O$1&gt;='Iron &amp; Steelmaker Tool'!$D$16,O$1&lt;=2060), +O$42,NA())</f>
        <v>2.0408469220445022</v>
      </c>
      <c r="P107">
        <f>IF(AND(P$1&gt;='Iron &amp; Steelmaker Tool'!$D$16,P$1&lt;=2060), +P$42,NA())</f>
        <v>1.9761141242691576</v>
      </c>
      <c r="Q107">
        <f>IF(AND(Q$1&gt;='Iron &amp; Steelmaker Tool'!$D$16,Q$1&lt;=2060), +Q$42,NA())</f>
        <v>1.9109385972825268</v>
      </c>
      <c r="R107">
        <f>IF(AND(R$1&gt;='Iron &amp; Steelmaker Tool'!$D$16,R$1&lt;=2060), +R$42,NA())</f>
        <v>1.8442244064835336</v>
      </c>
      <c r="S107">
        <f>IF(AND(S$1&gt;='Iron &amp; Steelmaker Tool'!$D$16,S$1&lt;=2060), +S$42,NA())</f>
        <v>1.778148479169098</v>
      </c>
      <c r="T107">
        <f>IF(AND(T$1&gt;='Iron &amp; Steelmaker Tool'!$D$16,T$1&lt;=2060), +T$42,NA())</f>
        <v>1.7115752810089704</v>
      </c>
      <c r="U107">
        <f>IF(AND(U$1&gt;='Iron &amp; Steelmaker Tool'!$D$16,U$1&lt;=2060), +U$42,NA())</f>
        <v>1.6209301110839105</v>
      </c>
      <c r="V107">
        <f>IF(AND(V$1&gt;='Iron &amp; Steelmaker Tool'!$D$16,V$1&lt;=2060), +V$42,NA())</f>
        <v>1.5294901639860059</v>
      </c>
      <c r="W107">
        <f>IF(AND(W$1&gt;='Iron &amp; Steelmaker Tool'!$D$16,W$1&lt;=2060), +W$42,NA())</f>
        <v>1.4372390699102371</v>
      </c>
      <c r="X107">
        <f>IF(AND(X$1&gt;='Iron &amp; Steelmaker Tool'!$D$16,X$1&lt;=2060), +X$42,NA())</f>
        <v>1.3441600282439394</v>
      </c>
      <c r="Y107">
        <f>IF(AND(Y$1&gt;='Iron &amp; Steelmaker Tool'!$D$16,Y$1&lt;=2060), +Y$42,NA())</f>
        <v>1.2494897361454405</v>
      </c>
      <c r="Z107">
        <f>IF(AND(Z$1&gt;='Iron &amp; Steelmaker Tool'!$D$16,Z$1&lt;=2060), +Z$42,NA())</f>
        <v>1.1547547560515972</v>
      </c>
      <c r="AA107">
        <f>IF(AND(AA$1&gt;='Iron &amp; Steelmaker Tool'!$D$16,AA$1&lt;=2060), +AA$42,NA())</f>
        <v>1.0591391672172181</v>
      </c>
      <c r="AB107">
        <f>IF(AND(AB$1&gt;='Iron &amp; Steelmaker Tool'!$D$16,AB$1&lt;=2060), +AB$42,NA())</f>
        <v>0.9626243068343302</v>
      </c>
      <c r="AC107">
        <f>IF(AND(AC$1&gt;='Iron &amp; Steelmaker Tool'!$D$16,AC$1&lt;=2060), +AC$42,NA())</f>
        <v>0.86519100363151391</v>
      </c>
      <c r="AD107">
        <f>IF(AND(AD$1&gt;='Iron &amp; Steelmaker Tool'!$D$16,AD$1&lt;=2060), +AD$42,NA())</f>
        <v>0.76681956032604404</v>
      </c>
      <c r="AE107">
        <f>IF(AND(AE$1&gt;='Iron &amp; Steelmaker Tool'!$D$16,AE$1&lt;=2060), +AE$42,NA())</f>
        <v>0.70331405454615814</v>
      </c>
      <c r="AF107">
        <f>IF(AND(AF$1&gt;='Iron &amp; Steelmaker Tool'!$D$16,AF$1&lt;=2060), +AF$42,NA())</f>
        <v>0.63933852504435629</v>
      </c>
      <c r="AG107">
        <f>IF(AND(AG$1&gt;='Iron &amp; Steelmaker Tool'!$D$16,AG$1&lt;=2060), +AG$42,NA())</f>
        <v>0.5748819543329472</v>
      </c>
      <c r="AH107">
        <f>IF(AND(AH$1&gt;='Iron &amp; Steelmaker Tool'!$D$16,AH$1&lt;=2060), +AH$42,NA())</f>
        <v>0.50993301904218591</v>
      </c>
      <c r="AI107">
        <f>IF(AND(AI$1&gt;='Iron &amp; Steelmaker Tool'!$D$16,AI$1&lt;=2060), +AI$42,NA())</f>
        <v>0.44448007894483826</v>
      </c>
      <c r="AJ107">
        <f>IF(AND(AJ$1&gt;='Iron &amp; Steelmaker Tool'!$D$16,AJ$1&lt;=2060), +AJ$42,NA())</f>
        <v>0.37876805614402498</v>
      </c>
      <c r="AK107">
        <f>IF(AND(AK$1&gt;='Iron &amp; Steelmaker Tool'!$D$16,AK$1&lt;=2060), +AK$42,NA())</f>
        <v>0.31223257140038119</v>
      </c>
      <c r="AL107">
        <f>IF(AND(AL$1&gt;='Iron &amp; Steelmaker Tool'!$D$16,AL$1&lt;=2060), +AL$42,NA())</f>
        <v>0.24515582753873061</v>
      </c>
      <c r="AM107">
        <f>IF(AND(AM$1&gt;='Iron &amp; Steelmaker Tool'!$D$16,AM$1&lt;=2060), +AM$42,NA())</f>
        <v>0.17752478868938304</v>
      </c>
      <c r="AN107">
        <f>IF(AND(AN$1&gt;='Iron &amp; Steelmaker Tool'!$D$16,AN$1&lt;=2060), +AN$42,NA())</f>
        <v>0.10932603940472095</v>
      </c>
      <c r="AO107"/>
      <c r="AP107"/>
      <c r="AQ107"/>
      <c r="AR107"/>
      <c r="AS107"/>
      <c r="AT107"/>
      <c r="AU107"/>
      <c r="AV107"/>
      <c r="AW107"/>
      <c r="AX107"/>
    </row>
    <row r="108" spans="1:90" x14ac:dyDescent="0.15">
      <c r="B108" t="s">
        <v>674</v>
      </c>
      <c r="C108" t="s">
        <v>69</v>
      </c>
      <c r="D108">
        <f>+D12</f>
        <v>2.3499430713587932</v>
      </c>
      <c r="E108">
        <f t="shared" ref="E108:AN108" si="9">+E12</f>
        <v>2.4211073569206505</v>
      </c>
      <c r="F108">
        <f t="shared" si="9"/>
        <v>2.4424018088262245</v>
      </c>
      <c r="G108">
        <f t="shared" si="9"/>
        <v>2.4642862799622667</v>
      </c>
      <c r="H108">
        <f t="shared" si="9"/>
        <v>2.487067690503419</v>
      </c>
      <c r="I108">
        <f t="shared" si="9"/>
        <v>2.509887206142364</v>
      </c>
      <c r="J108">
        <f t="shared" si="9"/>
        <v>2.4232181366275407</v>
      </c>
      <c r="K108">
        <f t="shared" si="9"/>
        <v>2.2970289089871687</v>
      </c>
      <c r="L108">
        <f t="shared" si="9"/>
        <v>2.2325564833920861</v>
      </c>
      <c r="M108">
        <f t="shared" si="9"/>
        <v>2.169051892996543</v>
      </c>
      <c r="N108">
        <f t="shared" si="9"/>
        <v>2.1051540203912005</v>
      </c>
      <c r="O108">
        <f t="shared" si="9"/>
        <v>2.0408469220445022</v>
      </c>
      <c r="P108">
        <f t="shared" si="9"/>
        <v>1.9761141242691576</v>
      </c>
      <c r="Q108">
        <f t="shared" si="9"/>
        <v>1.9109385972825268</v>
      </c>
      <c r="R108">
        <f t="shared" si="9"/>
        <v>1.8442244064835336</v>
      </c>
      <c r="S108">
        <f t="shared" si="9"/>
        <v>1.778148479169098</v>
      </c>
      <c r="T108">
        <f t="shared" si="9"/>
        <v>1.7115752810089702</v>
      </c>
      <c r="U108">
        <f t="shared" si="9"/>
        <v>1.6209301110839105</v>
      </c>
      <c r="V108">
        <f t="shared" si="9"/>
        <v>1.5294901639860059</v>
      </c>
      <c r="W108">
        <f t="shared" si="9"/>
        <v>1.4372390699102373</v>
      </c>
      <c r="X108">
        <f t="shared" si="9"/>
        <v>1.3441600282439394</v>
      </c>
      <c r="Y108">
        <f t="shared" si="9"/>
        <v>1.2494897361454405</v>
      </c>
      <c r="Z108">
        <f t="shared" si="9"/>
        <v>1.1547547560515972</v>
      </c>
      <c r="AA108">
        <f t="shared" si="9"/>
        <v>1.0591391672172181</v>
      </c>
      <c r="AB108">
        <f t="shared" si="9"/>
        <v>0.9626243068343302</v>
      </c>
      <c r="AC108">
        <f t="shared" si="9"/>
        <v>0.86519100363151391</v>
      </c>
      <c r="AD108">
        <f t="shared" si="9"/>
        <v>0.76681956032604404</v>
      </c>
      <c r="AE108">
        <f t="shared" si="9"/>
        <v>0.70331405454615814</v>
      </c>
      <c r="AF108">
        <f t="shared" si="9"/>
        <v>0.63933852504435629</v>
      </c>
      <c r="AG108">
        <f t="shared" si="9"/>
        <v>0.5748819543329472</v>
      </c>
      <c r="AH108">
        <f t="shared" si="9"/>
        <v>0.50993301904218591</v>
      </c>
      <c r="AI108">
        <f t="shared" si="9"/>
        <v>0.44448007894483826</v>
      </c>
      <c r="AJ108">
        <f t="shared" si="9"/>
        <v>0.37876805614402503</v>
      </c>
      <c r="AK108">
        <f t="shared" si="9"/>
        <v>0.31223257140038119</v>
      </c>
      <c r="AL108">
        <f t="shared" si="9"/>
        <v>0.24515582753873061</v>
      </c>
      <c r="AM108">
        <f t="shared" si="9"/>
        <v>0.17752478868938304</v>
      </c>
      <c r="AN108">
        <f t="shared" si="9"/>
        <v>0.10932603940472095</v>
      </c>
      <c r="AO108" s="447" t="str">
        <f>IF(OR('Iron &amp; Steelmaker Tool'!$D$13=Lists!$N$3,'Iron &amp; Steelmaker Tool'!$D$14=Lists!$A$3),NA(),AO12)</f>
        <v/>
      </c>
      <c r="AP108" s="447" t="str">
        <f>IF(OR('Iron &amp; Steelmaker Tool'!$D$13=Lists!$N$3,'Iron &amp; Steelmaker Tool'!$D$14=Lists!$A$3),NA(),AP12)</f>
        <v/>
      </c>
      <c r="AQ108" s="447" t="str">
        <f>IF(OR('Iron &amp; Steelmaker Tool'!$D$13=Lists!$N$3,'Iron &amp; Steelmaker Tool'!$D$14=Lists!$A$3),NA(),AQ12)</f>
        <v/>
      </c>
      <c r="AR108" s="447" t="str">
        <f>IF(OR('Iron &amp; Steelmaker Tool'!$D$13=Lists!$N$3,'Iron &amp; Steelmaker Tool'!$D$14=Lists!$A$3),NA(),AR12)</f>
        <v/>
      </c>
      <c r="AS108" s="447" t="str">
        <f>IF(OR('Iron &amp; Steelmaker Tool'!$D$13=Lists!$N$3,'Iron &amp; Steelmaker Tool'!$D$14=Lists!$A$3),NA(),AS12)</f>
        <v/>
      </c>
      <c r="AT108" s="447" t="str">
        <f>IF(OR('Iron &amp; Steelmaker Tool'!$D$13=Lists!$N$3,'Iron &amp; Steelmaker Tool'!$D$14=Lists!$A$3),NA(),AT12)</f>
        <v/>
      </c>
      <c r="AU108" s="447" t="str">
        <f>IF(OR('Iron &amp; Steelmaker Tool'!$D$13=Lists!$N$3,'Iron &amp; Steelmaker Tool'!$D$14=Lists!$A$3),NA(),AU12)</f>
        <v/>
      </c>
      <c r="AV108" s="447" t="str">
        <f>IF(OR('Iron &amp; Steelmaker Tool'!$D$13=Lists!$N$3,'Iron &amp; Steelmaker Tool'!$D$14=Lists!$A$3),NA(),AV12)</f>
        <v/>
      </c>
      <c r="AW108" s="447" t="str">
        <f>IF(OR('Iron &amp; Steelmaker Tool'!$D$13=Lists!$N$3,'Iron &amp; Steelmaker Tool'!$D$14=Lists!$A$3),NA(),AW12)</f>
        <v/>
      </c>
      <c r="AX108" s="447" t="str">
        <f>IF(OR('Iron &amp; Steelmaker Tool'!$D$13=Lists!$N$3,'Iron &amp; Steelmaker Tool'!$D$14=Lists!$A$3),NA(),AX12)</f>
        <v/>
      </c>
    </row>
    <row r="109" spans="1:90" x14ac:dyDescent="0.15">
      <c r="B109" t="s">
        <v>675</v>
      </c>
      <c r="C109" t="s">
        <v>69</v>
      </c>
      <c r="D109">
        <f>+D13</f>
        <v>0.55209999999999992</v>
      </c>
      <c r="E109">
        <f t="shared" ref="E109:AN109" si="10">+E13</f>
        <v>0.56512499999999988</v>
      </c>
      <c r="F109">
        <f t="shared" si="10"/>
        <v>0.55209999999999992</v>
      </c>
      <c r="G109">
        <f t="shared" si="10"/>
        <v>0.53907499999999997</v>
      </c>
      <c r="H109">
        <f t="shared" si="10"/>
        <v>0.52604999999999991</v>
      </c>
      <c r="I109">
        <f t="shared" si="10"/>
        <v>0.51302499999999995</v>
      </c>
      <c r="J109">
        <f t="shared" si="10"/>
        <v>0.5</v>
      </c>
      <c r="K109">
        <f t="shared" si="10"/>
        <v>0.48697500000000005</v>
      </c>
      <c r="L109">
        <f t="shared" si="10"/>
        <v>0.47395000000000004</v>
      </c>
      <c r="M109">
        <f t="shared" si="10"/>
        <v>0.46092500000000008</v>
      </c>
      <c r="N109">
        <f t="shared" si="10"/>
        <v>0.44790000000000008</v>
      </c>
      <c r="O109">
        <f t="shared" si="10"/>
        <v>0.43487500000000012</v>
      </c>
      <c r="P109">
        <f t="shared" si="10"/>
        <v>0.42185000000000011</v>
      </c>
      <c r="Q109">
        <f t="shared" si="10"/>
        <v>0.40882500000000016</v>
      </c>
      <c r="R109">
        <f t="shared" si="10"/>
        <v>0.39580000000000021</v>
      </c>
      <c r="S109">
        <f t="shared" si="10"/>
        <v>0.3827750000000002</v>
      </c>
      <c r="T109">
        <f t="shared" si="10"/>
        <v>0.36975000000000025</v>
      </c>
      <c r="U109">
        <f t="shared" si="10"/>
        <v>0.35672500000000024</v>
      </c>
      <c r="V109">
        <f t="shared" si="10"/>
        <v>0.34370000000000028</v>
      </c>
      <c r="W109">
        <f t="shared" si="10"/>
        <v>0.33067500000000027</v>
      </c>
      <c r="X109">
        <f t="shared" si="10"/>
        <v>0.31765000000000032</v>
      </c>
      <c r="Y109">
        <f t="shared" si="10"/>
        <v>0.30462500000000037</v>
      </c>
      <c r="Z109">
        <f t="shared" si="10"/>
        <v>0.29160000000000036</v>
      </c>
      <c r="AA109">
        <f t="shared" si="10"/>
        <v>0.27857500000000041</v>
      </c>
      <c r="AB109">
        <f t="shared" si="10"/>
        <v>0.2655500000000004</v>
      </c>
      <c r="AC109">
        <f t="shared" si="10"/>
        <v>0.25252500000000039</v>
      </c>
      <c r="AD109">
        <f t="shared" si="10"/>
        <v>0.23950000000000041</v>
      </c>
      <c r="AE109">
        <f t="shared" si="10"/>
        <v>0.2264750000000004</v>
      </c>
      <c r="AF109">
        <f t="shared" si="10"/>
        <v>0.21345000000000039</v>
      </c>
      <c r="AG109">
        <f t="shared" si="10"/>
        <v>0.20042500000000038</v>
      </c>
      <c r="AH109">
        <f t="shared" si="10"/>
        <v>0.18740000000000037</v>
      </c>
      <c r="AI109">
        <f t="shared" si="10"/>
        <v>0.17437500000000036</v>
      </c>
      <c r="AJ109">
        <f t="shared" si="10"/>
        <v>0.16135000000000035</v>
      </c>
      <c r="AK109">
        <f t="shared" si="10"/>
        <v>0.14832500000000035</v>
      </c>
      <c r="AL109">
        <f t="shared" si="10"/>
        <v>0.13530000000000036</v>
      </c>
      <c r="AM109">
        <f t="shared" si="10"/>
        <v>0.12227500000000034</v>
      </c>
      <c r="AN109">
        <f t="shared" si="10"/>
        <v>0.10925</v>
      </c>
      <c r="AO109" t="e">
        <f>IF('Iron &amp; Steelmaker Tool'!$D$13=Lists!$N$3,NA(),IF('Iron &amp; Steelmaker Tool'!$D$15=Lists!$B$2,NA(),AO13))</f>
        <v>#N/A</v>
      </c>
      <c r="AP109" t="e">
        <f>IF('Iron &amp; Steelmaker Tool'!$D$13=Lists!$N$3,NA(),IF('Iron &amp; Steelmaker Tool'!$D$15=Lists!$B$2,NA(),AP13))</f>
        <v>#N/A</v>
      </c>
      <c r="AQ109" t="e">
        <f>IF('Iron &amp; Steelmaker Tool'!$D$13=Lists!$N$3,NA(),IF('Iron &amp; Steelmaker Tool'!$D$15=Lists!$B$2,NA(),AQ13))</f>
        <v>#N/A</v>
      </c>
      <c r="AR109" t="e">
        <f>IF('Iron &amp; Steelmaker Tool'!$D$13=Lists!$N$3,NA(),IF('Iron &amp; Steelmaker Tool'!$D$15=Lists!$B$2,NA(),AR13))</f>
        <v>#N/A</v>
      </c>
      <c r="AS109" t="e">
        <f>IF('Iron &amp; Steelmaker Tool'!$D$13=Lists!$N$3,NA(),IF('Iron &amp; Steelmaker Tool'!$D$15=Lists!$B$2,NA(),AS13))</f>
        <v>#N/A</v>
      </c>
      <c r="AT109" t="e">
        <f>IF('Iron &amp; Steelmaker Tool'!$D$13=Lists!$N$3,NA(),IF('Iron &amp; Steelmaker Tool'!$D$15=Lists!$B$2,NA(),AT13))</f>
        <v>#N/A</v>
      </c>
      <c r="AU109" t="e">
        <f>IF('Iron &amp; Steelmaker Tool'!$D$13=Lists!$N$3,NA(),IF('Iron &amp; Steelmaker Tool'!$D$15=Lists!$B$2,NA(),AU13))</f>
        <v>#N/A</v>
      </c>
      <c r="AV109" t="e">
        <f>IF('Iron &amp; Steelmaker Tool'!$D$13=Lists!$N$3,NA(),IF('Iron &amp; Steelmaker Tool'!$D$15=Lists!$B$2,NA(),AV13))</f>
        <v>#N/A</v>
      </c>
      <c r="AW109" t="e">
        <f>IF('Iron &amp; Steelmaker Tool'!$D$13=Lists!$N$3,NA(),IF('Iron &amp; Steelmaker Tool'!$D$15=Lists!$B$2,NA(),AW13))</f>
        <v>#N/A</v>
      </c>
      <c r="AX109" t="e">
        <f>IF('Iron &amp; Steelmaker Tool'!$D$13=Lists!$N$3,NA(),IF('Iron &amp; Steelmaker Tool'!$D$15=Lists!$B$2,NA(),AX13))</f>
        <v>#N/A</v>
      </c>
    </row>
    <row r="110" spans="1:90" x14ac:dyDescent="0.15">
      <c r="B110" s="89" t="s">
        <v>676</v>
      </c>
      <c r="C110" t="s">
        <v>69</v>
      </c>
      <c r="D110" s="93" t="e">
        <f>+D52</f>
        <v>#DIV/0!</v>
      </c>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row>
    <row r="111" spans="1:90" x14ac:dyDescent="0.15">
      <c r="B111" s="89" t="str">
        <f>IF('Iron &amp; Steelmaker Tool'!D$15=Lists!$B$3,"Scope 2 Intensity Target","")</f>
        <v/>
      </c>
      <c r="D111" s="615"/>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row>
  </sheetData>
  <sheetProtection algorithmName="SHA-512" hashValue="NkDac7ipkC4XA0HWLXqT/+bcIn50Cjgq9KZrkek7qDBmPGVUTAx6JuxxQAVK76V/vuhZUuTzITu7azMIou0gog==" saltValue="flaHzCmkKjO1j1mDPvgLQQ==" spinCount="100000" sheet="1" objects="1" scenarios="1"/>
  <conditionalFormatting sqref="A74:A76">
    <cfRule type="expression" dxfId="76" priority="39">
      <formula>ISNA(A74)</formula>
    </cfRule>
  </conditionalFormatting>
  <conditionalFormatting sqref="A68:C73">
    <cfRule type="expression" dxfId="75" priority="1">
      <formula>ISNA(A68)</formula>
    </cfRule>
  </conditionalFormatting>
  <conditionalFormatting sqref="A77:D81">
    <cfRule type="expression" dxfId="74" priority="32">
      <formula>ISNA(A77)</formula>
    </cfRule>
  </conditionalFormatting>
  <conditionalFormatting sqref="A48:AN49">
    <cfRule type="expression" dxfId="73" priority="71">
      <formula>ISNA(A48)</formula>
    </cfRule>
  </conditionalFormatting>
  <conditionalFormatting sqref="A1:XFD4 A5 C5 E5:XFD5 A6:XFD14 B15:XFD15 A28:C28 E28:XFD28 A39:AN46 A47:C47 B57:XFD57 Z71:XFD72 Z75:XFD78 E79:XFD81 A82:A83 Z82:XFD83 A84:XFD92 A93:D93 F93:XFD93">
    <cfRule type="expression" dxfId="72" priority="177">
      <formula>ISNA(A1)</formula>
    </cfRule>
  </conditionalFormatting>
  <conditionalFormatting sqref="A16:XFD27 A29:XFD38 A50:XFD56 A58:XFD59 A60:Y63 Z60:XFD65 A64:A66 B66:XFD66 D68:XFD70 A71:XFD71 A94:XFD1048576">
    <cfRule type="expression" dxfId="71" priority="38">
      <formula>ISNA(A16)</formula>
    </cfRule>
  </conditionalFormatting>
  <conditionalFormatting sqref="B60">
    <cfRule type="cellIs" dxfId="70" priority="106" operator="lessThan">
      <formula>10</formula>
    </cfRule>
    <cfRule type="cellIs" dxfId="69" priority="105" operator="equal">
      <formula>0</formula>
    </cfRule>
  </conditionalFormatting>
  <conditionalFormatting sqref="B74:C74">
    <cfRule type="expression" dxfId="68" priority="36">
      <formula>ISNA(B74)</formula>
    </cfRule>
  </conditionalFormatting>
  <conditionalFormatting sqref="C75:D75">
    <cfRule type="expression" dxfId="67" priority="20">
      <formula>ISNA(C75)</formula>
    </cfRule>
  </conditionalFormatting>
  <conditionalFormatting sqref="D71:D72">
    <cfRule type="expression" dxfId="66" priority="26">
      <formula>ISNA(D71)</formula>
    </cfRule>
    <cfRule type="cellIs" dxfId="65" priority="27" operator="equal">
      <formula>0</formula>
    </cfRule>
    <cfRule type="cellIs" dxfId="64" priority="28" operator="lessThan">
      <formula>10</formula>
    </cfRule>
  </conditionalFormatting>
  <conditionalFormatting sqref="D75">
    <cfRule type="cellIs" dxfId="63" priority="21" operator="equal">
      <formula>0</formula>
    </cfRule>
    <cfRule type="cellIs" dxfId="62" priority="22" operator="lessThan">
      <formula>10</formula>
    </cfRule>
  </conditionalFormatting>
  <conditionalFormatting sqref="D77">
    <cfRule type="cellIs" dxfId="61" priority="15" operator="equal">
      <formula>0</formula>
    </cfRule>
    <cfRule type="cellIs" dxfId="60" priority="16" operator="lessThan">
      <formula>10</formula>
    </cfRule>
  </conditionalFormatting>
  <conditionalFormatting sqref="D103:D104">
    <cfRule type="cellIs" dxfId="59" priority="92" operator="lessThan">
      <formula>10</formula>
    </cfRule>
    <cfRule type="cellIs" dxfId="58" priority="91" operator="equal">
      <formula>0</formula>
    </cfRule>
  </conditionalFormatting>
  <conditionalFormatting sqref="D110:D111">
    <cfRule type="cellIs" dxfId="57" priority="86" operator="equal">
      <formula>0</formula>
    </cfRule>
    <cfRule type="cellIs" dxfId="56" priority="87" operator="lessThan">
      <formula>10</formula>
    </cfRule>
  </conditionalFormatting>
  <conditionalFormatting sqref="D48:AN49 D50:CL59">
    <cfRule type="cellIs" dxfId="55" priority="72" operator="equal">
      <formula>0</formula>
    </cfRule>
    <cfRule type="cellIs" dxfId="54" priority="73" operator="lessThan">
      <formula>10</formula>
    </cfRule>
  </conditionalFormatting>
  <conditionalFormatting sqref="D1:CL4 E5:CL5 E21:CL22 D23:CL24 D26:CL27 E28:CL28 D39:AN46 Z71:CL72 Z75:CL78 D79:CL81 Z82:CL83 D84:CL92 D93 F93:CL93 D94:CL101 D112:CL1048576">
    <cfRule type="cellIs" dxfId="53" priority="185" operator="lessThan">
      <formula>10</formula>
    </cfRule>
  </conditionalFormatting>
  <conditionalFormatting sqref="D6:CL20 D29:CL38 B31:B32 D60:Y63 Z60:CL65 D66:CL66 D68:CL71 AY102:CL111">
    <cfRule type="cellIs" dxfId="52" priority="183" operator="lessThan">
      <formula>10</formula>
    </cfRule>
  </conditionalFormatting>
  <conditionalFormatting sqref="D68:CL71 D6:CL20 D29:CL38 B31:B32 D60:Y63 Z60:CL65 D66:CL66 AY102:CL111">
    <cfRule type="cellIs" dxfId="51" priority="182" operator="equal">
      <formula>0</formula>
    </cfRule>
  </conditionalFormatting>
  <conditionalFormatting sqref="D73:CL74">
    <cfRule type="cellIs" dxfId="50" priority="25" operator="lessThan">
      <formula>10</formula>
    </cfRule>
    <cfRule type="cellIs" dxfId="49" priority="24" operator="equal">
      <formula>0</formula>
    </cfRule>
  </conditionalFormatting>
  <conditionalFormatting sqref="D73:XFD74">
    <cfRule type="expression" dxfId="48" priority="23">
      <formula>ISNA(D73)</formula>
    </cfRule>
  </conditionalFormatting>
  <conditionalFormatting sqref="T65">
    <cfRule type="expression" dxfId="47" priority="2">
      <formula>ISNA(T65)</formula>
    </cfRule>
    <cfRule type="cellIs" dxfId="46" priority="4" operator="lessThan">
      <formula>10</formula>
    </cfRule>
    <cfRule type="cellIs" dxfId="45" priority="3" operator="equal">
      <formula>0</formula>
    </cfRule>
  </conditionalFormatting>
  <conditionalFormatting sqref="Z71:CL72 D1:CL4 E5:CL5 E21:CL22 D23:CL24 D26:CL27 E28:CL28 D39:AN46 Z75:CL78 D79:CL81 Z82:CL83 D84:CL92 D93 F93:CL93 D94:CL101 D112:CL1048576">
    <cfRule type="cellIs" dxfId="44" priority="184" operator="equal">
      <formula>0</formula>
    </cfRule>
  </conditionalFormatting>
  <conditionalFormatting sqref="AO39:CL49">
    <cfRule type="cellIs" dxfId="43" priority="82" operator="lessThan">
      <formula>10</formula>
    </cfRule>
    <cfRule type="cellIs" dxfId="42" priority="81" operator="equal">
      <formula>0</formula>
    </cfRule>
  </conditionalFormatting>
  <conditionalFormatting sqref="AO39:XFD49">
    <cfRule type="expression" dxfId="41" priority="80">
      <formula>ISNA(AO39)</formula>
    </cfRule>
  </conditionalFormatting>
  <pageMargins left="0.7" right="0.7" top="0.75" bottom="0.75" header="0.3" footer="0.3"/>
  <pageSetup paperSize="9" orientation="portrait" horizontalDpi="4294967294" r:id="rId1"/>
  <ignoredErrors>
    <ignoredError sqref="C3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tabColor theme="1" tint="0.499984740745262"/>
  </sheetPr>
  <dimension ref="A1:P102"/>
  <sheetViews>
    <sheetView workbookViewId="0">
      <selection activeCell="E20" sqref="E20"/>
    </sheetView>
  </sheetViews>
  <sheetFormatPr baseColWidth="10" defaultColWidth="36.5" defaultRowHeight="13" x14ac:dyDescent="0.15"/>
  <cols>
    <col min="1" max="1" width="14.5" customWidth="1"/>
    <col min="2" max="2" width="19.5" customWidth="1"/>
    <col min="4" max="4" width="17.5" customWidth="1"/>
    <col min="5" max="8" width="21.5" customWidth="1"/>
    <col min="9" max="9" width="21.83203125" customWidth="1"/>
    <col min="10" max="10" width="12" customWidth="1"/>
    <col min="11" max="11" width="13.5" customWidth="1"/>
    <col min="12" max="12" width="28.5" customWidth="1"/>
    <col min="13" max="13" width="11.5" bestFit="1" customWidth="1"/>
  </cols>
  <sheetData>
    <row r="1" spans="1:16" x14ac:dyDescent="0.15">
      <c r="A1" s="1" t="s">
        <v>13</v>
      </c>
      <c r="B1" s="1" t="s">
        <v>0</v>
      </c>
      <c r="C1" s="1" t="s">
        <v>66</v>
      </c>
      <c r="D1" s="1" t="s">
        <v>67</v>
      </c>
      <c r="E1" s="1" t="s">
        <v>68</v>
      </c>
      <c r="F1" s="1" t="s">
        <v>70</v>
      </c>
      <c r="G1" s="1" t="s">
        <v>17</v>
      </c>
      <c r="H1" s="1" t="s">
        <v>72</v>
      </c>
      <c r="I1" s="1" t="s">
        <v>73</v>
      </c>
      <c r="J1" s="1" t="s">
        <v>1</v>
      </c>
      <c r="K1" s="1" t="s">
        <v>2</v>
      </c>
      <c r="L1" s="1" t="s">
        <v>5</v>
      </c>
      <c r="M1" s="1" t="s">
        <v>50</v>
      </c>
      <c r="N1" s="1" t="s">
        <v>249</v>
      </c>
      <c r="O1" s="1" t="s">
        <v>77</v>
      </c>
      <c r="P1" s="1"/>
    </row>
    <row r="2" spans="1:16" x14ac:dyDescent="0.15">
      <c r="A2" t="s">
        <v>261</v>
      </c>
      <c r="B2" t="s">
        <v>29</v>
      </c>
      <c r="C2" t="s">
        <v>262</v>
      </c>
      <c r="D2" t="s">
        <v>214</v>
      </c>
      <c r="E2" t="s">
        <v>193</v>
      </c>
      <c r="F2">
        <v>1</v>
      </c>
      <c r="G2" t="s">
        <v>18</v>
      </c>
      <c r="H2">
        <v>2.9</v>
      </c>
      <c r="I2" s="2">
        <v>73598928.559043705</v>
      </c>
      <c r="J2">
        <v>2014</v>
      </c>
      <c r="K2">
        <v>2026</v>
      </c>
      <c r="L2" t="s">
        <v>12</v>
      </c>
      <c r="M2">
        <v>0</v>
      </c>
      <c r="N2" t="s">
        <v>238</v>
      </c>
      <c r="O2" t="str">
        <f>IF(OR('Iron &amp; Steelmaker Tool'!$D$15=Lists!$B$26,'Iron &amp; Steelmaker Tool'!$D$15=Lists!$B$27,'Iron &amp; Steelmaker Tool'!$D$15=Lists!$B$28),"Scope 3 emissions budget ("&amp;'Iron &amp; Steelmaker Tool'!$D$16&amp;"-"&amp;'Iron &amp; Steelmaker Tool'!$D$20&amp;")","Scope 1 emissions budget ("&amp;'Iron &amp; Steelmaker Tool'!$D$16&amp;"-"&amp;'Iron &amp; Steelmaker Tool'!$D$20&amp;")")</f>
        <v>Scope 1 emissions budget (-)</v>
      </c>
    </row>
    <row r="3" spans="1:16" x14ac:dyDescent="0.15">
      <c r="A3" t="s">
        <v>23</v>
      </c>
      <c r="B3" t="s">
        <v>7</v>
      </c>
      <c r="C3" t="s">
        <v>207</v>
      </c>
      <c r="D3" t="s">
        <v>210</v>
      </c>
      <c r="E3" t="s">
        <v>69</v>
      </c>
      <c r="F3">
        <v>1</v>
      </c>
      <c r="G3" t="s">
        <v>19</v>
      </c>
      <c r="H3">
        <v>1.8</v>
      </c>
      <c r="I3" s="2">
        <v>47595661.004577003</v>
      </c>
      <c r="J3">
        <v>2015</v>
      </c>
      <c r="K3">
        <f>IF(K2&gt;=2060,"",K2+1)</f>
        <v>2027</v>
      </c>
      <c r="L3" t="s">
        <v>265</v>
      </c>
      <c r="M3">
        <v>1</v>
      </c>
      <c r="N3" t="s">
        <v>256</v>
      </c>
      <c r="O3" t="str">
        <f>"Scope 2 emissions budget ("&amp;'Iron &amp; Steelmaker Tool'!$D$16&amp;"-"&amp;'Iron &amp; Steelmaker Tool'!$D$20&amp;")"</f>
        <v>Scope 2 emissions budget (-)</v>
      </c>
    </row>
    <row r="4" spans="1:16" x14ac:dyDescent="0.15">
      <c r="A4" s="445"/>
      <c r="B4" s="553" t="s">
        <v>606</v>
      </c>
      <c r="C4" t="s">
        <v>609</v>
      </c>
      <c r="D4" t="s">
        <v>210</v>
      </c>
      <c r="E4" t="s">
        <v>69</v>
      </c>
      <c r="F4">
        <v>1</v>
      </c>
      <c r="G4" t="s">
        <v>34</v>
      </c>
      <c r="H4">
        <v>3.5</v>
      </c>
      <c r="I4" s="2">
        <v>26003267.554466702</v>
      </c>
      <c r="J4">
        <v>2016</v>
      </c>
      <c r="K4">
        <f t="shared" ref="K4:K11" si="0">IF(K3&gt;=2060,"",K3+1)</f>
        <v>2028</v>
      </c>
      <c r="L4" t="s">
        <v>81</v>
      </c>
      <c r="M4">
        <v>2</v>
      </c>
      <c r="N4" t="s">
        <v>224</v>
      </c>
      <c r="O4" t="str">
        <f>"Scope 3 emissions budget ("&amp;'Iron &amp; Steelmaker Tool'!$D$16&amp;"-"&amp;'Iron &amp; Steelmaker Tool'!$D$20&amp;")"</f>
        <v>Scope 3 emissions budget (-)</v>
      </c>
    </row>
    <row r="5" spans="1:16" x14ac:dyDescent="0.15">
      <c r="B5" t="s">
        <v>49</v>
      </c>
      <c r="C5" t="s">
        <v>254</v>
      </c>
      <c r="D5" t="s">
        <v>211</v>
      </c>
      <c r="E5" t="s">
        <v>641</v>
      </c>
      <c r="F5">
        <v>1000</v>
      </c>
      <c r="H5">
        <v>3.4</v>
      </c>
      <c r="I5" s="2">
        <v>2317398.8750011483</v>
      </c>
      <c r="J5">
        <v>2017</v>
      </c>
      <c r="K5">
        <f t="shared" si="0"/>
        <v>2029</v>
      </c>
      <c r="M5">
        <v>3</v>
      </c>
      <c r="N5" t="s">
        <v>213</v>
      </c>
      <c r="O5" t="str">
        <f>"Scope 3 emissions intensity ("&amp;Calculations!C47&amp;")"</f>
        <v>Scope 3 emissions intensity ()</v>
      </c>
    </row>
    <row r="6" spans="1:16" x14ac:dyDescent="0.15">
      <c r="B6" t="s">
        <v>410</v>
      </c>
      <c r="C6" t="s">
        <v>254</v>
      </c>
      <c r="D6" t="s">
        <v>211</v>
      </c>
      <c r="E6" t="s">
        <v>641</v>
      </c>
      <c r="F6">
        <v>1000</v>
      </c>
      <c r="H6">
        <v>2.1</v>
      </c>
      <c r="I6" s="2">
        <v>2423272.4592448501</v>
      </c>
      <c r="J6">
        <v>2018</v>
      </c>
      <c r="K6">
        <f t="shared" si="0"/>
        <v>2030</v>
      </c>
      <c r="M6">
        <v>4</v>
      </c>
      <c r="N6" t="s">
        <v>627</v>
      </c>
      <c r="O6" s="2" t="e">
        <f>IF(HLOOKUP('Iron &amp; Steelmaker Tool'!$D$20,Calculations!$D$1:$CL$10,ROW(Calculations!$A$10),)&lt;0,"CAGR not calculated for negative target year emission","")</f>
        <v>#N/A</v>
      </c>
    </row>
    <row r="7" spans="1:16" x14ac:dyDescent="0.15">
      <c r="B7" t="s">
        <v>8</v>
      </c>
      <c r="C7" t="s">
        <v>208</v>
      </c>
      <c r="D7" t="s">
        <v>210</v>
      </c>
      <c r="E7" t="s">
        <v>69</v>
      </c>
      <c r="F7">
        <v>1</v>
      </c>
      <c r="H7">
        <v>3.3</v>
      </c>
      <c r="I7" s="2">
        <v>8333286.91349917</v>
      </c>
      <c r="J7">
        <v>2019</v>
      </c>
      <c r="K7">
        <f t="shared" si="0"/>
        <v>2031</v>
      </c>
      <c r="M7">
        <v>5</v>
      </c>
      <c r="O7" t="e">
        <f>IF(HLOOKUP('Iron &amp; Steelmaker Tool'!$D$20,Calculations!$D$1:$CL$11,ROW(Calculations!$A$11),)&lt;0,"CAGR not calculated for negative target year emission","")</f>
        <v>#N/A</v>
      </c>
    </row>
    <row r="8" spans="1:16" x14ac:dyDescent="0.15">
      <c r="B8" t="s">
        <v>28</v>
      </c>
      <c r="C8" t="s">
        <v>209</v>
      </c>
      <c r="D8" t="s">
        <v>210</v>
      </c>
      <c r="E8" t="s">
        <v>69</v>
      </c>
      <c r="F8">
        <v>1</v>
      </c>
      <c r="H8">
        <v>1.5</v>
      </c>
      <c r="I8" s="2">
        <v>17551545.259201899</v>
      </c>
      <c r="J8">
        <v>2020</v>
      </c>
      <c r="K8">
        <f t="shared" si="0"/>
        <v>2032</v>
      </c>
      <c r="M8">
        <v>6</v>
      </c>
    </row>
    <row r="9" spans="1:16" x14ac:dyDescent="0.15">
      <c r="C9" t="s">
        <v>631</v>
      </c>
      <c r="H9">
        <v>5</v>
      </c>
      <c r="I9" s="2">
        <v>2130703.2281394401</v>
      </c>
      <c r="J9">
        <v>2021</v>
      </c>
      <c r="K9">
        <f t="shared" si="0"/>
        <v>2033</v>
      </c>
      <c r="M9">
        <v>7</v>
      </c>
    </row>
    <row r="10" spans="1:16" x14ac:dyDescent="0.15">
      <c r="H10">
        <v>2.6</v>
      </c>
      <c r="I10" s="2">
        <v>1179234.5169976898</v>
      </c>
      <c r="J10">
        <v>2022</v>
      </c>
      <c r="K10">
        <f t="shared" si="0"/>
        <v>2034</v>
      </c>
      <c r="M10">
        <v>8</v>
      </c>
    </row>
    <row r="11" spans="1:16" x14ac:dyDescent="0.15">
      <c r="H11">
        <v>1.9</v>
      </c>
      <c r="I11" s="2">
        <v>1706425.0711749198</v>
      </c>
      <c r="J11">
        <v>2023</v>
      </c>
      <c r="K11">
        <f t="shared" si="0"/>
        <v>2035</v>
      </c>
      <c r="M11">
        <v>9</v>
      </c>
    </row>
    <row r="12" spans="1:16" x14ac:dyDescent="0.15">
      <c r="H12">
        <v>2.4</v>
      </c>
      <c r="I12" s="2">
        <v>412966.86788123799</v>
      </c>
      <c r="J12">
        <v>2024</v>
      </c>
      <c r="M12">
        <v>10</v>
      </c>
    </row>
    <row r="13" spans="1:16" x14ac:dyDescent="0.15">
      <c r="H13">
        <v>2</v>
      </c>
      <c r="I13" s="2">
        <v>16208861.247400001</v>
      </c>
      <c r="J13">
        <v>2025</v>
      </c>
      <c r="M13">
        <v>11</v>
      </c>
    </row>
    <row r="14" spans="1:16" x14ac:dyDescent="0.15">
      <c r="H14" s="8">
        <f>H3</f>
        <v>1.8</v>
      </c>
      <c r="I14" s="2">
        <v>12656019.98097741</v>
      </c>
      <c r="J14">
        <v>2026</v>
      </c>
      <c r="M14">
        <v>12</v>
      </c>
    </row>
    <row r="15" spans="1:16" x14ac:dyDescent="0.15">
      <c r="H15" s="8">
        <f>H4</f>
        <v>3.5</v>
      </c>
      <c r="I15" s="2">
        <v>10996613.014527084</v>
      </c>
      <c r="M15">
        <v>13</v>
      </c>
    </row>
    <row r="16" spans="1:16" x14ac:dyDescent="0.15">
      <c r="M16">
        <v>14</v>
      </c>
    </row>
    <row r="17" spans="6:13" x14ac:dyDescent="0.15">
      <c r="F17" t="str">
        <f>IF(ISTEXT($D$15)=Lists!$N$5,IF(OR($D$15=Lists!L$3),"% annual growth rate",IF(OR($D$15=Lists!L$4),$F$16,"Growth aligned with sector")),"")</f>
        <v/>
      </c>
      <c r="M17">
        <v>15</v>
      </c>
    </row>
    <row r="18" spans="6:13" x14ac:dyDescent="0.15">
      <c r="M18">
        <v>16</v>
      </c>
    </row>
    <row r="19" spans="6:13" x14ac:dyDescent="0.15">
      <c r="M19">
        <v>17</v>
      </c>
    </row>
    <row r="20" spans="6:13" x14ac:dyDescent="0.15">
      <c r="J20" s="1" t="s">
        <v>439</v>
      </c>
      <c r="M20">
        <v>18</v>
      </c>
    </row>
    <row r="21" spans="6:13" x14ac:dyDescent="0.15">
      <c r="J21">
        <f>'Iron &amp; Steelmaker Tool'!$D$16</f>
        <v>0</v>
      </c>
      <c r="M21">
        <v>19</v>
      </c>
    </row>
    <row r="22" spans="6:13" x14ac:dyDescent="0.15">
      <c r="J22">
        <f>IF(ISNUMBER(J21),IF(J21+1&lt;=2022,J21+1,""),"")</f>
        <v>1</v>
      </c>
      <c r="M22">
        <v>20</v>
      </c>
    </row>
    <row r="23" spans="6:13" x14ac:dyDescent="0.15">
      <c r="J23">
        <f t="shared" ref="J23:J27" si="1">IF(ISNUMBER(J22),IF(J22+1&lt;=2022,J22+1,""),"")</f>
        <v>2</v>
      </c>
      <c r="M23">
        <v>21</v>
      </c>
    </row>
    <row r="24" spans="6:13" x14ac:dyDescent="0.15">
      <c r="J24">
        <v>2023</v>
      </c>
      <c r="M24">
        <v>22</v>
      </c>
    </row>
    <row r="25" spans="6:13" x14ac:dyDescent="0.15">
      <c r="J25" t="str">
        <f t="shared" si="1"/>
        <v/>
      </c>
      <c r="M25">
        <v>23</v>
      </c>
    </row>
    <row r="26" spans="6:13" x14ac:dyDescent="0.15">
      <c r="J26" t="str">
        <f t="shared" si="1"/>
        <v/>
      </c>
      <c r="M26">
        <v>24</v>
      </c>
    </row>
    <row r="27" spans="6:13" x14ac:dyDescent="0.15">
      <c r="J27" t="str">
        <f t="shared" si="1"/>
        <v/>
      </c>
      <c r="M27">
        <v>25</v>
      </c>
    </row>
    <row r="28" spans="6:13" x14ac:dyDescent="0.15">
      <c r="M28">
        <v>26</v>
      </c>
    </row>
    <row r="29" spans="6:13" x14ac:dyDescent="0.15">
      <c r="M29">
        <v>27</v>
      </c>
    </row>
    <row r="30" spans="6:13" x14ac:dyDescent="0.15">
      <c r="M30">
        <v>28</v>
      </c>
    </row>
    <row r="31" spans="6:13" x14ac:dyDescent="0.15">
      <c r="M31">
        <v>29</v>
      </c>
    </row>
    <row r="32" spans="6:13" x14ac:dyDescent="0.15">
      <c r="M32">
        <v>30</v>
      </c>
    </row>
    <row r="33" spans="13:13" x14ac:dyDescent="0.15">
      <c r="M33">
        <v>31</v>
      </c>
    </row>
    <row r="34" spans="13:13" x14ac:dyDescent="0.15">
      <c r="M34">
        <v>32</v>
      </c>
    </row>
    <row r="35" spans="13:13" x14ac:dyDescent="0.15">
      <c r="M35">
        <v>33</v>
      </c>
    </row>
    <row r="36" spans="13:13" x14ac:dyDescent="0.15">
      <c r="M36">
        <v>34</v>
      </c>
    </row>
    <row r="37" spans="13:13" x14ac:dyDescent="0.15">
      <c r="M37">
        <v>35</v>
      </c>
    </row>
    <row r="38" spans="13:13" x14ac:dyDescent="0.15">
      <c r="M38">
        <v>36</v>
      </c>
    </row>
    <row r="39" spans="13:13" x14ac:dyDescent="0.15">
      <c r="M39">
        <v>37</v>
      </c>
    </row>
    <row r="40" spans="13:13" x14ac:dyDescent="0.15">
      <c r="M40">
        <v>38</v>
      </c>
    </row>
    <row r="41" spans="13:13" x14ac:dyDescent="0.15">
      <c r="M41">
        <v>39</v>
      </c>
    </row>
    <row r="42" spans="13:13" x14ac:dyDescent="0.15">
      <c r="M42">
        <v>40</v>
      </c>
    </row>
    <row r="43" spans="13:13" x14ac:dyDescent="0.15">
      <c r="M43">
        <v>41</v>
      </c>
    </row>
    <row r="44" spans="13:13" x14ac:dyDescent="0.15">
      <c r="M44">
        <v>42</v>
      </c>
    </row>
    <row r="45" spans="13:13" x14ac:dyDescent="0.15">
      <c r="M45">
        <v>43</v>
      </c>
    </row>
    <row r="46" spans="13:13" x14ac:dyDescent="0.15">
      <c r="M46">
        <v>44</v>
      </c>
    </row>
    <row r="47" spans="13:13" x14ac:dyDescent="0.15">
      <c r="M47">
        <v>45</v>
      </c>
    </row>
    <row r="48" spans="13:13" x14ac:dyDescent="0.15">
      <c r="M48">
        <v>46</v>
      </c>
    </row>
    <row r="49" spans="13:13" x14ac:dyDescent="0.15">
      <c r="M49">
        <v>47</v>
      </c>
    </row>
    <row r="50" spans="13:13" x14ac:dyDescent="0.15">
      <c r="M50">
        <v>48</v>
      </c>
    </row>
    <row r="51" spans="13:13" x14ac:dyDescent="0.15">
      <c r="M51">
        <v>49</v>
      </c>
    </row>
    <row r="52" spans="13:13" x14ac:dyDescent="0.15">
      <c r="M52">
        <v>50</v>
      </c>
    </row>
    <row r="53" spans="13:13" x14ac:dyDescent="0.15">
      <c r="M53">
        <v>51</v>
      </c>
    </row>
    <row r="54" spans="13:13" x14ac:dyDescent="0.15">
      <c r="M54">
        <v>52</v>
      </c>
    </row>
    <row r="55" spans="13:13" x14ac:dyDescent="0.15">
      <c r="M55">
        <v>53</v>
      </c>
    </row>
    <row r="56" spans="13:13" x14ac:dyDescent="0.15">
      <c r="M56">
        <v>54</v>
      </c>
    </row>
    <row r="57" spans="13:13" x14ac:dyDescent="0.15">
      <c r="M57">
        <v>55</v>
      </c>
    </row>
    <row r="58" spans="13:13" x14ac:dyDescent="0.15">
      <c r="M58">
        <v>56</v>
      </c>
    </row>
    <row r="59" spans="13:13" x14ac:dyDescent="0.15">
      <c r="M59">
        <v>57</v>
      </c>
    </row>
    <row r="60" spans="13:13" x14ac:dyDescent="0.15">
      <c r="M60">
        <v>58</v>
      </c>
    </row>
    <row r="61" spans="13:13" x14ac:dyDescent="0.15">
      <c r="M61">
        <v>59</v>
      </c>
    </row>
    <row r="62" spans="13:13" x14ac:dyDescent="0.15">
      <c r="M62">
        <v>60</v>
      </c>
    </row>
    <row r="63" spans="13:13" x14ac:dyDescent="0.15">
      <c r="M63">
        <v>61</v>
      </c>
    </row>
    <row r="64" spans="13:13" x14ac:dyDescent="0.15">
      <c r="M64">
        <v>62</v>
      </c>
    </row>
    <row r="65" spans="13:13" x14ac:dyDescent="0.15">
      <c r="M65">
        <v>63</v>
      </c>
    </row>
    <row r="66" spans="13:13" x14ac:dyDescent="0.15">
      <c r="M66">
        <v>64</v>
      </c>
    </row>
    <row r="67" spans="13:13" x14ac:dyDescent="0.15">
      <c r="M67">
        <v>65</v>
      </c>
    </row>
    <row r="68" spans="13:13" x14ac:dyDescent="0.15">
      <c r="M68">
        <v>66</v>
      </c>
    </row>
    <row r="69" spans="13:13" x14ac:dyDescent="0.15">
      <c r="M69">
        <v>67</v>
      </c>
    </row>
    <row r="70" spans="13:13" x14ac:dyDescent="0.15">
      <c r="M70">
        <v>68</v>
      </c>
    </row>
    <row r="71" spans="13:13" x14ac:dyDescent="0.15">
      <c r="M71">
        <v>69</v>
      </c>
    </row>
    <row r="72" spans="13:13" x14ac:dyDescent="0.15">
      <c r="M72">
        <v>70</v>
      </c>
    </row>
    <row r="73" spans="13:13" x14ac:dyDescent="0.15">
      <c r="M73">
        <v>71</v>
      </c>
    </row>
    <row r="74" spans="13:13" x14ac:dyDescent="0.15">
      <c r="M74">
        <v>72</v>
      </c>
    </row>
    <row r="75" spans="13:13" x14ac:dyDescent="0.15">
      <c r="M75">
        <v>73</v>
      </c>
    </row>
    <row r="76" spans="13:13" x14ac:dyDescent="0.15">
      <c r="M76">
        <v>74</v>
      </c>
    </row>
    <row r="77" spans="13:13" x14ac:dyDescent="0.15">
      <c r="M77">
        <v>75</v>
      </c>
    </row>
    <row r="78" spans="13:13" x14ac:dyDescent="0.15">
      <c r="M78">
        <v>76</v>
      </c>
    </row>
    <row r="79" spans="13:13" x14ac:dyDescent="0.15">
      <c r="M79">
        <v>77</v>
      </c>
    </row>
    <row r="80" spans="13:13" x14ac:dyDescent="0.15">
      <c r="M80">
        <v>78</v>
      </c>
    </row>
    <row r="81" spans="13:13" x14ac:dyDescent="0.15">
      <c r="M81">
        <v>79</v>
      </c>
    </row>
    <row r="82" spans="13:13" x14ac:dyDescent="0.15">
      <c r="M82">
        <v>80</v>
      </c>
    </row>
    <row r="83" spans="13:13" x14ac:dyDescent="0.15">
      <c r="M83">
        <v>81</v>
      </c>
    </row>
    <row r="84" spans="13:13" x14ac:dyDescent="0.15">
      <c r="M84">
        <v>82</v>
      </c>
    </row>
    <row r="85" spans="13:13" x14ac:dyDescent="0.15">
      <c r="M85">
        <v>83</v>
      </c>
    </row>
    <row r="86" spans="13:13" x14ac:dyDescent="0.15">
      <c r="M86">
        <v>84</v>
      </c>
    </row>
    <row r="87" spans="13:13" x14ac:dyDescent="0.15">
      <c r="M87">
        <v>85</v>
      </c>
    </row>
    <row r="88" spans="13:13" x14ac:dyDescent="0.15">
      <c r="M88">
        <v>86</v>
      </c>
    </row>
    <row r="89" spans="13:13" x14ac:dyDescent="0.15">
      <c r="M89">
        <v>87</v>
      </c>
    </row>
    <row r="90" spans="13:13" x14ac:dyDescent="0.15">
      <c r="M90">
        <v>88</v>
      </c>
    </row>
    <row r="91" spans="13:13" x14ac:dyDescent="0.15">
      <c r="M91">
        <v>89</v>
      </c>
    </row>
    <row r="92" spans="13:13" x14ac:dyDescent="0.15">
      <c r="M92">
        <v>90</v>
      </c>
    </row>
    <row r="93" spans="13:13" x14ac:dyDescent="0.15">
      <c r="M93">
        <v>91</v>
      </c>
    </row>
    <row r="94" spans="13:13" x14ac:dyDescent="0.15">
      <c r="M94">
        <v>92</v>
      </c>
    </row>
    <row r="95" spans="13:13" x14ac:dyDescent="0.15">
      <c r="M95">
        <v>93</v>
      </c>
    </row>
    <row r="96" spans="13:13" x14ac:dyDescent="0.15">
      <c r="M96">
        <v>94</v>
      </c>
    </row>
    <row r="97" spans="13:13" x14ac:dyDescent="0.15">
      <c r="M97">
        <v>95</v>
      </c>
    </row>
    <row r="98" spans="13:13" x14ac:dyDescent="0.15">
      <c r="M98">
        <v>96</v>
      </c>
    </row>
    <row r="99" spans="13:13" x14ac:dyDescent="0.15">
      <c r="M99">
        <v>97</v>
      </c>
    </row>
    <row r="100" spans="13:13" x14ac:dyDescent="0.15">
      <c r="M100">
        <v>98</v>
      </c>
    </row>
    <row r="101" spans="13:13" x14ac:dyDescent="0.15">
      <c r="M101">
        <v>99</v>
      </c>
    </row>
    <row r="102" spans="13:13" x14ac:dyDescent="0.15">
      <c r="M102">
        <v>100</v>
      </c>
    </row>
  </sheetData>
  <sheetProtection algorithmName="SHA-512" hashValue="Y6yyqiD9ctv+q6NQNKRJr0AQMAgFLFnixsiAhau4DyFItsCoB3eediYbOIatvV9Z/Rr0SdZrqqYKQQv5PzsWQw==" saltValue="lHIzI2IMYYR66+yhvIisRA==" spinCount="100000" sheet="1" objects="1" scenarios="1"/>
  <conditionalFormatting sqref="B3:B6 B8">
    <cfRule type="cellIs" dxfId="40" priority="1" operator="equal">
      <formula>0</formula>
    </cfRule>
    <cfRule type="cellIs" dxfId="39" priority="2" operator="greaterThanOrEqual">
      <formula>10</formula>
    </cfRule>
  </conditionalFormatting>
  <conditionalFormatting sqref="O6">
    <cfRule type="expression" dxfId="38" priority="21">
      <formula>ISNA(O6)</formula>
    </cfRule>
    <cfRule type="cellIs" dxfId="37" priority="22" operator="equal">
      <formula>0</formula>
    </cfRule>
    <cfRule type="cellIs" dxfId="36" priority="23" operator="lessThan">
      <formula>10</formula>
    </cfRule>
  </conditionalFormatting>
  <pageMargins left="0.7" right="0.7" top="0.75" bottom="0.75" header="0.3" footer="0.3"/>
  <pageSetup paperSize="9"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cb5776-5016-45b1-a7c8-32a5389e3296" xsi:nil="true"/>
    <lcf76f155ced4ddcb4097134ff3c332f xmlns="5c78dc9f-56e0-4dbe-b595-dd60f2fb9d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4B7242CC4D1A42BCD8F8D91D08B45B" ma:contentTypeVersion="21" ma:contentTypeDescription="Create a new document." ma:contentTypeScope="" ma:versionID="081a7f79a1903b74eefbe1a02f7b5058">
  <xsd:schema xmlns:xsd="http://www.w3.org/2001/XMLSchema" xmlns:xs="http://www.w3.org/2001/XMLSchema" xmlns:p="http://schemas.microsoft.com/office/2006/metadata/properties" xmlns:ns2="5c78dc9f-56e0-4dbe-b595-dd60f2fb9d50" xmlns:ns3="6acb5776-5016-45b1-a7c8-32a5389e3296" targetNamespace="http://schemas.microsoft.com/office/2006/metadata/properties" ma:root="true" ma:fieldsID="aca4d07c08ea890356b1e0fbf9a5ef3a" ns2:_="" ns3:_="">
    <xsd:import namespace="5c78dc9f-56e0-4dbe-b595-dd60f2fb9d50"/>
    <xsd:import namespace="6acb5776-5016-45b1-a7c8-32a5389e32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78dc9f-56e0-4dbe-b595-dd60f2fb9d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cb5776-5016-45b1-a7c8-32a5389e32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1a8cfec-72ab-4531-bac2-4e1ecc8772b6}" ma:internalName="TaxCatchAll" ma:showField="CatchAllData" ma:web="6acb5776-5016-45b1-a7c8-32a5389e32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6D757-1185-4BFC-83AF-2DD55EEA484F}">
  <ds:schemaRefs>
    <ds:schemaRef ds:uri="http://schemas.microsoft.com/sharepoint/v3/contenttype/forms"/>
  </ds:schemaRefs>
</ds:datastoreItem>
</file>

<file path=customXml/itemProps2.xml><?xml version="1.0" encoding="utf-8"?>
<ds:datastoreItem xmlns:ds="http://schemas.openxmlformats.org/officeDocument/2006/customXml" ds:itemID="{612D4E67-E3F9-46D9-91FE-8CDE9AB9A673}">
  <ds:schemaRefs>
    <ds:schemaRef ds:uri="http://purl.org/dc/dcmitype/"/>
    <ds:schemaRef ds:uri="http://www.w3.org/XML/1998/namespace"/>
    <ds:schemaRef ds:uri="http://purl.org/dc/terms/"/>
    <ds:schemaRef ds:uri="6acb5776-5016-45b1-a7c8-32a5389e3296"/>
    <ds:schemaRef ds:uri="http://schemas.openxmlformats.org/package/2006/metadata/core-properties"/>
    <ds:schemaRef ds:uri="http://schemas.microsoft.com/office/2006/documentManagement/types"/>
    <ds:schemaRef ds:uri="5c78dc9f-56e0-4dbe-b595-dd60f2fb9d50"/>
    <ds:schemaRef ds:uri="http://purl.org/dc/elements/1.1/"/>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06906CB-00D4-4A4D-97DA-69692B4CD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78dc9f-56e0-4dbe-b595-dd60f2fb9d50"/>
    <ds:schemaRef ds:uri="6acb5776-5016-45b1-a7c8-32a5389e3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README</vt:lpstr>
      <vt:lpstr>Quick guide</vt:lpstr>
      <vt:lpstr>Iron &amp; Steelmaker Tool</vt:lpstr>
      <vt:lpstr>Steel Procurement Tool</vt:lpstr>
      <vt:lpstr>Iron &amp; steel core boundary</vt:lpstr>
      <vt:lpstr>Target-setting flow chart</vt:lpstr>
      <vt:lpstr>Database</vt:lpstr>
      <vt:lpstr>Calculations</vt:lpstr>
      <vt:lpstr>sector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frangel@wwfmex.org</dc:creator>
  <cp:lastModifiedBy>Michael Danielson</cp:lastModifiedBy>
  <cp:lastPrinted>2018-06-15T11:54:07Z</cp:lastPrinted>
  <dcterms:created xsi:type="dcterms:W3CDTF">2018-05-29T20:19:30Z</dcterms:created>
  <dcterms:modified xsi:type="dcterms:W3CDTF">2026-07-16T17:46:16Z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0x010100634B7242CC4D1A42BCD8F8D91D08B45B</vt:lpwstr>
  </property>
</Properties>
</file>