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onewri.sharepoint.com/sites/SBTChemicalsexternal/Shared Documents/2022 Chemicals Sector Development/Chemical Sector Guidance/Consultation Drafts_April 2024/"/>
    </mc:Choice>
  </mc:AlternateContent>
  <xr:revisionPtr revIDLastSave="308" documentId="8_{6574E579-3859-42BC-A668-FCB847038FF5}" xr6:coauthVersionLast="47" xr6:coauthVersionMax="47" xr10:uidLastSave="{A0AFA15C-0002-457D-8C8A-29CEA8D5E4AD}"/>
  <workbookProtection workbookAlgorithmName="SHA-512" workbookHashValue="wx5Bs4z9rTSr7VJC9mbdUf7+QKkmPY1uyICZyxuQG0Jt2NdmEb+YsBes0c+UbmpzPOXiZJKX8mLtQPY7IoP3lQ==" workbookSaltValue="YM3WCMogqJV3s0M3Us0q2w==" workbookSpinCount="100000" lockStructure="1"/>
  <bookViews>
    <workbookView xWindow="28680" yWindow="-60" windowWidth="29040" windowHeight="15840" tabRatio="787" activeTab="6" xr2:uid="{BBABE952-AF8E-48C3-80C7-1C305CD93D49}"/>
  </bookViews>
  <sheets>
    <sheet name="README" sheetId="11" r:id="rId1"/>
    <sheet name="Quick guide" sheetId="14" r:id="rId2"/>
    <sheet name="SDA Tool Data Notes" sheetId="28" r:id="rId3"/>
    <sheet name="SDA Tool" sheetId="1" r:id="rId4"/>
    <sheet name="S1-Nitric Acid N2O Tool" sheetId="13" r:id="rId5"/>
    <sheet name="S3-Fertilizer N2O Tool" sheetId="26" r:id="rId6"/>
    <sheet name="Alternative Feedstock Tool" sheetId="25" r:id="rId7"/>
    <sheet name="Calculations" sheetId="4" r:id="rId8"/>
    <sheet name="Database" sheetId="7" r:id="rId9"/>
    <sheet name="DataArrange" sheetId="8" state="veryHidden" r:id="rId10"/>
    <sheet name="Lists" sheetId="5" state="veryHidden" r:id="rId11"/>
    <sheet name="ETP2017" sheetId="9" state="veryHidden" r:id="rId12"/>
    <sheet name="NZE2021" sheetId="18" state="veryHidden" r:id="rId13"/>
  </sheets>
  <definedNames>
    <definedName name="_xlnm._FilterDatabase" localSheetId="8" hidden="1">Database!$A$1:$CQ$240</definedName>
    <definedName name="CAAGR_tolerance">200</definedName>
    <definedName name="RoundFactorLong">4</definedName>
    <definedName name="RoundFactorMed">3</definedName>
    <definedName name="RoundFactorShort">3</definedName>
    <definedName name="sector">Lists!$B$2:$B$4</definedName>
    <definedName name="SmallestNonZeroValue">0.00001</definedName>
    <definedName name="SumTolerance">0.005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8" l="1"/>
  <c r="B27" i="26" l="1"/>
  <c r="F19" i="1"/>
  <c r="F18" i="1"/>
  <c r="F17" i="25" l="1"/>
  <c r="F28" i="13" l="1"/>
  <c r="B114" i="4"/>
  <c r="J2" i="8" l="1"/>
  <c r="M2" i="8"/>
  <c r="N2" i="8"/>
  <c r="O2" i="8"/>
  <c r="P2" i="8"/>
  <c r="Q2" i="8"/>
  <c r="R2" i="8"/>
  <c r="S2" i="8"/>
  <c r="T2" i="8"/>
  <c r="J3" i="8"/>
  <c r="M3" i="8"/>
  <c r="N3" i="8"/>
  <c r="O3" i="8"/>
  <c r="P3" i="8"/>
  <c r="Q3" i="8"/>
  <c r="R3" i="8"/>
  <c r="S3" i="8"/>
  <c r="T3" i="8"/>
  <c r="J4" i="8"/>
  <c r="M4" i="8"/>
  <c r="N4" i="8"/>
  <c r="O4" i="8"/>
  <c r="P4" i="8"/>
  <c r="Q4" i="8"/>
  <c r="R4" i="8"/>
  <c r="S4" i="8"/>
  <c r="T4" i="8"/>
  <c r="J6" i="8"/>
  <c r="M6" i="8"/>
  <c r="N6" i="8"/>
  <c r="O6" i="8"/>
  <c r="P6" i="8"/>
  <c r="Q6" i="8"/>
  <c r="R6" i="8"/>
  <c r="S6" i="8"/>
  <c r="T6" i="8"/>
  <c r="J7" i="8"/>
  <c r="M7" i="8"/>
  <c r="N7" i="8"/>
  <c r="O7" i="8"/>
  <c r="P7" i="8"/>
  <c r="Q7" i="8"/>
  <c r="R7" i="8"/>
  <c r="S7" i="8"/>
  <c r="T7" i="8"/>
  <c r="J8" i="8"/>
  <c r="M8" i="8"/>
  <c r="N8" i="8"/>
  <c r="O8" i="8"/>
  <c r="P8" i="8"/>
  <c r="Q8" i="8"/>
  <c r="R8" i="8"/>
  <c r="S8" i="8"/>
  <c r="T8" i="8"/>
  <c r="G7" i="7"/>
  <c r="G8" i="7"/>
  <c r="G9" i="7"/>
  <c r="G10" i="7"/>
  <c r="G11" i="7"/>
  <c r="G12" i="7"/>
  <c r="G13" i="7"/>
  <c r="G14" i="7"/>
  <c r="G6" i="7"/>
  <c r="D70" i="4"/>
  <c r="B220" i="18" l="1"/>
  <c r="F203" i="18"/>
  <c r="E203" i="18"/>
  <c r="D203" i="18"/>
  <c r="C203" i="18"/>
  <c r="B203" i="18"/>
  <c r="S159" i="9"/>
  <c r="O159" i="9"/>
  <c r="S138" i="9"/>
  <c r="R138" i="9"/>
  <c r="Q138" i="9"/>
  <c r="P138" i="9"/>
  <c r="O138" i="9"/>
  <c r="S136" i="9"/>
  <c r="R136" i="9"/>
  <c r="Q136" i="9"/>
  <c r="P136" i="9"/>
  <c r="O136" i="9"/>
  <c r="AT44" i="8"/>
  <c r="AS14" i="7" s="1"/>
  <c r="AJ44" i="8"/>
  <c r="Z44" i="8"/>
  <c r="Y14" i="7" s="1"/>
  <c r="P44" i="8"/>
  <c r="AT43" i="8"/>
  <c r="AS13" i="7" s="1"/>
  <c r="AJ43" i="8"/>
  <c r="Z43" i="8"/>
  <c r="P43" i="8"/>
  <c r="AT42" i="8"/>
  <c r="AS12" i="7" s="1"/>
  <c r="AJ42" i="8"/>
  <c r="Z42" i="8"/>
  <c r="Y12" i="7" s="1"/>
  <c r="P42" i="8"/>
  <c r="O42" i="8" s="1"/>
  <c r="N12" i="7" s="1"/>
  <c r="AT41" i="8"/>
  <c r="AJ41" i="8"/>
  <c r="Z41" i="8"/>
  <c r="Y11" i="7" s="1"/>
  <c r="P41" i="8"/>
  <c r="AT40" i="8"/>
  <c r="AS10" i="7" s="1"/>
  <c r="AJ40" i="8"/>
  <c r="AI10" i="7" s="1"/>
  <c r="Z40" i="8"/>
  <c r="Y10" i="7" s="1"/>
  <c r="P40" i="8"/>
  <c r="L40" i="8" s="1"/>
  <c r="K10" i="7" s="1"/>
  <c r="AT39" i="8"/>
  <c r="AS9" i="7" s="1"/>
  <c r="AJ39" i="8"/>
  <c r="Z39" i="8"/>
  <c r="P39" i="8"/>
  <c r="AT38" i="8"/>
  <c r="AJ38" i="8"/>
  <c r="AI8" i="7" s="1"/>
  <c r="Z38" i="8"/>
  <c r="Y8" i="7" s="1"/>
  <c r="P38" i="8"/>
  <c r="O38" i="8" s="1"/>
  <c r="N8" i="7" s="1"/>
  <c r="AT37" i="8"/>
  <c r="AS7" i="7" s="1"/>
  <c r="AJ37" i="8"/>
  <c r="Z37" i="8"/>
  <c r="P37" i="8"/>
  <c r="O37" i="8" s="1"/>
  <c r="N7" i="7" s="1"/>
  <c r="AT36" i="8"/>
  <c r="AS6" i="7" s="1"/>
  <c r="AJ36" i="8"/>
  <c r="Z36" i="8"/>
  <c r="P36" i="8"/>
  <c r="O36" i="8" s="1"/>
  <c r="N6" i="7" s="1"/>
  <c r="F34" i="8"/>
  <c r="F33" i="8"/>
  <c r="F4" i="7" s="1"/>
  <c r="F32" i="8"/>
  <c r="BD31" i="8"/>
  <c r="AY31" i="8"/>
  <c r="AT31" i="8"/>
  <c r="AO31" i="8"/>
  <c r="AJ31" i="8"/>
  <c r="AE31" i="8"/>
  <c r="Z31" i="8"/>
  <c r="U31" i="8"/>
  <c r="J31" i="8"/>
  <c r="F31" i="8"/>
  <c r="BD30" i="8"/>
  <c r="AY30" i="8"/>
  <c r="AT30" i="8"/>
  <c r="AO30" i="8"/>
  <c r="AJ30" i="8"/>
  <c r="AE30" i="8"/>
  <c r="Z30" i="8"/>
  <c r="U30" i="8"/>
  <c r="J30" i="8"/>
  <c r="F30" i="8"/>
  <c r="BD29" i="8"/>
  <c r="AY29" i="8"/>
  <c r="AT29" i="8"/>
  <c r="AO29" i="8"/>
  <c r="AJ29" i="8"/>
  <c r="AE29" i="8"/>
  <c r="Z29" i="8"/>
  <c r="U29" i="8"/>
  <c r="J29" i="8"/>
  <c r="F29" i="8"/>
  <c r="BD28" i="8"/>
  <c r="AY28" i="8"/>
  <c r="AT28" i="8"/>
  <c r="AO28" i="8"/>
  <c r="AJ28" i="8"/>
  <c r="AE28" i="8"/>
  <c r="Z28" i="8"/>
  <c r="U28" i="8"/>
  <c r="J28" i="8"/>
  <c r="F28" i="8"/>
  <c r="AO27" i="8"/>
  <c r="F27" i="8"/>
  <c r="F26" i="8"/>
  <c r="F2" i="7" s="1"/>
  <c r="F25" i="8"/>
  <c r="R21" i="8"/>
  <c r="AT35" i="8" s="1"/>
  <c r="P21" i="8"/>
  <c r="AJ35" i="8" s="1"/>
  <c r="AI5" i="7" s="1"/>
  <c r="N21" i="8"/>
  <c r="Z35" i="8" s="1"/>
  <c r="Y5" i="7" s="1"/>
  <c r="L21" i="8"/>
  <c r="P35" i="8" s="1"/>
  <c r="O5" i="7" s="1"/>
  <c r="K21" i="8"/>
  <c r="O35" i="8" s="1"/>
  <c r="BD27" i="8"/>
  <c r="AY27" i="8"/>
  <c r="AT27" i="8"/>
  <c r="AJ27" i="8"/>
  <c r="AE27" i="8"/>
  <c r="Z27" i="8"/>
  <c r="U27" i="8"/>
  <c r="J27" i="8"/>
  <c r="BD26" i="8"/>
  <c r="AY26" i="8"/>
  <c r="AT26" i="8"/>
  <c r="AO26" i="8"/>
  <c r="AJ26" i="8"/>
  <c r="AE26" i="8"/>
  <c r="Z26" i="8"/>
  <c r="U26" i="8"/>
  <c r="J26" i="8"/>
  <c r="BD25" i="8"/>
  <c r="AY25" i="8"/>
  <c r="AT25" i="8"/>
  <c r="AO25" i="8"/>
  <c r="AJ25" i="8"/>
  <c r="AE25" i="8"/>
  <c r="Z25" i="8"/>
  <c r="U25" i="8"/>
  <c r="J25" i="8"/>
  <c r="J32" i="8" s="1"/>
  <c r="K24" i="5"/>
  <c r="K23" i="5"/>
  <c r="K22" i="5"/>
  <c r="K21" i="5"/>
  <c r="J21" i="5"/>
  <c r="J22" i="5" s="1"/>
  <c r="J23" i="5" s="1"/>
  <c r="J24" i="5" s="1"/>
  <c r="J25" i="5" s="1"/>
  <c r="J26" i="5" s="1"/>
  <c r="J27" i="5" s="1"/>
  <c r="J28" i="5" s="1"/>
  <c r="K20" i="5"/>
  <c r="K19" i="5"/>
  <c r="K18" i="5"/>
  <c r="K17" i="5"/>
  <c r="F17" i="5"/>
  <c r="K16" i="5"/>
  <c r="K15" i="5"/>
  <c r="H15" i="5"/>
  <c r="K14" i="5"/>
  <c r="H14" i="5"/>
  <c r="K13" i="5"/>
  <c r="K12" i="5"/>
  <c r="K11" i="5"/>
  <c r="K10" i="5"/>
  <c r="K9" i="5"/>
  <c r="K8" i="5"/>
  <c r="K7" i="5"/>
  <c r="K6" i="5"/>
  <c r="K5" i="5"/>
  <c r="O4" i="5"/>
  <c r="K4" i="5"/>
  <c r="O3" i="5"/>
  <c r="K3" i="5"/>
  <c r="O2" i="5"/>
  <c r="C17" i="7"/>
  <c r="B17" i="7"/>
  <c r="A17" i="7"/>
  <c r="H14" i="7"/>
  <c r="F14" i="7"/>
  <c r="E14" i="7"/>
  <c r="D14" i="7"/>
  <c r="C14" i="7"/>
  <c r="B14" i="7"/>
  <c r="A14" i="7"/>
  <c r="AI13" i="7"/>
  <c r="Y13" i="7"/>
  <c r="O13" i="7"/>
  <c r="H13" i="7"/>
  <c r="F13" i="7"/>
  <c r="E13" i="7"/>
  <c r="D13" i="7"/>
  <c r="C13" i="7"/>
  <c r="B13" i="7"/>
  <c r="A13" i="7"/>
  <c r="H12" i="7"/>
  <c r="F12" i="7"/>
  <c r="E12" i="7"/>
  <c r="D12" i="7"/>
  <c r="C12" i="7"/>
  <c r="B12" i="7"/>
  <c r="A12" i="7"/>
  <c r="AS11" i="7"/>
  <c r="O11" i="7"/>
  <c r="H11" i="7"/>
  <c r="F11" i="7"/>
  <c r="E11" i="7"/>
  <c r="D11" i="7"/>
  <c r="C11" i="7"/>
  <c r="B11" i="7"/>
  <c r="A11" i="7"/>
  <c r="H10" i="7"/>
  <c r="F10" i="7"/>
  <c r="E10" i="7"/>
  <c r="D10" i="7"/>
  <c r="C10" i="7"/>
  <c r="B10" i="7"/>
  <c r="A10" i="7"/>
  <c r="AI9" i="7"/>
  <c r="Y9" i="7"/>
  <c r="H9" i="7"/>
  <c r="F9" i="7"/>
  <c r="E9" i="7"/>
  <c r="D9" i="7"/>
  <c r="C9" i="7"/>
  <c r="B9" i="7"/>
  <c r="A9" i="7"/>
  <c r="H8" i="7"/>
  <c r="F8" i="7"/>
  <c r="E8" i="7"/>
  <c r="D8" i="7"/>
  <c r="C8" i="7"/>
  <c r="B8" i="7"/>
  <c r="A8" i="7"/>
  <c r="H7" i="7"/>
  <c r="F7" i="7"/>
  <c r="E7" i="7"/>
  <c r="D7" i="7"/>
  <c r="C7" i="7"/>
  <c r="B7" i="7"/>
  <c r="A7" i="7"/>
  <c r="H6" i="7"/>
  <c r="F6" i="7"/>
  <c r="E6" i="7"/>
  <c r="D6" i="7"/>
  <c r="C6" i="7"/>
  <c r="B6" i="7"/>
  <c r="A6" i="7"/>
  <c r="AS5" i="7"/>
  <c r="H5" i="7"/>
  <c r="F5" i="7"/>
  <c r="E5" i="7"/>
  <c r="D5" i="7"/>
  <c r="C5" i="7"/>
  <c r="B5" i="7"/>
  <c r="A5"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E4" i="7"/>
  <c r="A4" i="7"/>
  <c r="E3" i="7"/>
  <c r="C3" i="7"/>
  <c r="A3" i="7"/>
  <c r="G2" i="7"/>
  <c r="E2" i="7"/>
  <c r="A2" i="7"/>
  <c r="D133" i="4"/>
  <c r="H27" i="25" s="1"/>
  <c r="D132" i="4"/>
  <c r="H26" i="25" s="1"/>
  <c r="F35" i="25" s="1"/>
  <c r="B42" i="25" s="1"/>
  <c r="D131" i="4"/>
  <c r="F25" i="25" s="1"/>
  <c r="D130" i="4"/>
  <c r="F24" i="25" s="1"/>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F127" i="4"/>
  <c r="E127" i="4"/>
  <c r="D127" i="4"/>
  <c r="C120" i="4"/>
  <c r="D112" i="4"/>
  <c r="D111" i="4"/>
  <c r="Y110" i="4"/>
  <c r="X110" i="4"/>
  <c r="W110" i="4"/>
  <c r="V110" i="4"/>
  <c r="U110" i="4"/>
  <c r="T110" i="4"/>
  <c r="S110" i="4"/>
  <c r="R110" i="4"/>
  <c r="Q110" i="4"/>
  <c r="P110" i="4"/>
  <c r="O110" i="4"/>
  <c r="N110" i="4"/>
  <c r="M110" i="4"/>
  <c r="L110" i="4"/>
  <c r="K110" i="4"/>
  <c r="J110" i="4"/>
  <c r="I110" i="4"/>
  <c r="H110" i="4"/>
  <c r="G110" i="4"/>
  <c r="F110" i="4"/>
  <c r="E110" i="4"/>
  <c r="D110" i="4"/>
  <c r="C110" i="4"/>
  <c r="B110" i="4"/>
  <c r="Y109" i="4"/>
  <c r="X109" i="4"/>
  <c r="W109" i="4"/>
  <c r="V109" i="4"/>
  <c r="U109" i="4"/>
  <c r="T109" i="4"/>
  <c r="S109" i="4"/>
  <c r="R109" i="4"/>
  <c r="Q109" i="4"/>
  <c r="P109" i="4"/>
  <c r="O109" i="4"/>
  <c r="N109" i="4"/>
  <c r="M109" i="4"/>
  <c r="L109" i="4"/>
  <c r="K109" i="4"/>
  <c r="J109" i="4"/>
  <c r="I109" i="4"/>
  <c r="H109" i="4"/>
  <c r="G109" i="4"/>
  <c r="F109" i="4"/>
  <c r="E109" i="4"/>
  <c r="D109" i="4"/>
  <c r="C109" i="4"/>
  <c r="B109" i="4"/>
  <c r="B101" i="4"/>
  <c r="C98" i="4"/>
  <c r="B98" i="4"/>
  <c r="C97" i="4"/>
  <c r="B97" i="4"/>
  <c r="B96" i="4"/>
  <c r="C92" i="4"/>
  <c r="B92" i="4" s="1"/>
  <c r="C91" i="4"/>
  <c r="B91" i="4" s="1"/>
  <c r="B90" i="4"/>
  <c r="B89" i="4"/>
  <c r="C85" i="4"/>
  <c r="B85" i="4" s="1"/>
  <c r="C84" i="4"/>
  <c r="B84" i="4" s="1"/>
  <c r="AX83"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U83" i="4"/>
  <c r="T83" i="4"/>
  <c r="I83" i="4"/>
  <c r="H83" i="4"/>
  <c r="G83" i="4"/>
  <c r="F83" i="4"/>
  <c r="E83" i="4"/>
  <c r="D83" i="4"/>
  <c r="B83"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V82" i="4"/>
  <c r="U82" i="4"/>
  <c r="T82" i="4"/>
  <c r="I82" i="4"/>
  <c r="H82" i="4"/>
  <c r="G82" i="4"/>
  <c r="F82" i="4"/>
  <c r="E82" i="4"/>
  <c r="D82" i="4"/>
  <c r="B82" i="4"/>
  <c r="H75" i="4"/>
  <c r="H120" i="4" s="1"/>
  <c r="G75" i="4"/>
  <c r="G120" i="4" s="1"/>
  <c r="F75" i="4"/>
  <c r="F120" i="4" s="1"/>
  <c r="E75" i="4"/>
  <c r="E120" i="4" s="1"/>
  <c r="D75" i="4"/>
  <c r="D120" i="4" s="1"/>
  <c r="AN74" i="4"/>
  <c r="AM74" i="4"/>
  <c r="AL74" i="4"/>
  <c r="AK74" i="4"/>
  <c r="AJ74" i="4"/>
  <c r="AI74" i="4"/>
  <c r="AH74" i="4"/>
  <c r="AG74" i="4"/>
  <c r="AF74"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D69" i="4"/>
  <c r="I75" i="4" s="1"/>
  <c r="I120" i="4" s="1"/>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C61" i="4"/>
  <c r="C64" i="4" s="1"/>
  <c r="C59" i="4"/>
  <c r="AN56" i="4"/>
  <c r="C54" i="4"/>
  <c r="B103" i="4" s="1"/>
  <c r="C52" i="4"/>
  <c r="C47" i="4"/>
  <c r="C102" i="4" s="1"/>
  <c r="C45" i="4"/>
  <c r="O5" i="5" s="1"/>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I35" i="4"/>
  <c r="H35" i="4"/>
  <c r="G35" i="4"/>
  <c r="F35" i="4"/>
  <c r="E35" i="4"/>
  <c r="D35" i="4"/>
  <c r="C35" i="4"/>
  <c r="B35" i="4"/>
  <c r="C34" i="4"/>
  <c r="G16" i="4"/>
  <c r="G116" i="4" s="1"/>
  <c r="C16" i="4"/>
  <c r="I15" i="4"/>
  <c r="I105" i="4" s="1"/>
  <c r="H15" i="4"/>
  <c r="H105" i="4" s="1"/>
  <c r="G15" i="4"/>
  <c r="G105" i="4" s="1"/>
  <c r="F15" i="4"/>
  <c r="F105" i="4" s="1"/>
  <c r="E15" i="4"/>
  <c r="E105" i="4" s="1"/>
  <c r="D15" i="4"/>
  <c r="D105" i="4" s="1"/>
  <c r="C15" i="4"/>
  <c r="I14" i="4"/>
  <c r="I104" i="4" s="1"/>
  <c r="H14" i="4"/>
  <c r="H104" i="4" s="1"/>
  <c r="G14" i="4"/>
  <c r="G104" i="4" s="1"/>
  <c r="F14" i="4"/>
  <c r="F104" i="4" s="1"/>
  <c r="E14" i="4"/>
  <c r="E104" i="4" s="1"/>
  <c r="D14" i="4"/>
  <c r="D104" i="4" s="1"/>
  <c r="C14" i="4"/>
  <c r="C8" i="4"/>
  <c r="B4" i="4"/>
  <c r="D99" i="1" s="1"/>
  <c r="A4" i="4"/>
  <c r="F32" i="25"/>
  <c r="D32" i="25"/>
  <c r="D23" i="25"/>
  <c r="H22" i="25"/>
  <c r="F22" i="25"/>
  <c r="D22" i="25"/>
  <c r="F16" i="25"/>
  <c r="C16" i="25"/>
  <c r="E13" i="25"/>
  <c r="C13" i="25"/>
  <c r="E12" i="25"/>
  <c r="C12" i="25"/>
  <c r="F5" i="25"/>
  <c r="D27" i="26"/>
  <c r="F26" i="26"/>
  <c r="D26" i="26"/>
  <c r="E17" i="26"/>
  <c r="C17" i="26"/>
  <c r="C16" i="26"/>
  <c r="E15" i="26"/>
  <c r="C15" i="26"/>
  <c r="E14" i="26"/>
  <c r="C14" i="26"/>
  <c r="C13" i="26"/>
  <c r="F5" i="26"/>
  <c r="D25" i="13"/>
  <c r="D24" i="13"/>
  <c r="D23" i="13"/>
  <c r="E18" i="13"/>
  <c r="C18" i="13"/>
  <c r="E17" i="13"/>
  <c r="C17" i="13"/>
  <c r="D16" i="13"/>
  <c r="D34" i="13" s="1"/>
  <c r="C16" i="13"/>
  <c r="E13" i="13"/>
  <c r="C13" i="13"/>
  <c r="E12" i="13"/>
  <c r="C12" i="13"/>
  <c r="G105" i="1"/>
  <c r="G104" i="1"/>
  <c r="G103" i="1"/>
  <c r="J98" i="1"/>
  <c r="K98" i="1" s="1"/>
  <c r="L98" i="1" s="1"/>
  <c r="M98" i="1" s="1"/>
  <c r="N98" i="1" s="1"/>
  <c r="O98" i="1" s="1"/>
  <c r="P98" i="1" s="1"/>
  <c r="Q98" i="1" s="1"/>
  <c r="R98" i="1" s="1"/>
  <c r="S98" i="1" s="1"/>
  <c r="T98" i="1" s="1"/>
  <c r="U98" i="1" s="1"/>
  <c r="V98" i="1" s="1"/>
  <c r="W98" i="1" s="1"/>
  <c r="X98" i="1" s="1"/>
  <c r="Y98" i="1" s="1"/>
  <c r="Z98" i="1" s="1"/>
  <c r="AA98" i="1" s="1"/>
  <c r="AB98" i="1" s="1"/>
  <c r="AC98" i="1" s="1"/>
  <c r="AD98" i="1" s="1"/>
  <c r="AE98" i="1" s="1"/>
  <c r="AF98" i="1" s="1"/>
  <c r="AG98" i="1" s="1"/>
  <c r="AH98" i="1" s="1"/>
  <c r="AI98" i="1" s="1"/>
  <c r="AJ98" i="1" s="1"/>
  <c r="AK98" i="1" s="1"/>
  <c r="B52" i="1"/>
  <c r="F101" i="1" s="1"/>
  <c r="D51" i="1"/>
  <c r="B51" i="1"/>
  <c r="F100" i="1" s="1"/>
  <c r="D50" i="1"/>
  <c r="B50" i="1"/>
  <c r="F99" i="1" s="1"/>
  <c r="F49" i="1"/>
  <c r="D49" i="1"/>
  <c r="B47" i="1"/>
  <c r="F31" i="1"/>
  <c r="B29" i="1"/>
  <c r="E23" i="1"/>
  <c r="C23" i="1"/>
  <c r="E22" i="1"/>
  <c r="C22" i="1"/>
  <c r="B22" i="1"/>
  <c r="F21" i="1"/>
  <c r="E21" i="1"/>
  <c r="C21" i="1"/>
  <c r="C20" i="1"/>
  <c r="E19" i="1"/>
  <c r="C19" i="1"/>
  <c r="E18" i="1"/>
  <c r="C18" i="1"/>
  <c r="F17" i="1"/>
  <c r="F22" i="1" s="1"/>
  <c r="E17" i="1"/>
  <c r="C17" i="1"/>
  <c r="E16" i="1"/>
  <c r="C16" i="1"/>
  <c r="F15" i="1"/>
  <c r="E15" i="1"/>
  <c r="C15" i="1"/>
  <c r="F14" i="1"/>
  <c r="E14" i="1"/>
  <c r="C14" i="1"/>
  <c r="C13" i="1"/>
  <c r="F5" i="1"/>
  <c r="F5" i="13" s="1"/>
  <c r="I5" i="14"/>
  <c r="G3" i="14"/>
  <c r="F23" i="13" l="1"/>
  <c r="F27" i="13"/>
  <c r="F26" i="13" s="1"/>
  <c r="D35" i="13" s="1"/>
  <c r="D16" i="4"/>
  <c r="E16" i="4"/>
  <c r="F16" i="4"/>
  <c r="H16" i="4"/>
  <c r="I16" i="4"/>
  <c r="L75" i="4"/>
  <c r="L120" i="4" s="1"/>
  <c r="F35" i="13"/>
  <c r="F29" i="13"/>
  <c r="AL98" i="1"/>
  <c r="B55" i="1"/>
  <c r="F104" i="1" s="1"/>
  <c r="U44" i="8"/>
  <c r="T14" i="7" s="1"/>
  <c r="AP44" i="8"/>
  <c r="AO14" i="7" s="1"/>
  <c r="AU31" i="8"/>
  <c r="Y27" i="8"/>
  <c r="BD34" i="8"/>
  <c r="AP29" i="8"/>
  <c r="AI14" i="7"/>
  <c r="AP38" i="8"/>
  <c r="AO8" i="7" s="1"/>
  <c r="AJ8" i="4" s="1" a="1"/>
  <c r="AJ8" i="4" s="1"/>
  <c r="X39" i="8"/>
  <c r="W9" i="7" s="1"/>
  <c r="S30" i="8"/>
  <c r="O6" i="7"/>
  <c r="J11" i="4" s="1" a="1"/>
  <c r="J11" i="4" s="1"/>
  <c r="P28" i="8"/>
  <c r="AM37" i="8"/>
  <c r="AL7" i="7" s="1"/>
  <c r="AG39" i="8"/>
  <c r="AF9" i="7" s="1"/>
  <c r="AC30" i="8"/>
  <c r="T31" i="8"/>
  <c r="K36" i="8"/>
  <c r="J6" i="7" s="1"/>
  <c r="E11" i="4" s="1" a="1"/>
  <c r="E11" i="4" s="1"/>
  <c r="U36" i="8"/>
  <c r="T6" i="7" s="1"/>
  <c r="O11" i="4" s="1" a="1"/>
  <c r="O11" i="4" s="1"/>
  <c r="R39" i="8"/>
  <c r="Q9" i="7" s="1"/>
  <c r="W36" i="8"/>
  <c r="V6" i="7" s="1"/>
  <c r="Q11" i="4" s="1" a="1"/>
  <c r="Q11" i="4" s="1"/>
  <c r="S39" i="8"/>
  <c r="R9" i="7" s="1"/>
  <c r="U35" i="8"/>
  <c r="T5" i="7" s="1"/>
  <c r="O28" i="4" s="1" a="1"/>
  <c r="O28" i="4" s="1"/>
  <c r="AP36" i="8"/>
  <c r="AO6" i="7" s="1"/>
  <c r="AJ11" i="4" s="1" a="1"/>
  <c r="AJ11" i="4" s="1"/>
  <c r="AS38" i="8"/>
  <c r="AR8" i="7" s="1"/>
  <c r="AM8" i="4" s="1" a="1"/>
  <c r="AM8" i="4" s="1"/>
  <c r="Q39" i="8"/>
  <c r="P9" i="7" s="1"/>
  <c r="O9" i="7"/>
  <c r="AK30" i="8"/>
  <c r="AE39" i="8"/>
  <c r="AD9" i="7" s="1"/>
  <c r="AE43" i="8"/>
  <c r="AD13" i="7" s="1"/>
  <c r="AI7" i="7"/>
  <c r="AD9" i="4" s="1" a="1"/>
  <c r="AD9" i="4" s="1"/>
  <c r="J39" i="8"/>
  <c r="I9" i="7" s="1"/>
  <c r="O39" i="8"/>
  <c r="N9" i="7" s="1"/>
  <c r="AB37" i="8"/>
  <c r="AA7" i="7" s="1"/>
  <c r="V9" i="4" s="1" a="1"/>
  <c r="V9" i="4" s="1"/>
  <c r="AL41" i="8"/>
  <c r="AK11" i="7" s="1"/>
  <c r="O14" i="7"/>
  <c r="AV30" i="8"/>
  <c r="BB30" i="8"/>
  <c r="M42" i="8"/>
  <c r="L12" i="7" s="1"/>
  <c r="AS8" i="7"/>
  <c r="AN8" i="4" s="1" a="1"/>
  <c r="AN8" i="4" s="1"/>
  <c r="BB31" i="8"/>
  <c r="AC38" i="8"/>
  <c r="AB8" i="7" s="1"/>
  <c r="R42" i="8"/>
  <c r="Q12" i="7" s="1"/>
  <c r="J44" i="8"/>
  <c r="I14" i="7" s="1"/>
  <c r="AW26" i="8"/>
  <c r="Y31" i="8"/>
  <c r="Y34" i="8" s="1"/>
  <c r="W41" i="8"/>
  <c r="V11" i="7" s="1"/>
  <c r="O44" i="8"/>
  <c r="N14" i="7" s="1"/>
  <c r="AE42" i="8"/>
  <c r="AD12" i="7" s="1"/>
  <c r="Y6" i="7"/>
  <c r="T11" i="4" s="1" a="1"/>
  <c r="T11" i="4" s="1"/>
  <c r="Y7" i="7"/>
  <c r="T9" i="4" s="1" a="1"/>
  <c r="T9" i="4" s="1"/>
  <c r="AD30" i="8"/>
  <c r="AW31" i="8"/>
  <c r="J36" i="8"/>
  <c r="I6" i="7" s="1"/>
  <c r="D11" i="4" s="1" a="1"/>
  <c r="D11" i="4" s="1"/>
  <c r="AM36" i="8"/>
  <c r="AL6" i="7" s="1"/>
  <c r="AG11" i="4" s="1" a="1"/>
  <c r="AG11" i="4" s="1"/>
  <c r="AD37" i="8"/>
  <c r="AC7" i="7" s="1"/>
  <c r="X9" i="4" s="1" a="1"/>
  <c r="X9" i="4" s="1"/>
  <c r="AE38" i="8"/>
  <c r="AD8" i="7" s="1"/>
  <c r="Y8" i="4" s="1" a="1"/>
  <c r="Y8" i="4" s="1"/>
  <c r="K39" i="8"/>
  <c r="J9" i="7" s="1"/>
  <c r="W39" i="8"/>
  <c r="V9" i="7" s="1"/>
  <c r="AP41" i="8"/>
  <c r="AO11" i="7" s="1"/>
  <c r="Q42" i="8"/>
  <c r="P12" i="7" s="1"/>
  <c r="AI42" i="8"/>
  <c r="AH12" i="7" s="1"/>
  <c r="AI6" i="7"/>
  <c r="AD11" i="4" s="1" a="1"/>
  <c r="AD11" i="4" s="1"/>
  <c r="Y29" i="8"/>
  <c r="AN36" i="8"/>
  <c r="AM6" i="7" s="1"/>
  <c r="AH11" i="4" s="1" a="1"/>
  <c r="AH11" i="4" s="1"/>
  <c r="AL38" i="8"/>
  <c r="AK8" i="7" s="1"/>
  <c r="AF8" i="4" s="1" a="1"/>
  <c r="AF8" i="4" s="1"/>
  <c r="L39" i="8"/>
  <c r="K9" i="7" s="1"/>
  <c r="Y39" i="8"/>
  <c r="X9" i="7" s="1"/>
  <c r="AS41" i="8"/>
  <c r="AR11" i="7" s="1"/>
  <c r="V44" i="8"/>
  <c r="U14" i="7" s="1"/>
  <c r="X42" i="8"/>
  <c r="W12" i="7" s="1"/>
  <c r="AI11" i="7"/>
  <c r="P30" i="8"/>
  <c r="BC31" i="8"/>
  <c r="M36" i="8"/>
  <c r="L6" i="7" s="1"/>
  <c r="G11" i="4" s="1" a="1"/>
  <c r="G11" i="4" s="1"/>
  <c r="AR37" i="8"/>
  <c r="AQ7" i="7" s="1"/>
  <c r="AL9" i="4" s="1" a="1"/>
  <c r="AL9" i="4" s="1"/>
  <c r="AK38" i="8"/>
  <c r="AJ8" i="7" s="1"/>
  <c r="AE8" i="4" s="1" a="1"/>
  <c r="AE8" i="4" s="1"/>
  <c r="M39" i="8"/>
  <c r="L9" i="7" s="1"/>
  <c r="O41" i="8"/>
  <c r="N11" i="7" s="1"/>
  <c r="S42" i="8"/>
  <c r="R12" i="7" s="1"/>
  <c r="W44" i="8"/>
  <c r="V14" i="7" s="1"/>
  <c r="Y38" i="8"/>
  <c r="X8" i="7" s="1"/>
  <c r="S8" i="4" s="1" a="1"/>
  <c r="S8" i="4" s="1"/>
  <c r="AK41" i="8"/>
  <c r="AJ11" i="7" s="1"/>
  <c r="N5" i="7"/>
  <c r="I28" i="4" s="1" a="1"/>
  <c r="I28" i="4" s="1"/>
  <c r="O7" i="7"/>
  <c r="J9" i="4" s="1" a="1"/>
  <c r="J9" i="4" s="1"/>
  <c r="AL36" i="8"/>
  <c r="AK6" i="7" s="1"/>
  <c r="AF11" i="4" s="1" a="1"/>
  <c r="AF11" i="4" s="1"/>
  <c r="AO41" i="8"/>
  <c r="AN11" i="7" s="1"/>
  <c r="O12" i="7"/>
  <c r="AI12" i="7"/>
  <c r="N25" i="8"/>
  <c r="AZ26" i="8"/>
  <c r="N30" i="8"/>
  <c r="AN30" i="8"/>
  <c r="AQ36" i="8"/>
  <c r="AP6" i="7" s="1"/>
  <c r="AK11" i="4" s="1" a="1"/>
  <c r="AK11" i="4" s="1"/>
  <c r="J38" i="8"/>
  <c r="I8" i="7" s="1"/>
  <c r="D8" i="4" s="1" a="1"/>
  <c r="D8" i="4" s="1"/>
  <c r="D20" i="4" s="1"/>
  <c r="AO38" i="8"/>
  <c r="AN8" i="7" s="1"/>
  <c r="AI8" i="4" s="1" a="1"/>
  <c r="AI8" i="4" s="1"/>
  <c r="J42" i="8"/>
  <c r="I12" i="7" s="1"/>
  <c r="W42" i="8"/>
  <c r="V12" i="7" s="1"/>
  <c r="AE44" i="8"/>
  <c r="AD14" i="7" s="1"/>
  <c r="AN44" i="8"/>
  <c r="AM14" i="7" s="1"/>
  <c r="O8" i="7"/>
  <c r="J8" i="4" s="1" a="1"/>
  <c r="J8" i="4" s="1"/>
  <c r="J35" i="4" s="1"/>
  <c r="J34" i="4" s="1"/>
  <c r="O10" i="7"/>
  <c r="T26" i="8"/>
  <c r="BD33" i="8"/>
  <c r="O30" i="8"/>
  <c r="AQ30" i="8"/>
  <c r="AS36" i="8"/>
  <c r="AR6" i="7" s="1"/>
  <c r="AM11" i="4" s="1" a="1"/>
  <c r="AM11" i="4" s="1"/>
  <c r="M38" i="8"/>
  <c r="L8" i="7" s="1"/>
  <c r="G8" i="4" s="1" a="1"/>
  <c r="G8" i="4" s="1"/>
  <c r="Y41" i="8"/>
  <c r="X11" i="7" s="1"/>
  <c r="K42" i="8"/>
  <c r="J12" i="7" s="1"/>
  <c r="Y42" i="8"/>
  <c r="X12" i="7" s="1"/>
  <c r="AD44" i="8"/>
  <c r="AC14" i="7" s="1"/>
  <c r="X26" i="8"/>
  <c r="AH35" i="8"/>
  <c r="AG5" i="7" s="1"/>
  <c r="AB28" i="4" s="1" a="1"/>
  <c r="AB28" i="4" s="1"/>
  <c r="O29" i="8"/>
  <c r="V29" i="8"/>
  <c r="Y30" i="8"/>
  <c r="AG30" i="8"/>
  <c r="BA30" i="8"/>
  <c r="Y36" i="8"/>
  <c r="X6" i="7" s="1"/>
  <c r="S11" i="4" s="1" a="1"/>
  <c r="S11" i="4" s="1"/>
  <c r="AH37" i="8"/>
  <c r="AG7" i="7" s="1"/>
  <c r="AB9" i="4" s="1" a="1"/>
  <c r="AB9" i="4" s="1"/>
  <c r="AI39" i="8"/>
  <c r="AH9" i="7" s="1"/>
  <c r="N44" i="8"/>
  <c r="M14" i="7" s="1"/>
  <c r="AV26" i="8"/>
  <c r="K29" i="8"/>
  <c r="V30" i="8"/>
  <c r="AF30" i="8"/>
  <c r="AP30" i="8"/>
  <c r="BC30" i="8"/>
  <c r="AZ31" i="8"/>
  <c r="X38" i="8"/>
  <c r="W8" i="7" s="1"/>
  <c r="J41" i="8"/>
  <c r="I11" i="7" s="1"/>
  <c r="AS44" i="8"/>
  <c r="AR14" i="7" s="1"/>
  <c r="L29" i="8"/>
  <c r="W30" i="8"/>
  <c r="AH30" i="8"/>
  <c r="BA31" i="8"/>
  <c r="AF35" i="8"/>
  <c r="AE5" i="7" s="1"/>
  <c r="Z28" i="4" s="1" a="1"/>
  <c r="Z28" i="4" s="1"/>
  <c r="AL37" i="8"/>
  <c r="AK7" i="7" s="1"/>
  <c r="AF9" i="4" s="1" a="1"/>
  <c r="AF9" i="4" s="1"/>
  <c r="R38" i="8"/>
  <c r="Q8" i="7" s="1"/>
  <c r="L8" i="4" s="1" a="1"/>
  <c r="L8" i="4" s="1"/>
  <c r="AM38" i="8"/>
  <c r="AL8" i="7" s="1"/>
  <c r="AG8" i="4" s="1" a="1"/>
  <c r="AG8" i="4" s="1"/>
  <c r="T39" i="8"/>
  <c r="S9" i="7" s="1"/>
  <c r="K41" i="8"/>
  <c r="J11" i="7" s="1"/>
  <c r="AM41" i="8"/>
  <c r="AL11" i="7" s="1"/>
  <c r="T42" i="8"/>
  <c r="S12" i="7" s="1"/>
  <c r="AL44" i="8"/>
  <c r="AK14" i="7" s="1"/>
  <c r="AX25" i="8"/>
  <c r="N29" i="8"/>
  <c r="L30" i="8"/>
  <c r="X30" i="8"/>
  <c r="AI30" i="8"/>
  <c r="AR30" i="8"/>
  <c r="AK36" i="8"/>
  <c r="AJ6" i="7" s="1"/>
  <c r="AE11" i="4" s="1" a="1"/>
  <c r="AE11" i="4" s="1"/>
  <c r="U38" i="8"/>
  <c r="T8" i="7" s="1"/>
  <c r="O8" i="4" s="1" a="1"/>
  <c r="O8" i="4" s="1"/>
  <c r="AN38" i="8"/>
  <c r="AM8" i="7" s="1"/>
  <c r="AH8" i="4" s="1" a="1"/>
  <c r="AH8" i="4" s="1"/>
  <c r="U39" i="8"/>
  <c r="T9" i="7" s="1"/>
  <c r="M41" i="8"/>
  <c r="L11" i="7" s="1"/>
  <c r="AN41" i="8"/>
  <c r="AM11" i="7" s="1"/>
  <c r="L42" i="8"/>
  <c r="K12" i="7" s="1"/>
  <c r="U42" i="8"/>
  <c r="T12" i="7" s="1"/>
  <c r="R44" i="8"/>
  <c r="Q14" i="7" s="1"/>
  <c r="AM44" i="8"/>
  <c r="AL14" i="7" s="1"/>
  <c r="P29" i="8"/>
  <c r="M25" i="8"/>
  <c r="R29" i="8"/>
  <c r="AA30" i="8"/>
  <c r="AL30" i="8"/>
  <c r="AU30" i="8"/>
  <c r="Q31" i="8"/>
  <c r="AH40" i="8"/>
  <c r="AG10" i="7" s="1"/>
  <c r="S29" i="8"/>
  <c r="R30" i="8"/>
  <c r="AB30" i="8"/>
  <c r="AM30" i="8"/>
  <c r="AO36" i="8"/>
  <c r="AN6" i="7" s="1"/>
  <c r="AI11" i="4" s="1" a="1"/>
  <c r="AI11" i="4" s="1"/>
  <c r="K38" i="8"/>
  <c r="J8" i="7" s="1"/>
  <c r="E8" i="4" s="1" a="1"/>
  <c r="E8" i="4" s="1"/>
  <c r="AQ38" i="8"/>
  <c r="AP8" i="7" s="1"/>
  <c r="AK8" i="4" s="1" a="1"/>
  <c r="AK8" i="4" s="1"/>
  <c r="AE40" i="8"/>
  <c r="AD10" i="7" s="1"/>
  <c r="AQ41" i="8"/>
  <c r="AP11" i="7" s="1"/>
  <c r="AO32" i="8"/>
  <c r="AR25" i="8"/>
  <c r="AQ25" i="8"/>
  <c r="AS25" i="8"/>
  <c r="AP25" i="8"/>
  <c r="AE32" i="8"/>
  <c r="AF25" i="8"/>
  <c r="AI25" i="8"/>
  <c r="AH25" i="8"/>
  <c r="AG25" i="8"/>
  <c r="AA25" i="8"/>
  <c r="AN25" i="8"/>
  <c r="AJ32" i="8"/>
  <c r="AM25" i="8"/>
  <c r="AL25" i="8"/>
  <c r="AK25" i="8"/>
  <c r="AY34" i="8"/>
  <c r="BB27" i="8"/>
  <c r="BA27" i="8"/>
  <c r="BC27" i="8"/>
  <c r="AZ27" i="8"/>
  <c r="Z32" i="8"/>
  <c r="AD25" i="8"/>
  <c r="AC25" i="8"/>
  <c r="AB25" i="8"/>
  <c r="U33" i="8"/>
  <c r="W26" i="8"/>
  <c r="Y26" i="8"/>
  <c r="V26" i="8"/>
  <c r="W25" i="8"/>
  <c r="AA28" i="8"/>
  <c r="AD28" i="8"/>
  <c r="AC28" i="8"/>
  <c r="AB28" i="8"/>
  <c r="AQ31" i="8"/>
  <c r="AP31" i="8"/>
  <c r="AS31" i="8"/>
  <c r="AR31" i="8"/>
  <c r="AY32" i="8"/>
  <c r="BC25" i="8"/>
  <c r="BA25" i="8"/>
  <c r="AZ25" i="8"/>
  <c r="AE34" i="8"/>
  <c r="AH27" i="8"/>
  <c r="AG27" i="8"/>
  <c r="AE33" i="8"/>
  <c r="AI26" i="8"/>
  <c r="AH26" i="8"/>
  <c r="AF26" i="8"/>
  <c r="Z34" i="8"/>
  <c r="AD27" i="8"/>
  <c r="AC27" i="8"/>
  <c r="AB27" i="8"/>
  <c r="AA27" i="8"/>
  <c r="BB25" i="8"/>
  <c r="AB26" i="8"/>
  <c r="AF27" i="8"/>
  <c r="AM28" i="8"/>
  <c r="AN28" i="8"/>
  <c r="AL28" i="8"/>
  <c r="AK28" i="8"/>
  <c r="AH28" i="8"/>
  <c r="AG28" i="8"/>
  <c r="AF28" i="8"/>
  <c r="AW29" i="8"/>
  <c r="AS29" i="8"/>
  <c r="AX29" i="8"/>
  <c r="AV29" i="8"/>
  <c r="AU29" i="8"/>
  <c r="AR29" i="8"/>
  <c r="AQ29" i="8"/>
  <c r="AJ33" i="8"/>
  <c r="AM26" i="8"/>
  <c r="AN26" i="8"/>
  <c r="AN33" i="8" s="1"/>
  <c r="AC26" i="8"/>
  <c r="AI27" i="8"/>
  <c r="AQ28" i="8"/>
  <c r="AS28" i="8"/>
  <c r="AR28" i="8"/>
  <c r="AP28" i="8"/>
  <c r="AT32" i="8"/>
  <c r="AV25" i="8"/>
  <c r="AW25" i="8"/>
  <c r="AU25" i="8"/>
  <c r="AO33" i="8"/>
  <c r="AS26" i="8"/>
  <c r="AR26" i="8"/>
  <c r="AQ26" i="8"/>
  <c r="AL27" i="8"/>
  <c r="AK27" i="8"/>
  <c r="AJ34" i="8"/>
  <c r="AN27" i="8"/>
  <c r="AM27" i="8"/>
  <c r="J33" i="8"/>
  <c r="O26" i="8"/>
  <c r="O33" i="8" s="1"/>
  <c r="R26" i="8"/>
  <c r="Q26" i="8"/>
  <c r="P26" i="8"/>
  <c r="M26" i="8"/>
  <c r="L26" i="8"/>
  <c r="AG26" i="8"/>
  <c r="J34" i="8"/>
  <c r="N27" i="8"/>
  <c r="M27" i="8"/>
  <c r="R27" i="8"/>
  <c r="Q27" i="8"/>
  <c r="P27" i="8"/>
  <c r="L27" i="8"/>
  <c r="K27" i="8"/>
  <c r="AS27" i="8"/>
  <c r="AO34" i="8"/>
  <c r="AR27" i="8"/>
  <c r="AQ27" i="8"/>
  <c r="AU28" i="8"/>
  <c r="AX28" i="8"/>
  <c r="AW28" i="8"/>
  <c r="AV28" i="8"/>
  <c r="Z33" i="8"/>
  <c r="AA26" i="8"/>
  <c r="AA33" i="8" s="1"/>
  <c r="AD26" i="8"/>
  <c r="U34" i="8"/>
  <c r="V27" i="8"/>
  <c r="X27" i="8"/>
  <c r="W27" i="8"/>
  <c r="AT33" i="8"/>
  <c r="AU26" i="8"/>
  <c r="AX26" i="8"/>
  <c r="K26" i="8"/>
  <c r="AK26" i="8"/>
  <c r="AK33" i="8" s="1"/>
  <c r="O27" i="8"/>
  <c r="AP27" i="8"/>
  <c r="J35" i="8"/>
  <c r="I5" i="7" s="1"/>
  <c r="D28" i="4" s="1" a="1"/>
  <c r="D28" i="4" s="1"/>
  <c r="P25" i="8"/>
  <c r="L25" i="8"/>
  <c r="T25" i="8"/>
  <c r="K25" i="8"/>
  <c r="S25" i="8"/>
  <c r="Q25" i="8"/>
  <c r="O25" i="8"/>
  <c r="BD32" i="8"/>
  <c r="AY33" i="8"/>
  <c r="BC26" i="8"/>
  <c r="BB26" i="8"/>
  <c r="BA26" i="8"/>
  <c r="AT34" i="8"/>
  <c r="AX27" i="8"/>
  <c r="AW27" i="8"/>
  <c r="AV27" i="8"/>
  <c r="R25" i="8"/>
  <c r="N26" i="8"/>
  <c r="AL26" i="8"/>
  <c r="S27" i="8"/>
  <c r="AU27" i="8"/>
  <c r="AU34" i="8" s="1"/>
  <c r="BC28" i="8"/>
  <c r="BB28" i="8"/>
  <c r="BA28" i="8"/>
  <c r="AZ28" i="8"/>
  <c r="AG29" i="8"/>
  <c r="AI29" i="8"/>
  <c r="AH29" i="8"/>
  <c r="AF29" i="8"/>
  <c r="U32" i="8"/>
  <c r="X25" i="8"/>
  <c r="Y25" i="8"/>
  <c r="V25" i="8"/>
  <c r="S26" i="8"/>
  <c r="S33" i="8" s="1"/>
  <c r="AP26" i="8"/>
  <c r="T27" i="8"/>
  <c r="W28" i="8"/>
  <c r="Y28" i="8"/>
  <c r="X28" i="8"/>
  <c r="V28" i="8"/>
  <c r="BA29" i="8"/>
  <c r="BC29" i="8"/>
  <c r="BB29" i="8"/>
  <c r="T35" i="8"/>
  <c r="S5" i="7" s="1"/>
  <c r="N28" i="4" s="1" a="1"/>
  <c r="N28" i="4" s="1"/>
  <c r="S35" i="8"/>
  <c r="R5" i="7" s="1"/>
  <c r="M28" i="4" s="1" a="1"/>
  <c r="M28" i="4" s="1"/>
  <c r="Y35" i="8"/>
  <c r="X5" i="7" s="1"/>
  <c r="S28" i="4" s="1" a="1"/>
  <c r="S28" i="4" s="1"/>
  <c r="Q35" i="8"/>
  <c r="P5" i="7" s="1"/>
  <c r="R35" i="8"/>
  <c r="Q5" i="7" s="1"/>
  <c r="L28" i="4" s="1" a="1"/>
  <c r="L28" i="4" s="1"/>
  <c r="X35" i="8"/>
  <c r="W5" i="7" s="1"/>
  <c r="R28" i="4" s="1" a="1"/>
  <c r="R28" i="4" s="1"/>
  <c r="W35" i="8"/>
  <c r="V5" i="7" s="1"/>
  <c r="Q28" i="4" s="1" a="1"/>
  <c r="Q28" i="4" s="1"/>
  <c r="V35" i="8"/>
  <c r="U5" i="7" s="1"/>
  <c r="P28" i="4" s="1" a="1"/>
  <c r="P28" i="4" s="1"/>
  <c r="AC29" i="8"/>
  <c r="AD29" i="8"/>
  <c r="AB29" i="8"/>
  <c r="AA29" i="8"/>
  <c r="X29" i="8"/>
  <c r="W29" i="8"/>
  <c r="AZ29" i="8"/>
  <c r="AB35" i="8"/>
  <c r="AA5" i="7" s="1"/>
  <c r="V28" i="4" s="1" a="1"/>
  <c r="V28" i="4" s="1"/>
  <c r="AI35" i="8"/>
  <c r="AH5" i="7" s="1"/>
  <c r="AC28" i="4" s="1" a="1"/>
  <c r="AC28" i="4" s="1"/>
  <c r="AA35" i="8"/>
  <c r="Z5" i="7" s="1"/>
  <c r="U28" i="4" s="1" a="1"/>
  <c r="U28" i="4" s="1"/>
  <c r="AG35" i="8"/>
  <c r="AF5" i="7" s="1"/>
  <c r="AA28" i="4" s="1" a="1"/>
  <c r="AA28" i="4" s="1"/>
  <c r="AE35" i="8"/>
  <c r="AD5" i="7" s="1"/>
  <c r="Y28" i="4" s="1" a="1"/>
  <c r="Y28" i="4" s="1"/>
  <c r="AD35" i="8"/>
  <c r="AC5" i="7" s="1"/>
  <c r="X28" i="4" s="1" a="1"/>
  <c r="X28" i="4" s="1"/>
  <c r="AC35" i="8"/>
  <c r="AB5" i="7" s="1"/>
  <c r="W28" i="4" s="1" a="1"/>
  <c r="W28" i="4" s="1"/>
  <c r="S28" i="8"/>
  <c r="K28" i="8"/>
  <c r="O28" i="8"/>
  <c r="T28" i="8"/>
  <c r="R28" i="8"/>
  <c r="Q28" i="8"/>
  <c r="N28" i="8"/>
  <c r="AI28" i="8"/>
  <c r="AR35" i="8"/>
  <c r="AQ5" i="7" s="1"/>
  <c r="AL28" i="4" s="1" a="1"/>
  <c r="AL28" i="4" s="1"/>
  <c r="AQ35" i="8"/>
  <c r="AP5" i="7" s="1"/>
  <c r="AK28" i="4" s="1" a="1"/>
  <c r="AK28" i="4" s="1"/>
  <c r="AO35" i="8"/>
  <c r="AN5" i="7" s="1"/>
  <c r="AI28" i="4" s="1" a="1"/>
  <c r="AI28" i="4" s="1"/>
  <c r="AS35" i="8"/>
  <c r="AR5" i="7" s="1"/>
  <c r="AM28" i="4" s="1" a="1"/>
  <c r="AM28" i="4" s="1"/>
  <c r="AP35" i="8"/>
  <c r="AO5" i="7" s="1"/>
  <c r="AJ28" i="4" s="1" a="1"/>
  <c r="AJ28" i="4" s="1"/>
  <c r="AN35" i="8"/>
  <c r="AM5" i="7" s="1"/>
  <c r="AH28" i="4" s="1" a="1"/>
  <c r="AH28" i="4" s="1"/>
  <c r="AL35" i="8"/>
  <c r="AK5" i="7" s="1"/>
  <c r="AM35" i="8"/>
  <c r="AL5" i="7" s="1"/>
  <c r="AG28" i="4" s="1" a="1"/>
  <c r="AG28" i="4" s="1"/>
  <c r="AK35" i="8"/>
  <c r="AJ5" i="7" s="1"/>
  <c r="AE28" i="4" s="1" a="1"/>
  <c r="AE28" i="4" s="1"/>
  <c r="L28" i="8"/>
  <c r="AK29" i="8"/>
  <c r="AN29" i="8"/>
  <c r="AM29" i="8"/>
  <c r="AL29" i="8"/>
  <c r="AI31" i="8"/>
  <c r="AH31" i="8"/>
  <c r="AF31" i="8"/>
  <c r="AG31" i="8"/>
  <c r="AB31" i="8"/>
  <c r="AD31" i="8"/>
  <c r="AC31" i="8"/>
  <c r="M28" i="8"/>
  <c r="AN31" i="8"/>
  <c r="AM31" i="8"/>
  <c r="AL31" i="8"/>
  <c r="AK31" i="8"/>
  <c r="X31" i="8"/>
  <c r="V31" i="8"/>
  <c r="O31" i="8"/>
  <c r="AX30" i="8"/>
  <c r="AW30" i="8"/>
  <c r="AS30" i="8"/>
  <c r="W31" i="8"/>
  <c r="L31" i="8"/>
  <c r="AA31" i="8"/>
  <c r="Q30" i="8"/>
  <c r="M30" i="8"/>
  <c r="T30" i="8"/>
  <c r="M31" i="8"/>
  <c r="Q29" i="8"/>
  <c r="M29" i="8"/>
  <c r="T29" i="8"/>
  <c r="K30" i="8"/>
  <c r="AZ30" i="8"/>
  <c r="N31" i="8"/>
  <c r="S31" i="8"/>
  <c r="AX31" i="8"/>
  <c r="AV31" i="8"/>
  <c r="P31" i="8"/>
  <c r="AS37" i="8"/>
  <c r="AR7" i="7" s="1"/>
  <c r="AM9" i="4" s="1" a="1"/>
  <c r="AM9" i="4" s="1"/>
  <c r="AK37" i="8"/>
  <c r="AJ7" i="7" s="1"/>
  <c r="AQ37" i="8"/>
  <c r="AP7" i="7" s="1"/>
  <c r="AK9" i="4" s="1" a="1"/>
  <c r="AK9" i="4" s="1"/>
  <c r="AO37" i="8"/>
  <c r="AN7" i="7" s="1"/>
  <c r="AI9" i="4" s="1" a="1"/>
  <c r="AI9" i="4" s="1"/>
  <c r="AN37" i="8"/>
  <c r="AM7" i="7" s="1"/>
  <c r="AH9" i="4" s="1" a="1"/>
  <c r="AH9" i="4" s="1"/>
  <c r="AF38" i="8"/>
  <c r="AE8" i="7" s="1"/>
  <c r="Z8" i="4" s="1" a="1"/>
  <c r="Z8" i="4" s="1"/>
  <c r="AD38" i="8"/>
  <c r="AC8" i="7" s="1"/>
  <c r="X8" i="4" s="1" a="1"/>
  <c r="X8" i="4" s="1"/>
  <c r="AB38" i="8"/>
  <c r="AA8" i="7" s="1"/>
  <c r="V8" i="4" s="1" a="1"/>
  <c r="V8" i="4" s="1"/>
  <c r="AI38" i="8"/>
  <c r="AH8" i="7" s="1"/>
  <c r="AC8" i="4" s="1" a="1"/>
  <c r="AC8" i="4" s="1"/>
  <c r="AA38" i="8"/>
  <c r="Z8" i="7" s="1"/>
  <c r="S38" i="8"/>
  <c r="R8" i="7" s="1"/>
  <c r="M8" i="4" s="1" a="1"/>
  <c r="M8" i="4" s="1"/>
  <c r="AB43" i="8"/>
  <c r="AA13" i="7" s="1"/>
  <c r="R31" i="8"/>
  <c r="AS40" i="8"/>
  <c r="AR10" i="7" s="1"/>
  <c r="AK40" i="8"/>
  <c r="AJ10" i="7" s="1"/>
  <c r="AQ40" i="8"/>
  <c r="AP10" i="7" s="1"/>
  <c r="AO40" i="8"/>
  <c r="AN10" i="7" s="1"/>
  <c r="AN40" i="8"/>
  <c r="AM10" i="7" s="1"/>
  <c r="AF41" i="8"/>
  <c r="AE11" i="7" s="1"/>
  <c r="AD41" i="8"/>
  <c r="AC11" i="7" s="1"/>
  <c r="AB41" i="8"/>
  <c r="AA11" i="7" s="1"/>
  <c r="AI41" i="8"/>
  <c r="AH11" i="7" s="1"/>
  <c r="AA41" i="8"/>
  <c r="Z11" i="7" s="1"/>
  <c r="S41" i="8"/>
  <c r="R11" i="7" s="1"/>
  <c r="AP42" i="8"/>
  <c r="AO12" i="7" s="1"/>
  <c r="AO42" i="8"/>
  <c r="AN12" i="7" s="1"/>
  <c r="AN42" i="8"/>
  <c r="AM12" i="7" s="1"/>
  <c r="AL42" i="8"/>
  <c r="AK12" i="7" s="1"/>
  <c r="AS42" i="8"/>
  <c r="AR12" i="7" s="1"/>
  <c r="AK42" i="8"/>
  <c r="AJ12" i="7" s="1"/>
  <c r="AC42" i="8"/>
  <c r="AB12" i="7" s="1"/>
  <c r="K31" i="8"/>
  <c r="AF36" i="8"/>
  <c r="AE6" i="7" s="1"/>
  <c r="Z11" i="4" s="1" a="1"/>
  <c r="Z11" i="4" s="1"/>
  <c r="AD36" i="8"/>
  <c r="AC6" i="7" s="1"/>
  <c r="X11" i="4" s="1" a="1"/>
  <c r="X11" i="4" s="1"/>
  <c r="AB36" i="8"/>
  <c r="AA6" i="7" s="1"/>
  <c r="V11" i="4" s="1" a="1"/>
  <c r="V11" i="4" s="1"/>
  <c r="AI36" i="8"/>
  <c r="AH6" i="7" s="1"/>
  <c r="AC11" i="4" s="1" a="1"/>
  <c r="AC11" i="4" s="1"/>
  <c r="AA36" i="8"/>
  <c r="Z6" i="7" s="1"/>
  <c r="U11" i="4" s="1" a="1"/>
  <c r="U11" i="4" s="1"/>
  <c r="S36" i="8"/>
  <c r="R6" i="7" s="1"/>
  <c r="M11" i="4" s="1" a="1"/>
  <c r="M11" i="4" s="1"/>
  <c r="S37" i="8"/>
  <c r="R7" i="7" s="1"/>
  <c r="M9" i="4" s="1" a="1"/>
  <c r="M9" i="4" s="1"/>
  <c r="L37" i="8"/>
  <c r="K7" i="7" s="1"/>
  <c r="F9" i="4" s="1" a="1"/>
  <c r="F9" i="4" s="1"/>
  <c r="W37" i="8"/>
  <c r="V7" i="7" s="1"/>
  <c r="Q9" i="4" s="1" a="1"/>
  <c r="Q9" i="4" s="1"/>
  <c r="T37" i="8"/>
  <c r="S7" i="7" s="1"/>
  <c r="N9" i="4" s="1" a="1"/>
  <c r="N9" i="4" s="1"/>
  <c r="AP39" i="8"/>
  <c r="AO9" i="7" s="1"/>
  <c r="AN39" i="8"/>
  <c r="AM9" i="7" s="1"/>
  <c r="AL39" i="8"/>
  <c r="AK9" i="7" s="1"/>
  <c r="AS39" i="8"/>
  <c r="AR9" i="7" s="1"/>
  <c r="AK39" i="8"/>
  <c r="AJ9" i="7" s="1"/>
  <c r="AC39" i="8"/>
  <c r="AB9" i="7" s="1"/>
  <c r="Y40" i="8"/>
  <c r="X10" i="7" s="1"/>
  <c r="O40" i="8"/>
  <c r="N10" i="7" s="1"/>
  <c r="J40" i="8"/>
  <c r="I10" i="7" s="1"/>
  <c r="W40" i="8"/>
  <c r="V10" i="7" s="1"/>
  <c r="T40" i="8"/>
  <c r="S10" i="7" s="1"/>
  <c r="AL40" i="8"/>
  <c r="AK10" i="7" s="1"/>
  <c r="AC41" i="8"/>
  <c r="AB11" i="7" s="1"/>
  <c r="AM42" i="8"/>
  <c r="AL12" i="7" s="1"/>
  <c r="AL43" i="8"/>
  <c r="AK13" i="7" s="1"/>
  <c r="AM43" i="8"/>
  <c r="AL13" i="7" s="1"/>
  <c r="AC36" i="8"/>
  <c r="AB6" i="7" s="1"/>
  <c r="W11" i="4" s="1" a="1"/>
  <c r="W11" i="4" s="1"/>
  <c r="AC37" i="8"/>
  <c r="AB7" i="7" s="1"/>
  <c r="W9" i="4" s="1" a="1"/>
  <c r="W9" i="4" s="1"/>
  <c r="AI37" i="8"/>
  <c r="AH7" i="7" s="1"/>
  <c r="AC9" i="4" s="1" a="1"/>
  <c r="AC9" i="4" s="1"/>
  <c r="AA37" i="8"/>
  <c r="Z7" i="7" s="1"/>
  <c r="U9" i="4" s="1" a="1"/>
  <c r="U9" i="4" s="1"/>
  <c r="AG37" i="8"/>
  <c r="AF7" i="7" s="1"/>
  <c r="AA9" i="4" s="1" a="1"/>
  <c r="AA9" i="4" s="1"/>
  <c r="AF37" i="8"/>
  <c r="AE7" i="7" s="1"/>
  <c r="Z9" i="4" s="1" a="1"/>
  <c r="Z9" i="4" s="1"/>
  <c r="AP37" i="8"/>
  <c r="AO7" i="7" s="1"/>
  <c r="AJ9" i="4" s="1" a="1"/>
  <c r="AJ9" i="4" s="1"/>
  <c r="Q38" i="8"/>
  <c r="AG38" i="8"/>
  <c r="AF8" i="7" s="1"/>
  <c r="AA8" i="4" s="1" a="1"/>
  <c r="AA8" i="4" s="1"/>
  <c r="AM39" i="8"/>
  <c r="AL9" i="7" s="1"/>
  <c r="R40" i="8"/>
  <c r="Q10" i="7" s="1"/>
  <c r="AM40" i="8"/>
  <c r="AL10" i="7" s="1"/>
  <c r="X41" i="8"/>
  <c r="W11" i="7" s="1"/>
  <c r="AE41" i="8"/>
  <c r="AD11" i="7" s="1"/>
  <c r="AQ42" i="8"/>
  <c r="AP12" i="7" s="1"/>
  <c r="AC44" i="8"/>
  <c r="AB14" i="7" s="1"/>
  <c r="AB44" i="8"/>
  <c r="AA14" i="7" s="1"/>
  <c r="AI44" i="8"/>
  <c r="AH14" i="7" s="1"/>
  <c r="AA44" i="8"/>
  <c r="Z14" i="7" s="1"/>
  <c r="AG44" i="8"/>
  <c r="AF14" i="7" s="1"/>
  <c r="AF44" i="8"/>
  <c r="AE14" i="7" s="1"/>
  <c r="X36" i="8"/>
  <c r="W6" i="7" s="1"/>
  <c r="R11" i="4" s="1" a="1"/>
  <c r="R11" i="4" s="1"/>
  <c r="AE36" i="8"/>
  <c r="AD6" i="7" s="1"/>
  <c r="Y11" i="4" s="1" a="1"/>
  <c r="Y11" i="4" s="1"/>
  <c r="AH38" i="8"/>
  <c r="AG8" i="7" s="1"/>
  <c r="AB8" i="4" s="1" a="1"/>
  <c r="AB8" i="4" s="1"/>
  <c r="AH39" i="8"/>
  <c r="AG9" i="7" s="1"/>
  <c r="AO39" i="8"/>
  <c r="AN9" i="7" s="1"/>
  <c r="AC40" i="8"/>
  <c r="AB10" i="7" s="1"/>
  <c r="AI40" i="8"/>
  <c r="AH10" i="7" s="1"/>
  <c r="AA40" i="8"/>
  <c r="Z10" i="7" s="1"/>
  <c r="AG40" i="8"/>
  <c r="AF10" i="7" s="1"/>
  <c r="AF40" i="8"/>
  <c r="AE10" i="7" s="1"/>
  <c r="AP40" i="8"/>
  <c r="AO10" i="7" s="1"/>
  <c r="Q41" i="8"/>
  <c r="AG41" i="8"/>
  <c r="AF11" i="7" s="1"/>
  <c r="AH42" i="8"/>
  <c r="AG12" i="7" s="1"/>
  <c r="AR42" i="8"/>
  <c r="AQ12" i="7" s="1"/>
  <c r="Q36" i="8"/>
  <c r="AG36" i="8"/>
  <c r="AF6" i="7" s="1"/>
  <c r="AA11" i="4" s="1" a="1"/>
  <c r="AA11" i="4" s="1"/>
  <c r="AA39" i="8"/>
  <c r="Z9" i="7" s="1"/>
  <c r="AQ39" i="8"/>
  <c r="AP9" i="7" s="1"/>
  <c r="AB40" i="8"/>
  <c r="AA10" i="7" s="1"/>
  <c r="AR40" i="8"/>
  <c r="AQ10" i="7" s="1"/>
  <c r="R41" i="8"/>
  <c r="Q11" i="7" s="1"/>
  <c r="AH41" i="8"/>
  <c r="AG11" i="7" s="1"/>
  <c r="AA42" i="8"/>
  <c r="Z12" i="7" s="1"/>
  <c r="R36" i="8"/>
  <c r="Q6" i="7" s="1"/>
  <c r="L11" i="4" s="1" a="1"/>
  <c r="L11" i="4" s="1"/>
  <c r="AH36" i="8"/>
  <c r="AG6" i="7" s="1"/>
  <c r="AB11" i="4" s="1" a="1"/>
  <c r="AB11" i="4" s="1"/>
  <c r="AE37" i="8"/>
  <c r="AD7" i="7" s="1"/>
  <c r="Y9" i="4" s="1" a="1"/>
  <c r="Y9" i="4" s="1"/>
  <c r="W38" i="8"/>
  <c r="V8" i="7" s="1"/>
  <c r="Q8" i="4" s="1" a="1"/>
  <c r="Q8" i="4" s="1"/>
  <c r="AB39" i="8"/>
  <c r="AA9" i="7" s="1"/>
  <c r="AR39" i="8"/>
  <c r="AQ9" i="7" s="1"/>
  <c r="AD40" i="8"/>
  <c r="AC10" i="7" s="1"/>
  <c r="U41" i="8"/>
  <c r="T11" i="7" s="1"/>
  <c r="AB42" i="8"/>
  <c r="AA12" i="7" s="1"/>
  <c r="AH44" i="8"/>
  <c r="AG14" i="7" s="1"/>
  <c r="X44" i="8"/>
  <c r="W14" i="7" s="1"/>
  <c r="L36" i="8"/>
  <c r="K6" i="7" s="1"/>
  <c r="F11" i="4" s="1" a="1"/>
  <c r="F11" i="4" s="1"/>
  <c r="T36" i="8"/>
  <c r="S6" i="7" s="1"/>
  <c r="N11" i="4" s="1" a="1"/>
  <c r="N11" i="4" s="1"/>
  <c r="AR36" i="8"/>
  <c r="AQ6" i="7" s="1"/>
  <c r="AL11" i="4" s="1" a="1"/>
  <c r="AL11" i="4" s="1"/>
  <c r="L38" i="8"/>
  <c r="K8" i="7" s="1"/>
  <c r="F8" i="4" s="1" a="1"/>
  <c r="F8" i="4" s="1"/>
  <c r="T38" i="8"/>
  <c r="S8" i="7" s="1"/>
  <c r="N8" i="4" s="1" a="1"/>
  <c r="N8" i="4" s="1"/>
  <c r="AR38" i="8"/>
  <c r="AQ8" i="7" s="1"/>
  <c r="AL8" i="4" s="1" a="1"/>
  <c r="AL8" i="4" s="1"/>
  <c r="N39" i="8"/>
  <c r="M9" i="7" s="1"/>
  <c r="V39" i="8"/>
  <c r="U9" i="7" s="1"/>
  <c r="AD39" i="8"/>
  <c r="AC9" i="7" s="1"/>
  <c r="L41" i="8"/>
  <c r="K11" i="7" s="1"/>
  <c r="T41" i="8"/>
  <c r="S11" i="7" s="1"/>
  <c r="AR41" i="8"/>
  <c r="AQ11" i="7" s="1"/>
  <c r="N42" i="8"/>
  <c r="M12" i="7" s="1"/>
  <c r="V42" i="8"/>
  <c r="U12" i="7" s="1"/>
  <c r="AD42" i="8"/>
  <c r="AC12" i="7" s="1"/>
  <c r="Q44" i="8"/>
  <c r="Y44" i="8"/>
  <c r="X14" i="7" s="1"/>
  <c r="AO44" i="8"/>
  <c r="AN14" i="7" s="1"/>
  <c r="N36" i="8"/>
  <c r="M6" i="7" s="1"/>
  <c r="H11" i="4" s="1" a="1"/>
  <c r="H11" i="4" s="1"/>
  <c r="V36" i="8"/>
  <c r="U6" i="7" s="1"/>
  <c r="P11" i="4" s="1" a="1"/>
  <c r="P11" i="4" s="1"/>
  <c r="N38" i="8"/>
  <c r="M8" i="7" s="1"/>
  <c r="H8" i="4" s="1" a="1"/>
  <c r="H8" i="4" s="1"/>
  <c r="V38" i="8"/>
  <c r="U8" i="7" s="1"/>
  <c r="P8" i="4" s="1" a="1"/>
  <c r="P8" i="4" s="1"/>
  <c r="AF39" i="8"/>
  <c r="AE9" i="7" s="1"/>
  <c r="N41" i="8"/>
  <c r="M11" i="7" s="1"/>
  <c r="V41" i="8"/>
  <c r="U11" i="7" s="1"/>
  <c r="AF42" i="8"/>
  <c r="AE12" i="7" s="1"/>
  <c r="K44" i="8"/>
  <c r="J14" i="7" s="1"/>
  <c r="S44" i="8"/>
  <c r="R14" i="7" s="1"/>
  <c r="AQ44" i="8"/>
  <c r="AP14" i="7" s="1"/>
  <c r="AG42" i="8"/>
  <c r="AF12" i="7" s="1"/>
  <c r="L44" i="8"/>
  <c r="K14" i="7" s="1"/>
  <c r="T44" i="8"/>
  <c r="S14" i="7" s="1"/>
  <c r="AR44" i="8"/>
  <c r="AQ14" i="7" s="1"/>
  <c r="M44" i="8"/>
  <c r="L14" i="7" s="1"/>
  <c r="AK44" i="8"/>
  <c r="AJ14" i="7" s="1"/>
  <c r="AO8" i="4" a="1"/>
  <c r="AO8" i="4" s="1"/>
  <c r="AW8" i="4" a="1"/>
  <c r="AW8" i="4" s="1"/>
  <c r="I8" i="4" a="1"/>
  <c r="I8" i="4" s="1"/>
  <c r="AO9" i="4" a="1"/>
  <c r="AO9" i="4" s="1"/>
  <c r="AL29" i="4" a="1"/>
  <c r="AL29" i="4" s="1"/>
  <c r="S29" i="4" a="1"/>
  <c r="S29" i="4" s="1"/>
  <c r="R8" i="4" a="1"/>
  <c r="R8" i="4" s="1"/>
  <c r="AP8" i="4" a="1"/>
  <c r="AP8" i="4" s="1"/>
  <c r="AX8" i="4" a="1"/>
  <c r="AX8" i="4" s="1"/>
  <c r="AG9" i="4" a="1"/>
  <c r="AG9" i="4" s="1"/>
  <c r="AQ9" i="4" a="1"/>
  <c r="AQ9" i="4" s="1"/>
  <c r="AR11" i="4" a="1"/>
  <c r="AR11" i="4" s="1"/>
  <c r="J28" i="4" a="1"/>
  <c r="J28" i="4" s="1"/>
  <c r="V29" i="4" a="1"/>
  <c r="V29" i="4" s="1"/>
  <c r="AQ8" i="4" a="1"/>
  <c r="AQ8" i="4" s="1"/>
  <c r="I9" i="4" a="1"/>
  <c r="I9" i="4" s="1"/>
  <c r="AR9" i="4" a="1"/>
  <c r="AR9" i="4" s="1"/>
  <c r="AT11" i="4" a="1"/>
  <c r="AT11" i="4" s="1"/>
  <c r="AP28" i="4" a="1"/>
  <c r="AP28" i="4" s="1"/>
  <c r="AA29" i="4" a="1"/>
  <c r="AA29" i="4" s="1"/>
  <c r="AU29" i="4" a="1"/>
  <c r="AU29" i="4" s="1"/>
  <c r="T8" i="4" a="1"/>
  <c r="T8" i="4" s="1"/>
  <c r="AR8" i="4" a="1"/>
  <c r="AR8" i="4" s="1"/>
  <c r="AS9" i="4" a="1"/>
  <c r="AS9" i="4" s="1"/>
  <c r="AU11" i="4" a="1"/>
  <c r="AU11" i="4" s="1"/>
  <c r="AS28" i="4" a="1"/>
  <c r="AS28" i="4" s="1"/>
  <c r="AD29" i="4" a="1"/>
  <c r="AD29" i="4" s="1"/>
  <c r="AV11" i="4" a="1"/>
  <c r="AV11" i="4" s="1"/>
  <c r="AN11" i="4" a="1"/>
  <c r="AN11" i="4" s="1"/>
  <c r="AU9" i="4" a="1"/>
  <c r="AU9" i="4" s="1"/>
  <c r="AS11" i="4" a="1"/>
  <c r="AS11" i="4" s="1"/>
  <c r="AQ11" i="4" a="1"/>
  <c r="AQ11" i="4" s="1"/>
  <c r="AX9" i="4" a="1"/>
  <c r="AX9" i="4" s="1"/>
  <c r="AP9" i="4" a="1"/>
  <c r="AP9" i="4" s="1"/>
  <c r="AX11" i="4" a="1"/>
  <c r="AX11" i="4" s="1"/>
  <c r="AP11" i="4" a="1"/>
  <c r="AP11" i="4" s="1"/>
  <c r="AW9" i="4" a="1"/>
  <c r="AW9" i="4" s="1"/>
  <c r="AW11" i="4" a="1"/>
  <c r="AW11" i="4" s="1"/>
  <c r="AO11" i="4" a="1"/>
  <c r="AO11" i="4" s="1"/>
  <c r="I11" i="4" a="1"/>
  <c r="I11" i="4" s="1"/>
  <c r="AV9" i="4" a="1"/>
  <c r="AV9" i="4" s="1"/>
  <c r="U8" i="4" a="1"/>
  <c r="U8" i="4" s="1"/>
  <c r="AS8" i="4" a="1"/>
  <c r="AS8" i="4" s="1"/>
  <c r="AT9" i="4" a="1"/>
  <c r="AT9" i="4" s="1"/>
  <c r="AX28" i="4" a="1"/>
  <c r="AX28" i="4" s="1"/>
  <c r="AI29" i="4" a="1"/>
  <c r="AI29" i="4" s="1"/>
  <c r="AD8" i="4" a="1"/>
  <c r="AD8" i="4" s="1"/>
  <c r="AT8" i="4" a="1"/>
  <c r="AT8" i="4" s="1"/>
  <c r="F29" i="4" a="1"/>
  <c r="F29" i="4" s="1"/>
  <c r="AD28" i="4" a="1"/>
  <c r="AD28" i="4" s="1"/>
  <c r="AS29" i="4" a="1"/>
  <c r="AS29" i="4" s="1"/>
  <c r="AK29" i="4" a="1"/>
  <c r="AK29" i="4" s="1"/>
  <c r="AC29" i="4" a="1"/>
  <c r="AC29" i="4" s="1"/>
  <c r="U29" i="4" a="1"/>
  <c r="U29" i="4" s="1"/>
  <c r="M29" i="4" a="1"/>
  <c r="M29" i="4" s="1"/>
  <c r="E29" i="4" a="1"/>
  <c r="E29" i="4" s="1"/>
  <c r="AR28" i="4" a="1"/>
  <c r="AR28" i="4" s="1"/>
  <c r="T28" i="4" a="1"/>
  <c r="T28" i="4" s="1"/>
  <c r="AJ29" i="4" a="1"/>
  <c r="AJ29" i="4" s="1"/>
  <c r="AB29" i="4" a="1"/>
  <c r="AB29" i="4" s="1"/>
  <c r="T29" i="4" a="1"/>
  <c r="T29" i="4" s="1"/>
  <c r="L29" i="4" a="1"/>
  <c r="L29" i="4" s="1"/>
  <c r="D29" i="4" a="1"/>
  <c r="D29" i="4" s="1"/>
  <c r="AQ28" i="4" a="1"/>
  <c r="AQ28" i="4" s="1"/>
  <c r="K28" i="4" a="1"/>
  <c r="K28" i="4" s="1"/>
  <c r="AN28" i="4" a="1"/>
  <c r="AN28" i="4" s="1"/>
  <c r="AF28" i="4" a="1"/>
  <c r="AF28" i="4" s="1"/>
  <c r="W8" i="4" a="1"/>
  <c r="W8" i="4" s="1"/>
  <c r="AU8" i="4" a="1"/>
  <c r="AU8" i="4" s="1"/>
  <c r="K29" i="4" a="1"/>
  <c r="K29" i="4" s="1"/>
  <c r="AQ29" i="4" a="1"/>
  <c r="AQ29" i="4" s="1"/>
  <c r="AV8" i="4" a="1"/>
  <c r="AV8" i="4" s="1"/>
  <c r="AE9" i="4" a="1"/>
  <c r="AE9" i="4" s="1"/>
  <c r="AN9" i="4" a="1"/>
  <c r="AN9" i="4" s="1"/>
  <c r="N29" i="4" a="1"/>
  <c r="N29" i="4" s="1"/>
  <c r="AT29" i="4" a="1"/>
  <c r="AT29" i="4" s="1"/>
  <c r="AU28" i="4" a="1"/>
  <c r="AU28" i="4" s="1"/>
  <c r="H29" i="4" a="1"/>
  <c r="H29" i="4" s="1"/>
  <c r="P29" i="4" a="1"/>
  <c r="P29" i="4" s="1"/>
  <c r="X29" i="4" a="1"/>
  <c r="X29" i="4" s="1"/>
  <c r="AF29" i="4" a="1"/>
  <c r="AF29" i="4" s="1"/>
  <c r="AN29" i="4" a="1"/>
  <c r="AN29" i="4" s="1"/>
  <c r="AV29" i="4" a="1"/>
  <c r="AV29" i="4" s="1"/>
  <c r="AV28" i="4" a="1"/>
  <c r="AV28" i="4" s="1"/>
  <c r="I29" i="4" a="1"/>
  <c r="I29" i="4" s="1"/>
  <c r="Q29" i="4" a="1"/>
  <c r="Q29" i="4" s="1"/>
  <c r="Y29" i="4" a="1"/>
  <c r="Y29" i="4" s="1"/>
  <c r="AG29" i="4" a="1"/>
  <c r="AG29" i="4" s="1"/>
  <c r="AO29" i="4" a="1"/>
  <c r="AO29" i="4" s="1"/>
  <c r="AW29" i="4" a="1"/>
  <c r="AW29" i="4" s="1"/>
  <c r="AO28" i="4" a="1"/>
  <c r="AO28" i="4" s="1"/>
  <c r="AW28" i="4" a="1"/>
  <c r="AW28" i="4" s="1"/>
  <c r="J29" i="4" a="1"/>
  <c r="J29" i="4" s="1"/>
  <c r="R29" i="4" a="1"/>
  <c r="R29" i="4" s="1"/>
  <c r="Z29" i="4" a="1"/>
  <c r="Z29" i="4" s="1"/>
  <c r="AH29" i="4" a="1"/>
  <c r="AH29" i="4" s="1"/>
  <c r="AP29" i="4" a="1"/>
  <c r="AP29" i="4" s="1"/>
  <c r="AX29" i="4" a="1"/>
  <c r="AX29" i="4" s="1"/>
  <c r="AR29" i="4" a="1"/>
  <c r="AR29" i="4" s="1"/>
  <c r="AT28" i="4" a="1"/>
  <c r="AT28" i="4" s="1"/>
  <c r="G29" i="4" a="1"/>
  <c r="G29" i="4" s="1"/>
  <c r="O29" i="4" a="1"/>
  <c r="O29" i="4" s="1"/>
  <c r="W29" i="4" a="1"/>
  <c r="W29" i="4" s="1"/>
  <c r="AE29" i="4" a="1"/>
  <c r="AE29" i="4" s="1"/>
  <c r="AM29" i="4" a="1"/>
  <c r="AM29" i="4" s="1"/>
  <c r="AF43" i="8"/>
  <c r="AE13" i="7" s="1"/>
  <c r="AN43" i="8"/>
  <c r="AM13" i="7" s="1"/>
  <c r="AG43" i="8"/>
  <c r="AF13" i="7" s="1"/>
  <c r="AO43" i="8"/>
  <c r="AN13" i="7" s="1"/>
  <c r="AH43" i="8"/>
  <c r="AG13" i="7" s="1"/>
  <c r="AP43" i="8"/>
  <c r="AO13" i="7" s="1"/>
  <c r="AA43" i="8"/>
  <c r="Z13" i="7" s="1"/>
  <c r="AI43" i="8"/>
  <c r="AH13" i="7" s="1"/>
  <c r="AQ43" i="8"/>
  <c r="AP13" i="7" s="1"/>
  <c r="AR43" i="8"/>
  <c r="AQ13" i="7" s="1"/>
  <c r="AC43" i="8"/>
  <c r="AB13" i="7" s="1"/>
  <c r="AK43" i="8"/>
  <c r="AJ13" i="7" s="1"/>
  <c r="AS43" i="8"/>
  <c r="AR13" i="7" s="1"/>
  <c r="AD43" i="8"/>
  <c r="AC13" i="7" s="1"/>
  <c r="Q43" i="8"/>
  <c r="P13" i="7" s="1"/>
  <c r="J43" i="8"/>
  <c r="I13" i="7" s="1"/>
  <c r="R43" i="8"/>
  <c r="Q13" i="7" s="1"/>
  <c r="Y43" i="8"/>
  <c r="X13" i="7" s="1"/>
  <c r="K43" i="8"/>
  <c r="J13" i="7" s="1"/>
  <c r="S43" i="8"/>
  <c r="R13" i="7" s="1"/>
  <c r="X43" i="8"/>
  <c r="W13" i="7" s="1"/>
  <c r="L43" i="8"/>
  <c r="K13" i="7" s="1"/>
  <c r="T43" i="8"/>
  <c r="S13" i="7" s="1"/>
  <c r="M43" i="8"/>
  <c r="L13" i="7" s="1"/>
  <c r="U43" i="8"/>
  <c r="T13" i="7" s="1"/>
  <c r="N43" i="8"/>
  <c r="M13" i="7" s="1"/>
  <c r="V43" i="8"/>
  <c r="U13" i="7" s="1"/>
  <c r="O43" i="8"/>
  <c r="N13" i="7" s="1"/>
  <c r="W43" i="8"/>
  <c r="V13" i="7" s="1"/>
  <c r="K40" i="8"/>
  <c r="J10" i="7" s="1"/>
  <c r="S40" i="8"/>
  <c r="R10" i="7" s="1"/>
  <c r="M40" i="8"/>
  <c r="L10" i="7" s="1"/>
  <c r="U40" i="8"/>
  <c r="T10" i="7" s="1"/>
  <c r="N40" i="8"/>
  <c r="M10" i="7" s="1"/>
  <c r="V40" i="8"/>
  <c r="U10" i="7" s="1"/>
  <c r="X40" i="8"/>
  <c r="W10" i="7" s="1"/>
  <c r="Q40" i="8"/>
  <c r="M37" i="8"/>
  <c r="L7" i="7" s="1"/>
  <c r="G9" i="4" s="1" a="1"/>
  <c r="G9" i="4" s="1"/>
  <c r="U37" i="8"/>
  <c r="T7" i="7" s="1"/>
  <c r="O9" i="4" s="1" a="1"/>
  <c r="O9" i="4" s="1"/>
  <c r="N37" i="8"/>
  <c r="M7" i="7" s="1"/>
  <c r="H9" i="4" s="1" a="1"/>
  <c r="H9" i="4" s="1"/>
  <c r="V37" i="8"/>
  <c r="U7" i="7" s="1"/>
  <c r="P9" i="4" s="1" a="1"/>
  <c r="P9" i="4" s="1"/>
  <c r="X37" i="8"/>
  <c r="W7" i="7" s="1"/>
  <c r="R9" i="4" s="1" a="1"/>
  <c r="R9" i="4" s="1"/>
  <c r="Q37" i="8"/>
  <c r="Y37" i="8"/>
  <c r="X7" i="7" s="1"/>
  <c r="S9" i="4" s="1" a="1"/>
  <c r="S9" i="4" s="1"/>
  <c r="J37" i="8"/>
  <c r="I7" i="7" s="1"/>
  <c r="D9" i="4" s="1" a="1"/>
  <c r="D9" i="4" s="1"/>
  <c r="R37" i="8"/>
  <c r="Q7" i="7" s="1"/>
  <c r="L9" i="4" s="1" a="1"/>
  <c r="L9" i="4" s="1"/>
  <c r="K37" i="8"/>
  <c r="J7" i="7" s="1"/>
  <c r="E9" i="4" s="1" a="1"/>
  <c r="E9" i="4" s="1"/>
  <c r="K75" i="4"/>
  <c r="K120" i="4" s="1"/>
  <c r="D34" i="4"/>
  <c r="J75" i="4"/>
  <c r="J120" i="4" s="1"/>
  <c r="D52" i="1"/>
  <c r="C50" i="4"/>
  <c r="B34" i="4"/>
  <c r="H34" i="4"/>
  <c r="F34" i="4"/>
  <c r="E34" i="4"/>
  <c r="G34" i="4"/>
  <c r="I34" i="4"/>
  <c r="C57" i="4"/>
  <c r="C103" i="4"/>
  <c r="AI75" i="4"/>
  <c r="AI120" i="4" s="1"/>
  <c r="T75" i="4"/>
  <c r="T120" i="4" s="1"/>
  <c r="AB75" i="4"/>
  <c r="AB120" i="4" s="1"/>
  <c r="AJ75" i="4"/>
  <c r="AJ120" i="4" s="1"/>
  <c r="M75" i="4"/>
  <c r="M120" i="4" s="1"/>
  <c r="U75" i="4"/>
  <c r="U120" i="4" s="1"/>
  <c r="AC75" i="4"/>
  <c r="AC120" i="4" s="1"/>
  <c r="AK75" i="4"/>
  <c r="AK120" i="4" s="1"/>
  <c r="N75" i="4"/>
  <c r="N120" i="4" s="1"/>
  <c r="V75" i="4"/>
  <c r="V120" i="4" s="1"/>
  <c r="AD75" i="4"/>
  <c r="AD120" i="4" s="1"/>
  <c r="AL75" i="4"/>
  <c r="AL120" i="4" s="1"/>
  <c r="O75" i="4"/>
  <c r="O120" i="4" s="1"/>
  <c r="W75" i="4"/>
  <c r="W120" i="4" s="1"/>
  <c r="AE75" i="4"/>
  <c r="AE120" i="4" s="1"/>
  <c r="AM75" i="4"/>
  <c r="AM120" i="4" s="1"/>
  <c r="P75" i="4"/>
  <c r="P120" i="4" s="1"/>
  <c r="X75" i="4"/>
  <c r="X120" i="4" s="1"/>
  <c r="AF75" i="4"/>
  <c r="AF120" i="4" s="1"/>
  <c r="AN75" i="4"/>
  <c r="AN120" i="4" s="1"/>
  <c r="Q75" i="4"/>
  <c r="Q120" i="4" s="1"/>
  <c r="Y75" i="4"/>
  <c r="Y120" i="4" s="1"/>
  <c r="AG75" i="4"/>
  <c r="AG120" i="4" s="1"/>
  <c r="D33" i="25"/>
  <c r="B39" i="25" s="1"/>
  <c r="R75" i="4"/>
  <c r="R120" i="4" s="1"/>
  <c r="Z75" i="4"/>
  <c r="Z120" i="4" s="1"/>
  <c r="AH75" i="4"/>
  <c r="AH120" i="4" s="1"/>
  <c r="H33" i="25"/>
  <c r="S75" i="4"/>
  <c r="S120" i="4" s="1"/>
  <c r="AA75" i="4"/>
  <c r="AA120" i="4" s="1"/>
  <c r="F85" i="4" l="1"/>
  <c r="F44" i="4"/>
  <c r="H44" i="4"/>
  <c r="D85" i="4"/>
  <c r="D44" i="4"/>
  <c r="F116" i="4"/>
  <c r="E116" i="4"/>
  <c r="G84" i="4"/>
  <c r="G44" i="4"/>
  <c r="H116" i="4"/>
  <c r="D116" i="4"/>
  <c r="E84" i="4"/>
  <c r="E44" i="4"/>
  <c r="H13" i="4"/>
  <c r="I10" i="4"/>
  <c r="I13" i="4"/>
  <c r="E10" i="4"/>
  <c r="E13" i="4"/>
  <c r="D10" i="4"/>
  <c r="D21" i="4" s="1"/>
  <c r="D13" i="4"/>
  <c r="M35" i="4"/>
  <c r="M34" i="4" s="1"/>
  <c r="J13" i="4"/>
  <c r="G10" i="4"/>
  <c r="G13" i="4"/>
  <c r="F10" i="4"/>
  <c r="F13" i="4"/>
  <c r="M14" i="4"/>
  <c r="M104" i="4" s="1"/>
  <c r="L14" i="4"/>
  <c r="L104" i="4" s="1"/>
  <c r="I116" i="4"/>
  <c r="I84" i="4"/>
  <c r="I44" i="4"/>
  <c r="J82" i="4"/>
  <c r="J84" i="4" s="1"/>
  <c r="J14" i="4"/>
  <c r="J104" i="4" s="1"/>
  <c r="J44" i="4"/>
  <c r="AM98" i="1"/>
  <c r="BB34" i="8"/>
  <c r="AX32" i="8"/>
  <c r="AV33" i="8"/>
  <c r="Y32" i="8"/>
  <c r="AP32" i="8"/>
  <c r="Q34" i="8"/>
  <c r="AR34" i="8"/>
  <c r="AM33" i="8"/>
  <c r="S32" i="8"/>
  <c r="AR33" i="8"/>
  <c r="K32" i="8"/>
  <c r="K35" i="8" s="1"/>
  <c r="J5" i="7" s="1"/>
  <c r="E28" i="4" s="1" a="1"/>
  <c r="E28" i="4" s="1"/>
  <c r="E30" i="4" s="1"/>
  <c r="R33" i="8"/>
  <c r="BB33" i="8"/>
  <c r="AH33" i="8"/>
  <c r="BC34" i="8"/>
  <c r="N33" i="8"/>
  <c r="AP14" i="4"/>
  <c r="AP104" i="4" s="1"/>
  <c r="M32" i="8"/>
  <c r="M35" i="8" s="1"/>
  <c r="L5" i="7" s="1"/>
  <c r="G28" i="4" s="1" a="1"/>
  <c r="G28" i="4" s="1"/>
  <c r="V33" i="8"/>
  <c r="T20" i="4"/>
  <c r="O32" i="8"/>
  <c r="AQ33" i="8"/>
  <c r="AC33" i="8"/>
  <c r="T34" i="8"/>
  <c r="AD33" i="8"/>
  <c r="N32" i="8"/>
  <c r="N35" i="8" s="1"/>
  <c r="M5" i="7" s="1"/>
  <c r="H28" i="4" s="1" a="1"/>
  <c r="H28" i="4" s="1"/>
  <c r="H30" i="4" s="1"/>
  <c r="AF33" i="8"/>
  <c r="AP20" i="4"/>
  <c r="AW33" i="8"/>
  <c r="W89" i="4"/>
  <c r="AM89" i="4"/>
  <c r="J15" i="4"/>
  <c r="BA33" i="8"/>
  <c r="AZ34" i="8"/>
  <c r="AU33" i="8"/>
  <c r="J30" i="4"/>
  <c r="L32" i="8"/>
  <c r="L35" i="8" s="1"/>
  <c r="K5" i="7" s="1"/>
  <c r="F28" i="4" s="1" a="1"/>
  <c r="F28" i="4" s="1"/>
  <c r="F30" i="4" s="1"/>
  <c r="L33" i="8"/>
  <c r="AI33" i="8"/>
  <c r="BA34" i="8"/>
  <c r="AV32" i="8"/>
  <c r="AB33" i="8"/>
  <c r="U20" i="4"/>
  <c r="BC33" i="8"/>
  <c r="AK14" i="4"/>
  <c r="AK104" i="4" s="1"/>
  <c r="AO20" i="4"/>
  <c r="AP33" i="8"/>
  <c r="R32" i="8"/>
  <c r="AI34" i="8"/>
  <c r="R14" i="4"/>
  <c r="R104" i="4" s="1"/>
  <c r="AW34" i="8"/>
  <c r="AQ34" i="8"/>
  <c r="Y33" i="8"/>
  <c r="AG33" i="8"/>
  <c r="AZ33" i="8"/>
  <c r="T33" i="8"/>
  <c r="V32" i="8"/>
  <c r="AC34" i="8"/>
  <c r="AS34" i="8"/>
  <c r="P89" i="4"/>
  <c r="M20" i="4"/>
  <c r="S34" i="8"/>
  <c r="T32" i="8"/>
  <c r="BF35" i="8"/>
  <c r="AL14" i="4"/>
  <c r="AL104" i="4" s="1"/>
  <c r="AL33" i="8"/>
  <c r="AW32" i="8"/>
  <c r="W33" i="8"/>
  <c r="X33" i="8"/>
  <c r="T89" i="4"/>
  <c r="S82" i="4"/>
  <c r="AK32" i="8"/>
  <c r="AH32" i="8"/>
  <c r="AL34" i="8"/>
  <c r="I89" i="4"/>
  <c r="I91" i="4" s="1"/>
  <c r="R34" i="8"/>
  <c r="U14" i="4"/>
  <c r="U104" i="4" s="1"/>
  <c r="H20" i="4"/>
  <c r="G20" i="4"/>
  <c r="AL20" i="4"/>
  <c r="AK20" i="4"/>
  <c r="AA14" i="4"/>
  <c r="AA104" i="4" s="1"/>
  <c r="AU36" i="8"/>
  <c r="P6" i="7"/>
  <c r="K11" i="4" s="1" a="1"/>
  <c r="K11" i="4" s="1"/>
  <c r="M82" i="4" s="1"/>
  <c r="K33" i="8"/>
  <c r="AX33" i="8"/>
  <c r="V34" i="8"/>
  <c r="P34" i="8"/>
  <c r="BF27" i="8"/>
  <c r="M33" i="8"/>
  <c r="AA34" i="8"/>
  <c r="BC32" i="8"/>
  <c r="W32" i="8"/>
  <c r="AA32" i="8"/>
  <c r="R20" i="4"/>
  <c r="W12" i="4"/>
  <c r="P33" i="8"/>
  <c r="BF26" i="8"/>
  <c r="AK34" i="8"/>
  <c r="AB34" i="8"/>
  <c r="AG32" i="8"/>
  <c r="BB32" i="8"/>
  <c r="AV20" i="4"/>
  <c r="D23" i="4"/>
  <c r="AU42" i="8"/>
  <c r="X32" i="8"/>
  <c r="M34" i="8"/>
  <c r="AD34" i="8"/>
  <c r="AG34" i="8"/>
  <c r="AB32" i="8"/>
  <c r="AL32" i="8"/>
  <c r="AI32" i="8"/>
  <c r="AS32" i="8"/>
  <c r="AU41" i="8"/>
  <c r="P11" i="7"/>
  <c r="Q33" i="8"/>
  <c r="AU39" i="8"/>
  <c r="AM20" i="4"/>
  <c r="F20" i="4"/>
  <c r="E20" i="4"/>
  <c r="P32" i="8"/>
  <c r="BF25" i="8"/>
  <c r="N34" i="8"/>
  <c r="AH34" i="8"/>
  <c r="AC32" i="8"/>
  <c r="AM32" i="8"/>
  <c r="AF32" i="8"/>
  <c r="AQ32" i="8"/>
  <c r="I20" i="4"/>
  <c r="AE20" i="4"/>
  <c r="AU44" i="8"/>
  <c r="P14" i="7"/>
  <c r="AV34" i="8"/>
  <c r="AP34" i="8"/>
  <c r="AS33" i="8"/>
  <c r="AD32" i="8"/>
  <c r="AR32" i="8"/>
  <c r="O34" i="8"/>
  <c r="W34" i="8"/>
  <c r="K34" i="8"/>
  <c r="AM34" i="8"/>
  <c r="AZ32" i="8"/>
  <c r="AN32" i="8"/>
  <c r="O20" i="4"/>
  <c r="AT20" i="4"/>
  <c r="AS20" i="4"/>
  <c r="AU38" i="8"/>
  <c r="P8" i="7"/>
  <c r="K8" i="4" s="1" a="1"/>
  <c r="K8" i="4" s="1"/>
  <c r="AG35" i="4" s="1"/>
  <c r="AG34" i="4" s="1"/>
  <c r="AG84" i="4" s="1"/>
  <c r="AX34" i="8"/>
  <c r="Q32" i="8"/>
  <c r="X34" i="8"/>
  <c r="L34" i="8"/>
  <c r="AN34" i="8"/>
  <c r="AU32" i="8"/>
  <c r="AF34" i="8"/>
  <c r="BA32" i="8"/>
  <c r="AB20" i="4"/>
  <c r="O89" i="4"/>
  <c r="AH30" i="4"/>
  <c r="AN12" i="4"/>
  <c r="AR20" i="4"/>
  <c r="AG20" i="4"/>
  <c r="AG14" i="4"/>
  <c r="AG104" i="4" s="1"/>
  <c r="Q14" i="4"/>
  <c r="Q104" i="4" s="1"/>
  <c r="I12" i="4"/>
  <c r="L12" i="4"/>
  <c r="AW14" i="4"/>
  <c r="AW104" i="4" s="1"/>
  <c r="Q30" i="4"/>
  <c r="F23" i="4"/>
  <c r="U30" i="4"/>
  <c r="AI20" i="4"/>
  <c r="R23" i="4"/>
  <c r="AD12" i="4"/>
  <c r="AG23" i="4"/>
  <c r="AU89" i="4"/>
  <c r="E89" i="4"/>
  <c r="E91" i="4" s="1"/>
  <c r="R89" i="4"/>
  <c r="R30" i="4"/>
  <c r="R82" i="4"/>
  <c r="AL89" i="4"/>
  <c r="O14" i="4"/>
  <c r="O104" i="4" s="1"/>
  <c r="X12" i="4"/>
  <c r="T14" i="4"/>
  <c r="T104" i="4" s="1"/>
  <c r="Z89" i="4"/>
  <c r="X89" i="4"/>
  <c r="S89" i="4"/>
  <c r="P30" i="4"/>
  <c r="AT89" i="4"/>
  <c r="AN89" i="4"/>
  <c r="AI89" i="4"/>
  <c r="AL12" i="4"/>
  <c r="AW89" i="4"/>
  <c r="O82" i="4"/>
  <c r="AC89" i="4"/>
  <c r="AQ89" i="4"/>
  <c r="AV14" i="4"/>
  <c r="AV104" i="4" s="1"/>
  <c r="O30" i="4"/>
  <c r="Z20" i="4"/>
  <c r="X14" i="4"/>
  <c r="X104" i="4" s="1"/>
  <c r="AC30" i="4"/>
  <c r="N12" i="4"/>
  <c r="AV12" i="4"/>
  <c r="AB14" i="4"/>
  <c r="AB104" i="4" s="1"/>
  <c r="S30" i="4"/>
  <c r="AF12" i="4"/>
  <c r="AN20" i="4"/>
  <c r="AR23" i="4"/>
  <c r="O12" i="4"/>
  <c r="W23" i="4"/>
  <c r="M12" i="4"/>
  <c r="Z14" i="4"/>
  <c r="Z104" i="4" s="1"/>
  <c r="AJ20" i="4"/>
  <c r="L30" i="4"/>
  <c r="AQ20" i="4"/>
  <c r="J20" i="4"/>
  <c r="Y23" i="4"/>
  <c r="AT14" i="4"/>
  <c r="AT104" i="4" s="1"/>
  <c r="AW20" i="4"/>
  <c r="X20" i="4"/>
  <c r="AF23" i="4"/>
  <c r="N82" i="4"/>
  <c r="AJ89" i="4"/>
  <c r="H89" i="4"/>
  <c r="H91" i="4" s="1"/>
  <c r="AS89" i="4"/>
  <c r="J89" i="4"/>
  <c r="J91" i="4" s="1"/>
  <c r="AA89" i="4"/>
  <c r="AE89" i="4"/>
  <c r="S14" i="4"/>
  <c r="S104" i="4" s="1"/>
  <c r="P14" i="4"/>
  <c r="P104" i="4" s="1"/>
  <c r="AF89" i="4"/>
  <c r="O6" i="5"/>
  <c r="S12" i="4"/>
  <c r="AQ14" i="4"/>
  <c r="AQ104" i="4" s="1"/>
  <c r="AQ23" i="4"/>
  <c r="U89" i="4"/>
  <c r="L89" i="4"/>
  <c r="Q89" i="4"/>
  <c r="AH89" i="4"/>
  <c r="AL30" i="4"/>
  <c r="AV89" i="4"/>
  <c r="AK89" i="4"/>
  <c r="AB89" i="4"/>
  <c r="Y89" i="4"/>
  <c r="AP89" i="4"/>
  <c r="Q82" i="4"/>
  <c r="W20" i="4"/>
  <c r="N89" i="4"/>
  <c r="F89" i="4"/>
  <c r="F91" i="4" s="1"/>
  <c r="AR89" i="4"/>
  <c r="AX89" i="4"/>
  <c r="G89" i="4"/>
  <c r="G91" i="4" s="1"/>
  <c r="Q20" i="4"/>
  <c r="U12" i="4"/>
  <c r="P82" i="4"/>
  <c r="AG89" i="4"/>
  <c r="AD89" i="4"/>
  <c r="D89" i="4"/>
  <c r="D91" i="4" s="1"/>
  <c r="V89" i="4"/>
  <c r="M89" i="4"/>
  <c r="AO89" i="4"/>
  <c r="K89" i="4"/>
  <c r="K30" i="4"/>
  <c r="W30" i="4"/>
  <c r="J10" i="4"/>
  <c r="P20" i="4"/>
  <c r="AM14" i="4"/>
  <c r="AM104" i="4" s="1"/>
  <c r="AM23" i="4"/>
  <c r="W14" i="4"/>
  <c r="W104" i="4" s="1"/>
  <c r="M30" i="4"/>
  <c r="AG30" i="4"/>
  <c r="AA30" i="4"/>
  <c r="AJ23" i="4"/>
  <c r="AD35" i="4"/>
  <c r="AD34" i="4" s="1"/>
  <c r="AD85" i="4" s="1"/>
  <c r="AE23" i="4"/>
  <c r="AC35" i="4"/>
  <c r="AC34" i="4" s="1"/>
  <c r="AC84" i="4" s="1"/>
  <c r="AO23" i="4"/>
  <c r="AX23" i="4"/>
  <c r="AI23" i="4"/>
  <c r="L23" i="4"/>
  <c r="M23" i="4"/>
  <c r="S35" i="4"/>
  <c r="S34" i="4" s="1"/>
  <c r="S44" i="4" s="1"/>
  <c r="AK30" i="4"/>
  <c r="AX20" i="4"/>
  <c r="I30" i="4"/>
  <c r="AM30" i="4"/>
  <c r="Y30" i="4"/>
  <c r="D30" i="4"/>
  <c r="AI30" i="4"/>
  <c r="AE30" i="4"/>
  <c r="AN30" i="4"/>
  <c r="AL23" i="4"/>
  <c r="AS23" i="4"/>
  <c r="AA12" i="4"/>
  <c r="AR14" i="4"/>
  <c r="AR104" i="4" s="1"/>
  <c r="AH23" i="4"/>
  <c r="Y35" i="4"/>
  <c r="Y34" i="4" s="1"/>
  <c r="Y84" i="4" s="1"/>
  <c r="AX35" i="4"/>
  <c r="AX34" i="4" s="1"/>
  <c r="AD23" i="4"/>
  <c r="AK23" i="4"/>
  <c r="AK35" i="4"/>
  <c r="AK34" i="4" s="1"/>
  <c r="AK84" i="4" s="1"/>
  <c r="Y14" i="4"/>
  <c r="Y104" i="4" s="1"/>
  <c r="N20" i="4"/>
  <c r="AP35" i="4"/>
  <c r="AP34" i="4" s="1"/>
  <c r="AP85" i="4" s="1"/>
  <c r="X23" i="4"/>
  <c r="X30" i="4"/>
  <c r="AF35" i="4"/>
  <c r="AF34" i="4" s="1"/>
  <c r="AF85" i="4" s="1"/>
  <c r="AF30" i="4"/>
  <c r="AB30" i="4"/>
  <c r="V35" i="4"/>
  <c r="V34" i="4" s="1"/>
  <c r="V44" i="4" s="1"/>
  <c r="S23" i="4"/>
  <c r="S20" i="4"/>
  <c r="AR35" i="4"/>
  <c r="AR34" i="4" s="1"/>
  <c r="AR84" i="4" s="1"/>
  <c r="N23" i="4"/>
  <c r="U23" i="4"/>
  <c r="AO35" i="4"/>
  <c r="AO34" i="4" s="1"/>
  <c r="AO84" i="4" s="1"/>
  <c r="AT35" i="4"/>
  <c r="AT34" i="4" s="1"/>
  <c r="AT85" i="4" s="1"/>
  <c r="AS35" i="4"/>
  <c r="AS34" i="4" s="1"/>
  <c r="AS85" i="4" s="1"/>
  <c r="AJ14" i="4"/>
  <c r="AJ104" i="4" s="1"/>
  <c r="P23" i="4"/>
  <c r="T35" i="4"/>
  <c r="T34" i="4" s="1"/>
  <c r="T85" i="4" s="1"/>
  <c r="AU12" i="4"/>
  <c r="AD14" i="4"/>
  <c r="AD104" i="4" s="1"/>
  <c r="N14" i="4"/>
  <c r="Y20" i="4"/>
  <c r="AD20" i="4"/>
  <c r="Z35" i="4"/>
  <c r="Z34" i="4" s="1"/>
  <c r="Z84" i="4" s="1"/>
  <c r="Q23" i="4"/>
  <c r="AB23" i="4"/>
  <c r="AP23" i="4"/>
  <c r="O23" i="4"/>
  <c r="Z23" i="4"/>
  <c r="G12" i="4"/>
  <c r="AN14" i="4"/>
  <c r="AJ35" i="4"/>
  <c r="AJ34" i="4" s="1"/>
  <c r="AJ84" i="4" s="1"/>
  <c r="AT23" i="4"/>
  <c r="E23" i="4"/>
  <c r="AX14" i="4"/>
  <c r="AX104" i="4" s="1"/>
  <c r="I23" i="4"/>
  <c r="AB35" i="4"/>
  <c r="AB34" i="4" s="1"/>
  <c r="AB44" i="4" s="1"/>
  <c r="AQ35" i="4"/>
  <c r="AQ34" i="4" s="1"/>
  <c r="AQ85" i="4" s="1"/>
  <c r="AH20" i="4"/>
  <c r="H23" i="4"/>
  <c r="AU14" i="4"/>
  <c r="AU104" i="4" s="1"/>
  <c r="G23" i="4"/>
  <c r="F12" i="4"/>
  <c r="J23" i="4"/>
  <c r="R12" i="4"/>
  <c r="AD30" i="4"/>
  <c r="AS14" i="4"/>
  <c r="AS104" i="4" s="1"/>
  <c r="AH14" i="4"/>
  <c r="AH104" i="4" s="1"/>
  <c r="AI35" i="4"/>
  <c r="AI34" i="4" s="1"/>
  <c r="AI44" i="4" s="1"/>
  <c r="AW23" i="4"/>
  <c r="AU20" i="4"/>
  <c r="AV23" i="4"/>
  <c r="AU23" i="4"/>
  <c r="P12" i="4"/>
  <c r="R35" i="4"/>
  <c r="R34" i="4" s="1"/>
  <c r="R44" i="4" s="1"/>
  <c r="W35" i="4"/>
  <c r="W34" i="4" s="1"/>
  <c r="W44" i="4" s="1"/>
  <c r="O35" i="4"/>
  <c r="O34" i="4" s="1"/>
  <c r="O44" i="4" s="1"/>
  <c r="AL35" i="4"/>
  <c r="AL34" i="4" s="1"/>
  <c r="AL84" i="4" s="1"/>
  <c r="AM35" i="4"/>
  <c r="AM34" i="4" s="1"/>
  <c r="AM84" i="4" s="1"/>
  <c r="AO12" i="4"/>
  <c r="AC14" i="4"/>
  <c r="AC104" i="4" s="1"/>
  <c r="AA35" i="4"/>
  <c r="AA34" i="4" s="1"/>
  <c r="AA85" i="4" s="1"/>
  <c r="AS12" i="4"/>
  <c r="AA23" i="4"/>
  <c r="AF20" i="4"/>
  <c r="T23" i="4"/>
  <c r="AF14" i="4"/>
  <c r="AF104" i="4" s="1"/>
  <c r="AJ30" i="4"/>
  <c r="Z12" i="4"/>
  <c r="AJ12" i="4"/>
  <c r="L20" i="4"/>
  <c r="D12" i="4"/>
  <c r="AC20" i="4"/>
  <c r="AA20" i="4"/>
  <c r="Z30" i="4"/>
  <c r="N30" i="4"/>
  <c r="AT12" i="4"/>
  <c r="AW12" i="4"/>
  <c r="AH12" i="4"/>
  <c r="AR12" i="4"/>
  <c r="D22" i="4"/>
  <c r="V30" i="4"/>
  <c r="AC12" i="4"/>
  <c r="AK12" i="4"/>
  <c r="AP12" i="4"/>
  <c r="J12" i="4"/>
  <c r="AI12" i="4"/>
  <c r="V14" i="4"/>
  <c r="V104" i="4" s="1"/>
  <c r="AO14" i="4"/>
  <c r="AO104" i="4" s="1"/>
  <c r="AE14" i="4"/>
  <c r="AE104" i="4" s="1"/>
  <c r="AE12" i="4"/>
  <c r="T12" i="4"/>
  <c r="AB12" i="4"/>
  <c r="AX12" i="4"/>
  <c r="Y12" i="4"/>
  <c r="V23" i="4"/>
  <c r="AC23" i="4"/>
  <c r="V20" i="4"/>
  <c r="V12" i="4"/>
  <c r="Q12" i="4"/>
  <c r="AN23" i="4"/>
  <c r="AM12" i="4"/>
  <c r="AQ12" i="4"/>
  <c r="AI14" i="4"/>
  <c r="AI104" i="4" s="1"/>
  <c r="T30" i="4"/>
  <c r="AG12" i="4"/>
  <c r="D84" i="4"/>
  <c r="AU43" i="8"/>
  <c r="H12" i="4"/>
  <c r="H10" i="4"/>
  <c r="H21" i="4" s="1"/>
  <c r="E12" i="4"/>
  <c r="AU40" i="8"/>
  <c r="P10" i="7"/>
  <c r="F84" i="4"/>
  <c r="P7" i="7"/>
  <c r="K9" i="4" s="1" a="1"/>
  <c r="K9" i="4" s="1"/>
  <c r="K12" i="4" s="1"/>
  <c r="AU37" i="8"/>
  <c r="G85" i="4"/>
  <c r="H85" i="4"/>
  <c r="H84" i="4"/>
  <c r="D76" i="4"/>
  <c r="I85" i="4"/>
  <c r="B115" i="4"/>
  <c r="B56" i="1"/>
  <c r="F105" i="1" s="1"/>
  <c r="G21" i="4"/>
  <c r="F21" i="4"/>
  <c r="E85" i="4"/>
  <c r="E21" i="4"/>
  <c r="B102" i="4"/>
  <c r="B54" i="1"/>
  <c r="F103" i="1" s="1"/>
  <c r="I46" i="4" l="1"/>
  <c r="H46" i="4"/>
  <c r="F46" i="4"/>
  <c r="D46" i="4"/>
  <c r="G46" i="4"/>
  <c r="E46" i="4"/>
  <c r="J21" i="4"/>
  <c r="N35" i="4"/>
  <c r="N34" i="4" s="1"/>
  <c r="N44" i="4" s="1"/>
  <c r="I21" i="4"/>
  <c r="AW35" i="4"/>
  <c r="AW34" i="4" s="1"/>
  <c r="AW84" i="4" s="1"/>
  <c r="Q35" i="4"/>
  <c r="Q34" i="4" s="1"/>
  <c r="Q44" i="4" s="1"/>
  <c r="AV35" i="4"/>
  <c r="AV34" i="4" s="1"/>
  <c r="AV85" i="4" s="1"/>
  <c r="AE35" i="4"/>
  <c r="AE34" i="4" s="1"/>
  <c r="AE44" i="4" s="1"/>
  <c r="D24" i="4"/>
  <c r="B30" i="1" s="1"/>
  <c r="U35" i="4"/>
  <c r="U34" i="4" s="1"/>
  <c r="U84" i="4" s="1"/>
  <c r="P35" i="4"/>
  <c r="P34" i="4" s="1"/>
  <c r="P44" i="4" s="1"/>
  <c r="M84" i="4"/>
  <c r="AU35" i="4"/>
  <c r="AU34" i="4" s="1"/>
  <c r="AU84" i="4" s="1"/>
  <c r="K82" i="4"/>
  <c r="L82" i="4"/>
  <c r="AH35" i="4"/>
  <c r="AH34" i="4" s="1"/>
  <c r="AH84" i="4" s="1"/>
  <c r="M44" i="4"/>
  <c r="L35" i="4"/>
  <c r="L34" i="4" s="1"/>
  <c r="L44" i="4" s="1"/>
  <c r="V84" i="4"/>
  <c r="M91" i="4"/>
  <c r="X35" i="4"/>
  <c r="X34" i="4" s="1"/>
  <c r="X84" i="4" s="1"/>
  <c r="K14" i="4"/>
  <c r="K104" i="4" s="1"/>
  <c r="V85" i="4"/>
  <c r="AN35" i="4"/>
  <c r="AN34" i="4" s="1"/>
  <c r="AN85" i="4" s="1"/>
  <c r="K13" i="4"/>
  <c r="Y85" i="4"/>
  <c r="U44" i="4"/>
  <c r="AF84" i="4"/>
  <c r="AC85" i="4"/>
  <c r="AC44" i="4"/>
  <c r="AL44" i="4"/>
  <c r="AH85" i="4"/>
  <c r="AM91" i="4"/>
  <c r="AE85" i="4"/>
  <c r="AI91" i="4"/>
  <c r="AM85" i="4"/>
  <c r="AQ84" i="4"/>
  <c r="AS91" i="4"/>
  <c r="AG91" i="4"/>
  <c r="AP84" i="4"/>
  <c r="AT84" i="4"/>
  <c r="AS84" i="4"/>
  <c r="AH91" i="4"/>
  <c r="AD44" i="4"/>
  <c r="AJ85" i="4"/>
  <c r="AD84" i="4"/>
  <c r="T84" i="4"/>
  <c r="AK44" i="4"/>
  <c r="I48" i="4"/>
  <c r="I97" i="4" s="1"/>
  <c r="Y44" i="4"/>
  <c r="AO85" i="4"/>
  <c r="AK85" i="4"/>
  <c r="O91" i="4"/>
  <c r="S84" i="4"/>
  <c r="T44" i="4"/>
  <c r="AA44" i="4"/>
  <c r="AA84" i="4"/>
  <c r="T91" i="4"/>
  <c r="W84" i="4"/>
  <c r="AX85" i="4"/>
  <c r="AX84" i="4"/>
  <c r="AF91" i="4"/>
  <c r="AJ91" i="4"/>
  <c r="AQ91" i="4"/>
  <c r="AT91" i="4"/>
  <c r="AL91" i="4"/>
  <c r="W91" i="4"/>
  <c r="W85" i="4"/>
  <c r="AO91" i="4"/>
  <c r="Q84" i="4"/>
  <c r="Q91" i="4"/>
  <c r="AC91" i="4"/>
  <c r="R84" i="4"/>
  <c r="AB85" i="4"/>
  <c r="AL85" i="4"/>
  <c r="AF44" i="4"/>
  <c r="AM44" i="4"/>
  <c r="AG85" i="4"/>
  <c r="AP91" i="4"/>
  <c r="O84" i="4"/>
  <c r="S91" i="4"/>
  <c r="Z85" i="4"/>
  <c r="AI85" i="4"/>
  <c r="AR85" i="4"/>
  <c r="AJ44" i="4"/>
  <c r="V91" i="4"/>
  <c r="Y91" i="4"/>
  <c r="AE91" i="4"/>
  <c r="AW91" i="4"/>
  <c r="X91" i="4"/>
  <c r="R91" i="4"/>
  <c r="K20" i="4"/>
  <c r="K35" i="4"/>
  <c r="K34" i="4" s="1"/>
  <c r="K91" i="4" s="1"/>
  <c r="AB84" i="4"/>
  <c r="AX91" i="4"/>
  <c r="AB91" i="4"/>
  <c r="AA91" i="4"/>
  <c r="Z91" i="4"/>
  <c r="Z44" i="4"/>
  <c r="AI84" i="4"/>
  <c r="AW85" i="4"/>
  <c r="AG44" i="4"/>
  <c r="AD91" i="4"/>
  <c r="AR91" i="4"/>
  <c r="AK91" i="4"/>
  <c r="AU91" i="4"/>
  <c r="J105" i="4"/>
  <c r="J16" i="4"/>
  <c r="J116" i="4" s="1"/>
  <c r="H22" i="4"/>
  <c r="AN98" i="1"/>
  <c r="J46" i="4"/>
  <c r="K46" i="4"/>
  <c r="L46" i="4"/>
  <c r="M46" i="4"/>
  <c r="G30" i="4"/>
  <c r="F22" i="4"/>
  <c r="K23" i="4"/>
  <c r="V46" i="4"/>
  <c r="P46" i="4"/>
  <c r="S46" i="4"/>
  <c r="N46" i="4"/>
  <c r="N104" i="4"/>
  <c r="U46" i="4"/>
  <c r="AB46" i="4"/>
  <c r="AM46" i="4"/>
  <c r="W46" i="4"/>
  <c r="J22" i="4"/>
  <c r="G22" i="4"/>
  <c r="AH46" i="4"/>
  <c r="O46" i="4"/>
  <c r="Y46" i="4"/>
  <c r="E45" i="4"/>
  <c r="R46" i="4"/>
  <c r="Z46" i="4"/>
  <c r="E22" i="4"/>
  <c r="AJ46" i="4"/>
  <c r="X46" i="4"/>
  <c r="AL46" i="4"/>
  <c r="AC46" i="4"/>
  <c r="T46" i="4"/>
  <c r="AN46" i="4"/>
  <c r="AA46" i="4"/>
  <c r="I22" i="4"/>
  <c r="AE46" i="4"/>
  <c r="AD46" i="4"/>
  <c r="Q46" i="4"/>
  <c r="D45" i="4"/>
  <c r="I47" i="4" s="1"/>
  <c r="I102" i="4" s="1"/>
  <c r="AK46" i="4"/>
  <c r="AG46" i="4"/>
  <c r="AN104" i="4"/>
  <c r="AI46" i="4"/>
  <c r="AF46" i="4"/>
  <c r="D77" i="4"/>
  <c r="H27" i="26" s="1"/>
  <c r="F27" i="26" s="1"/>
  <c r="D78" i="4"/>
  <c r="D121" i="4" s="1"/>
  <c r="AE84" i="4" l="1"/>
  <c r="U91" i="4"/>
  <c r="U85" i="4"/>
  <c r="AN91" i="4"/>
  <c r="E48" i="4"/>
  <c r="E97" i="4" s="1"/>
  <c r="E47" i="4"/>
  <c r="E102" i="4" s="1"/>
  <c r="G48" i="4"/>
  <c r="G97" i="4" s="1"/>
  <c r="G47" i="4"/>
  <c r="G102" i="4" s="1"/>
  <c r="D47" i="4"/>
  <c r="D102" i="4" s="1"/>
  <c r="D48" i="4"/>
  <c r="D97" i="4" s="1"/>
  <c r="F48" i="4"/>
  <c r="F97" i="4" s="1"/>
  <c r="F47" i="4"/>
  <c r="F102" i="4" s="1"/>
  <c r="H47" i="4"/>
  <c r="H102" i="4" s="1"/>
  <c r="H48" i="4"/>
  <c r="H97" i="4" s="1"/>
  <c r="AH44" i="4"/>
  <c r="AH47" i="4" s="1"/>
  <c r="AH102" i="4" s="1"/>
  <c r="N84" i="4"/>
  <c r="P84" i="4"/>
  <c r="P91" i="4"/>
  <c r="N91" i="4"/>
  <c r="AV91" i="4"/>
  <c r="AU85" i="4"/>
  <c r="AV84" i="4"/>
  <c r="AN44" i="4"/>
  <c r="AN47" i="4" s="1"/>
  <c r="AN48" i="4" s="1"/>
  <c r="AN97" i="4" s="1"/>
  <c r="AN84" i="4"/>
  <c r="L91" i="4"/>
  <c r="L84" i="4"/>
  <c r="X44" i="4"/>
  <c r="X47" i="4" s="1"/>
  <c r="X102" i="4" s="1"/>
  <c r="X85" i="4"/>
  <c r="K44" i="4"/>
  <c r="K47" i="4" s="1"/>
  <c r="K102" i="4" s="1"/>
  <c r="K84" i="4"/>
  <c r="K10" i="4"/>
  <c r="K21" i="4" s="1"/>
  <c r="K15" i="4"/>
  <c r="K22" i="4"/>
  <c r="L47" i="4"/>
  <c r="L102" i="4" s="1"/>
  <c r="J47" i="4"/>
  <c r="J102" i="4" s="1"/>
  <c r="J48" i="4"/>
  <c r="J97" i="4" s="1"/>
  <c r="M47" i="4"/>
  <c r="M102" i="4" s="1"/>
  <c r="L13" i="4"/>
  <c r="L15" i="4" s="1"/>
  <c r="AD47" i="4"/>
  <c r="AD102" i="4" s="1"/>
  <c r="T47" i="4"/>
  <c r="T102" i="4" s="1"/>
  <c r="AF47" i="4"/>
  <c r="AF102" i="4" s="1"/>
  <c r="AC47" i="4"/>
  <c r="AC102" i="4" s="1"/>
  <c r="Y47" i="4"/>
  <c r="Y102" i="4" s="1"/>
  <c r="S47" i="4"/>
  <c r="O47" i="4"/>
  <c r="O102" i="4" s="1"/>
  <c r="AL47" i="4"/>
  <c r="AL102" i="4" s="1"/>
  <c r="Q47" i="4"/>
  <c r="Q102" i="4" s="1"/>
  <c r="AI47" i="4"/>
  <c r="AI102" i="4" s="1"/>
  <c r="AJ47" i="4"/>
  <c r="AJ102" i="4" s="1"/>
  <c r="P47" i="4"/>
  <c r="P102" i="4" s="1"/>
  <c r="AB47" i="4"/>
  <c r="AB102" i="4" s="1"/>
  <c r="V47" i="4"/>
  <c r="V102" i="4" s="1"/>
  <c r="AG47" i="4"/>
  <c r="AG102" i="4" s="1"/>
  <c r="W47" i="4"/>
  <c r="W102" i="4" s="1"/>
  <c r="AE47" i="4"/>
  <c r="AE102" i="4" s="1"/>
  <c r="AK47" i="4"/>
  <c r="AK102" i="4" s="1"/>
  <c r="R47" i="4"/>
  <c r="R102" i="4" s="1"/>
  <c r="AM47" i="4"/>
  <c r="AM102" i="4" s="1"/>
  <c r="AA47" i="4"/>
  <c r="AA102" i="4" s="1"/>
  <c r="Z47" i="4"/>
  <c r="Z102" i="4" s="1"/>
  <c r="V103" i="1" s="1"/>
  <c r="U47" i="4"/>
  <c r="U102" i="4" s="1"/>
  <c r="N47" i="4"/>
  <c r="D50" i="4" l="1"/>
  <c r="D106" i="4" s="1"/>
  <c r="AF48" i="4"/>
  <c r="AF97" i="4" s="1"/>
  <c r="L103" i="1"/>
  <c r="K103" i="1"/>
  <c r="M13" i="4"/>
  <c r="M15" i="4" s="1"/>
  <c r="M105" i="4" s="1"/>
  <c r="L10" i="4"/>
  <c r="L21" i="4" s="1"/>
  <c r="L22" i="4"/>
  <c r="AC103" i="1"/>
  <c r="AN99" i="1"/>
  <c r="K48" i="4"/>
  <c r="K97" i="4" s="1"/>
  <c r="D54" i="1"/>
  <c r="Q103" i="1"/>
  <c r="L105" i="4"/>
  <c r="L16" i="4"/>
  <c r="L116" i="4" s="1"/>
  <c r="K105" i="4"/>
  <c r="K16" i="4"/>
  <c r="K116" i="4" s="1"/>
  <c r="AB103" i="1"/>
  <c r="M48" i="4"/>
  <c r="M97" i="4" s="1"/>
  <c r="T103" i="1"/>
  <c r="W103" i="1"/>
  <c r="U103" i="1"/>
  <c r="Z103" i="1"/>
  <c r="L48" i="4"/>
  <c r="L97" i="4" s="1"/>
  <c r="AF103" i="1"/>
  <c r="AA103" i="1"/>
  <c r="AE103" i="1"/>
  <c r="Y103" i="1"/>
  <c r="N48" i="4"/>
  <c r="N97" i="4" s="1"/>
  <c r="P103" i="1"/>
  <c r="AD103" i="1"/>
  <c r="AH103" i="1"/>
  <c r="AL103" i="1"/>
  <c r="AG103" i="1"/>
  <c r="AK103" i="1"/>
  <c r="AI103" i="1"/>
  <c r="X103" i="1"/>
  <c r="E50" i="4"/>
  <c r="P48" i="4"/>
  <c r="P97" i="4" s="1"/>
  <c r="T48" i="4"/>
  <c r="T97" i="4" s="1"/>
  <c r="AD48" i="4"/>
  <c r="AD97" i="4" s="1"/>
  <c r="Y48" i="4"/>
  <c r="Y97" i="4" s="1"/>
  <c r="AC48" i="4"/>
  <c r="AC97" i="4" s="1"/>
  <c r="AN102" i="4"/>
  <c r="AM103" i="1" s="1"/>
  <c r="S102" i="4"/>
  <c r="R103" i="1" s="1"/>
  <c r="AJ48" i="4"/>
  <c r="AJ97" i="4" s="1"/>
  <c r="F54" i="1"/>
  <c r="AB48" i="4"/>
  <c r="AB97" i="4" s="1"/>
  <c r="V48" i="4"/>
  <c r="V97" i="4" s="1"/>
  <c r="S48" i="4"/>
  <c r="AI48" i="4"/>
  <c r="AI97" i="4" s="1"/>
  <c r="N102" i="4"/>
  <c r="J103" i="1" s="1"/>
  <c r="AK48" i="4"/>
  <c r="AK97" i="4" s="1"/>
  <c r="AH48" i="4"/>
  <c r="AH97" i="4" s="1"/>
  <c r="AE48" i="4"/>
  <c r="AE97" i="4" s="1"/>
  <c r="AL48" i="4"/>
  <c r="AL97" i="4" s="1"/>
  <c r="O48" i="4"/>
  <c r="O97" i="4" s="1"/>
  <c r="AM48" i="4"/>
  <c r="AM97" i="4" s="1"/>
  <c r="Q48" i="4"/>
  <c r="Q97" i="4" s="1"/>
  <c r="R48" i="4"/>
  <c r="R97" i="4" s="1"/>
  <c r="Z48" i="4"/>
  <c r="Z97" i="4" s="1"/>
  <c r="AG48" i="4"/>
  <c r="AG97" i="4" s="1"/>
  <c r="W48" i="4"/>
  <c r="W97" i="4" s="1"/>
  <c r="U48" i="4"/>
  <c r="U97" i="4" s="1"/>
  <c r="AA48" i="4"/>
  <c r="AA97" i="4" s="1"/>
  <c r="X48" i="4"/>
  <c r="X97" i="4" s="1"/>
  <c r="D49" i="4" l="1"/>
  <c r="D99" i="4" s="1"/>
  <c r="H54" i="1"/>
  <c r="H103" i="1" s="1"/>
  <c r="M103" i="1"/>
  <c r="J99" i="1"/>
  <c r="N13" i="4"/>
  <c r="Y99" i="1"/>
  <c r="M10" i="4"/>
  <c r="M21" i="4" s="1"/>
  <c r="M22" i="4"/>
  <c r="K99" i="1"/>
  <c r="M16" i="4"/>
  <c r="M116" i="4" s="1"/>
  <c r="AF99" i="1"/>
  <c r="O103" i="1"/>
  <c r="V99" i="1"/>
  <c r="AC99" i="1"/>
  <c r="M99" i="1"/>
  <c r="Q99" i="1"/>
  <c r="P99" i="1"/>
  <c r="L99" i="1"/>
  <c r="X99" i="1"/>
  <c r="S103" i="1"/>
  <c r="AA99" i="1"/>
  <c r="AD99" i="1"/>
  <c r="AB99" i="1"/>
  <c r="AG99" i="1"/>
  <c r="AK99" i="1"/>
  <c r="AJ99" i="1"/>
  <c r="N99" i="1"/>
  <c r="AJ103" i="1"/>
  <c r="AN103" i="1"/>
  <c r="AE99" i="1"/>
  <c r="N103" i="1"/>
  <c r="AI99" i="1"/>
  <c r="AM99" i="1"/>
  <c r="U99" i="1"/>
  <c r="AH99" i="1"/>
  <c r="AL99" i="1"/>
  <c r="W99" i="1"/>
  <c r="Z99" i="1"/>
  <c r="S97" i="4"/>
  <c r="O99" i="1" s="1"/>
  <c r="F50" i="1"/>
  <c r="H50" i="1" s="1"/>
  <c r="N15" i="4"/>
  <c r="N22" i="4"/>
  <c r="N10" i="4"/>
  <c r="N21" i="4" s="1"/>
  <c r="O13" i="4"/>
  <c r="R99" i="1" l="1"/>
  <c r="T99" i="1"/>
  <c r="S99" i="1"/>
  <c r="N105" i="4"/>
  <c r="N16" i="4"/>
  <c r="O15" i="4"/>
  <c r="O22" i="4"/>
  <c r="O10" i="4"/>
  <c r="O21" i="4" s="1"/>
  <c r="P13" i="4"/>
  <c r="P22" i="4" l="1"/>
  <c r="P15" i="4"/>
  <c r="P10" i="4"/>
  <c r="P21" i="4" s="1"/>
  <c r="Q13" i="4"/>
  <c r="O105" i="4"/>
  <c r="O16" i="4"/>
  <c r="N116" i="4"/>
  <c r="O116" i="4" l="1"/>
  <c r="P105" i="4"/>
  <c r="P16" i="4"/>
  <c r="Q22" i="4"/>
  <c r="Q15" i="4"/>
  <c r="Q10" i="4"/>
  <c r="Q21" i="4" s="1"/>
  <c r="R13" i="4"/>
  <c r="P116" i="4" l="1"/>
  <c r="Q105" i="4"/>
  <c r="Q16" i="4"/>
  <c r="R22" i="4"/>
  <c r="R15" i="4"/>
  <c r="R10" i="4"/>
  <c r="R21" i="4" s="1"/>
  <c r="S13" i="4"/>
  <c r="M83" i="4" l="1"/>
  <c r="M85" i="4" s="1"/>
  <c r="L83" i="4"/>
  <c r="L85" i="4" s="1"/>
  <c r="K83" i="4"/>
  <c r="K85" i="4" s="1"/>
  <c r="J83" i="4"/>
  <c r="J85" i="4" s="1"/>
  <c r="R105" i="4"/>
  <c r="R16" i="4"/>
  <c r="Q116" i="4"/>
  <c r="O7" i="5"/>
  <c r="AU90" i="4"/>
  <c r="AU92" i="4" s="1"/>
  <c r="AM90" i="4"/>
  <c r="AM92" i="4" s="1"/>
  <c r="AE90" i="4"/>
  <c r="AE92" i="4" s="1"/>
  <c r="W90" i="4"/>
  <c r="W92" i="4" s="1"/>
  <c r="O90" i="4"/>
  <c r="O92" i="4" s="1"/>
  <c r="G90" i="4"/>
  <c r="G92" i="4" s="1"/>
  <c r="Q83" i="4"/>
  <c r="Q85" i="4" s="1"/>
  <c r="AQ90" i="4"/>
  <c r="AQ92" i="4" s="1"/>
  <c r="AI90" i="4"/>
  <c r="AI92" i="4" s="1"/>
  <c r="AA90" i="4"/>
  <c r="AA92" i="4" s="1"/>
  <c r="S90" i="4"/>
  <c r="S92" i="4" s="1"/>
  <c r="K90" i="4"/>
  <c r="K92" i="4" s="1"/>
  <c r="AX90" i="4"/>
  <c r="AX92" i="4" s="1"/>
  <c r="AP90" i="4"/>
  <c r="AP92" i="4" s="1"/>
  <c r="AH90" i="4"/>
  <c r="AH92" i="4" s="1"/>
  <c r="Z90" i="4"/>
  <c r="Z92" i="4" s="1"/>
  <c r="R90" i="4"/>
  <c r="R92" i="4" s="1"/>
  <c r="J90" i="4"/>
  <c r="J92" i="4" s="1"/>
  <c r="AW90" i="4"/>
  <c r="AW92" i="4" s="1"/>
  <c r="AO90" i="4"/>
  <c r="AO92" i="4" s="1"/>
  <c r="AG90" i="4"/>
  <c r="AG92" i="4" s="1"/>
  <c r="Y90" i="4"/>
  <c r="Y92" i="4" s="1"/>
  <c r="Q90" i="4"/>
  <c r="Q92" i="4" s="1"/>
  <c r="I90" i="4"/>
  <c r="I92" i="4" s="1"/>
  <c r="S83" i="4"/>
  <c r="S85" i="4" s="1"/>
  <c r="AR90" i="4"/>
  <c r="AR92" i="4" s="1"/>
  <c r="AB90" i="4"/>
  <c r="AB92" i="4" s="1"/>
  <c r="L90" i="4"/>
  <c r="L92" i="4" s="1"/>
  <c r="O83" i="4"/>
  <c r="O85" i="4" s="1"/>
  <c r="AN90" i="4"/>
  <c r="AN92" i="4" s="1"/>
  <c r="X90" i="4"/>
  <c r="X92" i="4" s="1"/>
  <c r="H90" i="4"/>
  <c r="H92" i="4" s="1"/>
  <c r="N83" i="4"/>
  <c r="N85" i="4" s="1"/>
  <c r="AL90" i="4"/>
  <c r="AL92" i="4" s="1"/>
  <c r="V90" i="4"/>
  <c r="V92" i="4" s="1"/>
  <c r="F90" i="4"/>
  <c r="F92" i="4" s="1"/>
  <c r="AK90" i="4"/>
  <c r="AK92" i="4" s="1"/>
  <c r="U90" i="4"/>
  <c r="U92" i="4" s="1"/>
  <c r="E90" i="4"/>
  <c r="E92" i="4" s="1"/>
  <c r="AJ90" i="4"/>
  <c r="AJ92" i="4" s="1"/>
  <c r="T90" i="4"/>
  <c r="T92" i="4" s="1"/>
  <c r="D90" i="4"/>
  <c r="D92" i="4" s="1"/>
  <c r="AV90" i="4"/>
  <c r="AV92" i="4" s="1"/>
  <c r="AF90" i="4"/>
  <c r="AF92" i="4" s="1"/>
  <c r="P90" i="4"/>
  <c r="P92" i="4" s="1"/>
  <c r="AT90" i="4"/>
  <c r="AT92" i="4" s="1"/>
  <c r="AD90" i="4"/>
  <c r="AD92" i="4" s="1"/>
  <c r="N90" i="4"/>
  <c r="N92" i="4" s="1"/>
  <c r="R83" i="4"/>
  <c r="R85" i="4" s="1"/>
  <c r="AC90" i="4"/>
  <c r="AC92" i="4" s="1"/>
  <c r="M90" i="4"/>
  <c r="M92" i="4" s="1"/>
  <c r="P83" i="4"/>
  <c r="P85" i="4" s="1"/>
  <c r="AS90" i="4"/>
  <c r="AS92" i="4" s="1"/>
  <c r="S15" i="4"/>
  <c r="S10" i="4"/>
  <c r="S21" i="4" s="1"/>
  <c r="S22" i="4"/>
  <c r="T13" i="4"/>
  <c r="S105" i="4" l="1"/>
  <c r="S16" i="4"/>
  <c r="T15" i="4"/>
  <c r="T22" i="4"/>
  <c r="T10" i="4"/>
  <c r="T21" i="4" s="1"/>
  <c r="U13" i="4"/>
  <c r="R116" i="4"/>
  <c r="U22" i="4" l="1"/>
  <c r="U10" i="4"/>
  <c r="U21" i="4" s="1"/>
  <c r="U15" i="4"/>
  <c r="V13" i="4"/>
  <c r="S116" i="4"/>
  <c r="T105" i="4"/>
  <c r="T16" i="4"/>
  <c r="V15" i="4" l="1"/>
  <c r="V22" i="4"/>
  <c r="V10" i="4"/>
  <c r="V21" i="4" s="1"/>
  <c r="W13" i="4"/>
  <c r="U105" i="4"/>
  <c r="U16" i="4"/>
  <c r="T116" i="4"/>
  <c r="U116" i="4" l="1"/>
  <c r="W15" i="4"/>
  <c r="W22" i="4"/>
  <c r="W10" i="4"/>
  <c r="W21" i="4" s="1"/>
  <c r="X13" i="4"/>
  <c r="V105" i="4"/>
  <c r="V16" i="4"/>
  <c r="X22" i="4" l="1"/>
  <c r="X15" i="4"/>
  <c r="X10" i="4"/>
  <c r="X21" i="4" s="1"/>
  <c r="Y13" i="4"/>
  <c r="W105" i="4"/>
  <c r="W16" i="4"/>
  <c r="V116" i="4"/>
  <c r="Y15" i="4" l="1"/>
  <c r="Y22" i="4"/>
  <c r="Y10" i="4"/>
  <c r="Y21" i="4" s="1"/>
  <c r="Z13" i="4"/>
  <c r="X105" i="4"/>
  <c r="X16" i="4"/>
  <c r="W116" i="4"/>
  <c r="X116" i="4" l="1"/>
  <c r="Z22" i="4"/>
  <c r="Z10" i="4"/>
  <c r="Z21" i="4" s="1"/>
  <c r="Z15" i="4"/>
  <c r="AA13" i="4"/>
  <c r="Y105" i="4"/>
  <c r="Y16" i="4"/>
  <c r="Z105" i="4" l="1"/>
  <c r="Z16" i="4"/>
  <c r="AA15" i="4"/>
  <c r="AA22" i="4"/>
  <c r="AA10" i="4"/>
  <c r="AA21" i="4" s="1"/>
  <c r="AB13" i="4"/>
  <c r="Y116" i="4"/>
  <c r="AB15" i="4" l="1"/>
  <c r="AB22" i="4"/>
  <c r="AB10" i="4"/>
  <c r="AB21" i="4" s="1"/>
  <c r="AC13" i="4"/>
  <c r="AA105" i="4"/>
  <c r="AA16" i="4"/>
  <c r="Z116" i="4"/>
  <c r="AA116" i="4" l="1"/>
  <c r="AC10" i="4"/>
  <c r="AC21" i="4" s="1"/>
  <c r="AC22" i="4"/>
  <c r="AC15" i="4"/>
  <c r="AD13" i="4"/>
  <c r="AB105" i="4"/>
  <c r="AB16" i="4"/>
  <c r="AD15" i="4" l="1"/>
  <c r="AD22" i="4"/>
  <c r="AD10" i="4"/>
  <c r="AD21" i="4" s="1"/>
  <c r="AE13" i="4"/>
  <c r="AC105" i="4"/>
  <c r="AC16" i="4"/>
  <c r="AB116" i="4"/>
  <c r="AC116" i="4" l="1"/>
  <c r="AE22" i="4"/>
  <c r="AE15" i="4"/>
  <c r="AE10" i="4"/>
  <c r="AE21" i="4" s="1"/>
  <c r="AF13" i="4"/>
  <c r="AD105" i="4"/>
  <c r="AD16" i="4"/>
  <c r="AF22" i="4" l="1"/>
  <c r="AF15" i="4"/>
  <c r="AF10" i="4"/>
  <c r="AF21" i="4" s="1"/>
  <c r="AG13" i="4"/>
  <c r="AE105" i="4"/>
  <c r="AE16" i="4"/>
  <c r="AD116" i="4"/>
  <c r="AE116" i="4" l="1"/>
  <c r="AG22" i="4"/>
  <c r="AG15" i="4"/>
  <c r="AG10" i="4"/>
  <c r="AG21" i="4" s="1"/>
  <c r="AH13" i="4"/>
  <c r="AF105" i="4"/>
  <c r="AF16" i="4"/>
  <c r="AH22" i="4" l="1"/>
  <c r="AH15" i="4"/>
  <c r="AH10" i="4"/>
  <c r="AH21" i="4" s="1"/>
  <c r="AI13" i="4"/>
  <c r="AG105" i="4"/>
  <c r="AG16" i="4"/>
  <c r="AF116" i="4"/>
  <c r="AG116" i="4" l="1"/>
  <c r="AH105" i="4"/>
  <c r="AH16" i="4"/>
  <c r="AI15" i="4"/>
  <c r="AI10" i="4"/>
  <c r="AI21" i="4" s="1"/>
  <c r="AI22" i="4"/>
  <c r="AJ13" i="4"/>
  <c r="AI105" i="4" l="1"/>
  <c r="AI16" i="4"/>
  <c r="AH116" i="4"/>
  <c r="AJ15" i="4"/>
  <c r="AJ22" i="4"/>
  <c r="AJ10" i="4"/>
  <c r="AJ21" i="4" s="1"/>
  <c r="AK13" i="4"/>
  <c r="AJ105" i="4" l="1"/>
  <c r="AJ16" i="4"/>
  <c r="AI116" i="4"/>
  <c r="AK22" i="4"/>
  <c r="AK15" i="4"/>
  <c r="AK10" i="4"/>
  <c r="AK21" i="4" s="1"/>
  <c r="AL13" i="4"/>
  <c r="AL15" i="4" l="1"/>
  <c r="AL22" i="4"/>
  <c r="AL10" i="4"/>
  <c r="AL21" i="4" s="1"/>
  <c r="AM13" i="4"/>
  <c r="AK105" i="4"/>
  <c r="AK16" i="4"/>
  <c r="AJ116" i="4"/>
  <c r="AK116" i="4" l="1"/>
  <c r="AM22" i="4"/>
  <c r="AM10" i="4"/>
  <c r="AM21" i="4" s="1"/>
  <c r="AM15" i="4"/>
  <c r="AN13" i="4"/>
  <c r="AL105" i="4"/>
  <c r="AL16" i="4"/>
  <c r="AN22" i="4" l="1"/>
  <c r="AN15" i="4"/>
  <c r="AN10" i="4"/>
  <c r="AN21" i="4" s="1"/>
  <c r="AO13" i="4"/>
  <c r="AO22" i="4" s="1"/>
  <c r="AM105" i="4"/>
  <c r="AM16" i="4"/>
  <c r="AL116" i="4"/>
  <c r="I53" i="4" l="1"/>
  <c r="F53" i="4"/>
  <c r="D53" i="4"/>
  <c r="G53" i="4"/>
  <c r="E53" i="4"/>
  <c r="H53" i="4"/>
  <c r="I55" i="4"/>
  <c r="AM53" i="4"/>
  <c r="K53" i="4"/>
  <c r="J53" i="4"/>
  <c r="L53" i="4"/>
  <c r="M53" i="4"/>
  <c r="AM116" i="4"/>
  <c r="AO15" i="4"/>
  <c r="AO10" i="4"/>
  <c r="AO21" i="4" s="1"/>
  <c r="AP13" i="4"/>
  <c r="AP22" i="4" s="1"/>
  <c r="D52" i="4"/>
  <c r="I54" i="4" s="1"/>
  <c r="I103" i="4" s="1"/>
  <c r="AN105" i="4"/>
  <c r="AN53" i="4"/>
  <c r="AN16" i="4"/>
  <c r="N53" i="4"/>
  <c r="O53" i="4"/>
  <c r="P53" i="4"/>
  <c r="Q53" i="4"/>
  <c r="R53" i="4"/>
  <c r="S53" i="4"/>
  <c r="T53" i="4"/>
  <c r="U53" i="4"/>
  <c r="V53" i="4"/>
  <c r="W53" i="4"/>
  <c r="X53" i="4"/>
  <c r="Y53" i="4"/>
  <c r="Z53" i="4"/>
  <c r="AA53" i="4"/>
  <c r="AB53" i="4"/>
  <c r="AC53" i="4"/>
  <c r="AD53" i="4"/>
  <c r="AE53" i="4"/>
  <c r="AF53" i="4"/>
  <c r="AG53" i="4"/>
  <c r="AH53" i="4"/>
  <c r="AI53" i="4"/>
  <c r="AJ53" i="4"/>
  <c r="AK53" i="4"/>
  <c r="AL53" i="4"/>
  <c r="H55" i="4" l="1"/>
  <c r="H54" i="4"/>
  <c r="H103" i="4" s="1"/>
  <c r="E54" i="4"/>
  <c r="E103" i="4" s="1"/>
  <c r="E55" i="4"/>
  <c r="G60" i="4"/>
  <c r="G61" i="4" s="1"/>
  <c r="E60" i="4"/>
  <c r="E61" i="4" s="1"/>
  <c r="H60" i="4"/>
  <c r="H61" i="4" s="1"/>
  <c r="F60" i="4"/>
  <c r="F61" i="4" s="1"/>
  <c r="D60" i="4"/>
  <c r="D61" i="4" s="1"/>
  <c r="G55" i="4"/>
  <c r="G54" i="4"/>
  <c r="G103" i="4" s="1"/>
  <c r="D54" i="4"/>
  <c r="D103" i="4" s="1"/>
  <c r="D55" i="4"/>
  <c r="D98" i="4" s="1"/>
  <c r="F54" i="4"/>
  <c r="F103" i="4" s="1"/>
  <c r="F55" i="4"/>
  <c r="D59" i="4"/>
  <c r="I60" i="4"/>
  <c r="I61" i="4" s="1"/>
  <c r="I98" i="4"/>
  <c r="I56" i="4"/>
  <c r="J60" i="4"/>
  <c r="L60" i="4"/>
  <c r="M60" i="4"/>
  <c r="K60" i="4"/>
  <c r="M54" i="4"/>
  <c r="M103" i="4" s="1"/>
  <c r="L54" i="4"/>
  <c r="L103" i="4" s="1"/>
  <c r="J54" i="4"/>
  <c r="J103" i="4" s="1"/>
  <c r="K54" i="4"/>
  <c r="K103" i="4" s="1"/>
  <c r="AO16" i="4"/>
  <c r="AO105" i="4"/>
  <c r="Y54" i="4"/>
  <c r="Y103" i="4" s="1"/>
  <c r="Q54" i="4"/>
  <c r="Q103" i="4" s="1"/>
  <c r="AP10" i="4"/>
  <c r="AP21" i="4" s="1"/>
  <c r="AP15" i="4"/>
  <c r="AQ13" i="4"/>
  <c r="AQ22" i="4" s="1"/>
  <c r="Z54" i="4"/>
  <c r="Z103" i="4" s="1"/>
  <c r="R54" i="4"/>
  <c r="R103" i="4" s="1"/>
  <c r="N54" i="4"/>
  <c r="N55" i="4" s="1"/>
  <c r="AM54" i="4"/>
  <c r="AF54" i="4"/>
  <c r="AF103" i="4" s="1"/>
  <c r="AE54" i="4"/>
  <c r="AE103" i="4" s="1"/>
  <c r="AL54" i="4"/>
  <c r="AL103" i="4" s="1"/>
  <c r="AK54" i="4"/>
  <c r="AK103" i="4" s="1"/>
  <c r="U54" i="4"/>
  <c r="U103" i="4" s="1"/>
  <c r="AN116" i="4"/>
  <c r="AN60" i="4"/>
  <c r="N60" i="4"/>
  <c r="O60" i="4"/>
  <c r="P60" i="4"/>
  <c r="Q60" i="4"/>
  <c r="R60" i="4"/>
  <c r="S60" i="4"/>
  <c r="T60" i="4"/>
  <c r="U60" i="4"/>
  <c r="V60" i="4"/>
  <c r="W60" i="4"/>
  <c r="X60" i="4"/>
  <c r="Y60" i="4"/>
  <c r="Z60" i="4"/>
  <c r="AA60" i="4"/>
  <c r="AB60" i="4"/>
  <c r="AC60" i="4"/>
  <c r="AD60" i="4"/>
  <c r="AE60" i="4"/>
  <c r="AF60" i="4"/>
  <c r="AG60" i="4"/>
  <c r="AH60" i="4"/>
  <c r="AI60" i="4"/>
  <c r="AJ60" i="4"/>
  <c r="AK60" i="4"/>
  <c r="AL60" i="4"/>
  <c r="AG54" i="4"/>
  <c r="AG103" i="4" s="1"/>
  <c r="P54" i="4"/>
  <c r="P103" i="4" s="1"/>
  <c r="O54" i="4"/>
  <c r="O103" i="4" s="1"/>
  <c r="V54" i="4"/>
  <c r="V103" i="4" s="1"/>
  <c r="AJ54" i="4"/>
  <c r="AJ103" i="4" s="1"/>
  <c r="T54" i="4"/>
  <c r="T103" i="4" s="1"/>
  <c r="AN54" i="4"/>
  <c r="AN103" i="4" s="1"/>
  <c r="AM60" i="4"/>
  <c r="AH54" i="4"/>
  <c r="AH103" i="4" s="1"/>
  <c r="X54" i="4"/>
  <c r="X103" i="4" s="1"/>
  <c r="W54" i="4"/>
  <c r="W103" i="4" s="1"/>
  <c r="AD54" i="4"/>
  <c r="AD103" i="4" s="1"/>
  <c r="AC54" i="4"/>
  <c r="AC103" i="4" s="1"/>
  <c r="AB54" i="4"/>
  <c r="AB103" i="4" s="1"/>
  <c r="AI54" i="4"/>
  <c r="AI103" i="4" s="1"/>
  <c r="AA54" i="4"/>
  <c r="AA103" i="4" s="1"/>
  <c r="S54" i="4"/>
  <c r="S55" i="4" s="1"/>
  <c r="F115" i="4" l="1"/>
  <c r="F62" i="4"/>
  <c r="F98" i="4"/>
  <c r="F56" i="4"/>
  <c r="H115" i="4"/>
  <c r="H62" i="4"/>
  <c r="E115" i="4"/>
  <c r="E62" i="4"/>
  <c r="G115" i="4"/>
  <c r="G62" i="4"/>
  <c r="E98" i="4"/>
  <c r="E56" i="4"/>
  <c r="G98" i="4"/>
  <c r="G56" i="4"/>
  <c r="D115" i="4"/>
  <c r="D62" i="4"/>
  <c r="H98" i="4"/>
  <c r="H56" i="4"/>
  <c r="Z104" i="1"/>
  <c r="L55" i="4"/>
  <c r="L56" i="4" s="1"/>
  <c r="M61" i="4"/>
  <c r="K104" i="1"/>
  <c r="M55" i="4"/>
  <c r="M98" i="4" s="1"/>
  <c r="J55" i="4"/>
  <c r="J98" i="4" s="1"/>
  <c r="I115" i="4"/>
  <c r="I62" i="4"/>
  <c r="AE104" i="1"/>
  <c r="X104" i="1"/>
  <c r="P104" i="1"/>
  <c r="K55" i="4"/>
  <c r="K56" i="4" s="1"/>
  <c r="Y104" i="1"/>
  <c r="L104" i="1"/>
  <c r="AF104" i="1"/>
  <c r="AJ61" i="4"/>
  <c r="AJ115" i="4" s="1"/>
  <c r="AB61" i="4"/>
  <c r="AB115" i="4" s="1"/>
  <c r="AJ104" i="1"/>
  <c r="AN104" i="1"/>
  <c r="U104" i="1"/>
  <c r="M56" i="4"/>
  <c r="Q104" i="1"/>
  <c r="AG104" i="1"/>
  <c r="AK104" i="1"/>
  <c r="V104" i="1"/>
  <c r="K61" i="4"/>
  <c r="AH104" i="1"/>
  <c r="AC104" i="1"/>
  <c r="AA104" i="1"/>
  <c r="L61" i="4"/>
  <c r="AD104" i="1"/>
  <c r="W104" i="1"/>
  <c r="AB104" i="1"/>
  <c r="J61" i="4"/>
  <c r="T61" i="4"/>
  <c r="T62" i="4" s="1"/>
  <c r="AP16" i="4"/>
  <c r="AP105" i="4"/>
  <c r="Z55" i="4"/>
  <c r="Z56" i="4" s="1"/>
  <c r="AK61" i="4"/>
  <c r="AK62" i="4" s="1"/>
  <c r="AC61" i="4"/>
  <c r="AC62" i="4" s="1"/>
  <c r="V55" i="4"/>
  <c r="V98" i="4" s="1"/>
  <c r="O55" i="4"/>
  <c r="O56" i="4" s="1"/>
  <c r="AD55" i="4"/>
  <c r="AD56" i="4" s="1"/>
  <c r="AN55" i="4"/>
  <c r="AN98" i="4" s="1"/>
  <c r="AI55" i="4"/>
  <c r="AI98" i="4" s="1"/>
  <c r="X55" i="4"/>
  <c r="X56" i="4" s="1"/>
  <c r="AM61" i="4"/>
  <c r="AM115" i="4" s="1"/>
  <c r="AI61" i="4"/>
  <c r="AI115" i="4" s="1"/>
  <c r="AA61" i="4"/>
  <c r="AA115" i="4" s="1"/>
  <c r="S61" i="4"/>
  <c r="S115" i="4" s="1"/>
  <c r="AE55" i="4"/>
  <c r="AE98" i="4" s="1"/>
  <c r="U55" i="4"/>
  <c r="U56" i="4" s="1"/>
  <c r="T55" i="4"/>
  <c r="T98" i="4" s="1"/>
  <c r="AF61" i="4"/>
  <c r="AF115" i="4" s="1"/>
  <c r="X61" i="4"/>
  <c r="X115" i="4" s="1"/>
  <c r="P61" i="4"/>
  <c r="P115" i="4" s="1"/>
  <c r="AK55" i="4"/>
  <c r="AK98" i="4" s="1"/>
  <c r="AJ55" i="4"/>
  <c r="AJ98" i="4" s="1"/>
  <c r="AL61" i="4"/>
  <c r="AL62" i="4" s="1"/>
  <c r="AD61" i="4"/>
  <c r="AD62" i="4" s="1"/>
  <c r="V61" i="4"/>
  <c r="V115" i="4" s="1"/>
  <c r="AL55" i="4"/>
  <c r="AL56" i="4" s="1"/>
  <c r="Y55" i="4"/>
  <c r="Y98" i="4" s="1"/>
  <c r="S56" i="4"/>
  <c r="S98" i="4"/>
  <c r="AM103" i="4"/>
  <c r="AL104" i="1" s="1"/>
  <c r="AM55" i="4"/>
  <c r="AC55" i="4"/>
  <c r="AH55" i="4"/>
  <c r="AG55" i="4"/>
  <c r="AE61" i="4"/>
  <c r="W61" i="4"/>
  <c r="O61" i="4"/>
  <c r="N98" i="4"/>
  <c r="N56" i="4"/>
  <c r="S103" i="4"/>
  <c r="T104" i="1" s="1"/>
  <c r="F55" i="1"/>
  <c r="N61" i="4"/>
  <c r="N103" i="4"/>
  <c r="J104" i="1" s="1"/>
  <c r="D55" i="1"/>
  <c r="U61" i="4"/>
  <c r="AN61" i="4"/>
  <c r="R55" i="4"/>
  <c r="Q55" i="4"/>
  <c r="AA55" i="4"/>
  <c r="AH61" i="4"/>
  <c r="Z61" i="4"/>
  <c r="R61" i="4"/>
  <c r="D57" i="4"/>
  <c r="D107" i="4" s="1"/>
  <c r="W55" i="4"/>
  <c r="AB55" i="4"/>
  <c r="P55" i="4"/>
  <c r="AG61" i="4"/>
  <c r="Y61" i="4"/>
  <c r="Q61" i="4"/>
  <c r="AF55" i="4"/>
  <c r="AQ10" i="4"/>
  <c r="AQ21" i="4" s="1"/>
  <c r="AQ15" i="4"/>
  <c r="AR13" i="4"/>
  <c r="AR22" i="4" s="1"/>
  <c r="F51" i="1" l="1"/>
  <c r="D56" i="4"/>
  <c r="D100" i="4" s="1"/>
  <c r="L98" i="4"/>
  <c r="R104" i="1"/>
  <c r="M104" i="1"/>
  <c r="J56" i="4"/>
  <c r="T115" i="4"/>
  <c r="O104" i="1"/>
  <c r="K98" i="4"/>
  <c r="J100" i="1" s="1"/>
  <c r="J105" i="1" s="1"/>
  <c r="AC115" i="4"/>
  <c r="AK115" i="4"/>
  <c r="AB62" i="4"/>
  <c r="AJ62" i="4"/>
  <c r="L115" i="4"/>
  <c r="L62" i="4"/>
  <c r="K115" i="4"/>
  <c r="K62" i="4"/>
  <c r="AJ100" i="1"/>
  <c r="AJ105" i="1" s="1"/>
  <c r="J115" i="4"/>
  <c r="J62" i="4"/>
  <c r="M115" i="4"/>
  <c r="M62" i="4"/>
  <c r="AI104" i="1"/>
  <c r="AM104" i="1"/>
  <c r="S104" i="1"/>
  <c r="N104" i="1"/>
  <c r="AQ16" i="4"/>
  <c r="AQ105" i="4"/>
  <c r="D64" i="4"/>
  <c r="D117" i="4" s="1"/>
  <c r="AD98" i="4"/>
  <c r="Z98" i="4"/>
  <c r="V56" i="4"/>
  <c r="O98" i="4"/>
  <c r="K100" i="1" s="1"/>
  <c r="K105" i="1" s="1"/>
  <c r="AE56" i="4"/>
  <c r="S62" i="4"/>
  <c r="D63" i="4" s="1"/>
  <c r="F56" i="1"/>
  <c r="AL115" i="4"/>
  <c r="U98" i="4"/>
  <c r="U100" i="1" s="1"/>
  <c r="U105" i="1" s="1"/>
  <c r="AJ56" i="4"/>
  <c r="AI56" i="4"/>
  <c r="T56" i="4"/>
  <c r="X98" i="4"/>
  <c r="V62" i="4"/>
  <c r="AD115" i="4"/>
  <c r="AI62" i="4"/>
  <c r="P62" i="4"/>
  <c r="Y56" i="4"/>
  <c r="AA62" i="4"/>
  <c r="AM62" i="4"/>
  <c r="X62" i="4"/>
  <c r="AK56" i="4"/>
  <c r="AL98" i="4"/>
  <c r="AK100" i="1" s="1"/>
  <c r="AF62" i="4"/>
  <c r="U62" i="4"/>
  <c r="U115" i="4"/>
  <c r="Q115" i="4"/>
  <c r="Q62" i="4"/>
  <c r="O115" i="4"/>
  <c r="O62" i="4"/>
  <c r="Z115" i="4"/>
  <c r="Z62" i="4"/>
  <c r="Y115" i="4"/>
  <c r="Y62" i="4"/>
  <c r="AH115" i="4"/>
  <c r="AH62" i="4"/>
  <c r="N115" i="4"/>
  <c r="N62" i="4"/>
  <c r="W115" i="4"/>
  <c r="W62" i="4"/>
  <c r="AA98" i="4"/>
  <c r="AA56" i="4"/>
  <c r="AE115" i="4"/>
  <c r="AE62" i="4"/>
  <c r="Q98" i="4"/>
  <c r="M100" i="1" s="1"/>
  <c r="Q56" i="4"/>
  <c r="AG98" i="4"/>
  <c r="AG56" i="4"/>
  <c r="H51" i="1"/>
  <c r="AM98" i="4"/>
  <c r="AN100" i="1" s="1"/>
  <c r="AM56" i="4"/>
  <c r="R115" i="4"/>
  <c r="R62" i="4"/>
  <c r="P98" i="4"/>
  <c r="L100" i="1" s="1"/>
  <c r="P56" i="4"/>
  <c r="AR15" i="4"/>
  <c r="AR10" i="4"/>
  <c r="AR21" i="4" s="1"/>
  <c r="AS13" i="4"/>
  <c r="AS22" i="4" s="1"/>
  <c r="AB98" i="4"/>
  <c r="AB56" i="4"/>
  <c r="R98" i="4"/>
  <c r="R56" i="4"/>
  <c r="AH98" i="4"/>
  <c r="AH56" i="4"/>
  <c r="AF98" i="4"/>
  <c r="AE100" i="1" s="1"/>
  <c r="AE105" i="1" s="1"/>
  <c r="AF56" i="4"/>
  <c r="AG115" i="4"/>
  <c r="AG62" i="4"/>
  <c r="W98" i="4"/>
  <c r="S100" i="1" s="1"/>
  <c r="W56" i="4"/>
  <c r="AN115" i="4"/>
  <c r="AN62" i="4"/>
  <c r="H55" i="1"/>
  <c r="H104" i="1" s="1"/>
  <c r="D56" i="1"/>
  <c r="AC98" i="4"/>
  <c r="AC56" i="4"/>
  <c r="N100" i="1" l="1"/>
  <c r="AA100" i="1"/>
  <c r="AA105" i="1" s="1"/>
  <c r="V100" i="1"/>
  <c r="V105" i="1" s="1"/>
  <c r="T100" i="1"/>
  <c r="T105" i="1" s="1"/>
  <c r="Y100" i="1"/>
  <c r="Y105" i="1" s="1"/>
  <c r="AD100" i="1"/>
  <c r="AD101" i="1" s="1"/>
  <c r="AG100" i="1"/>
  <c r="AG101" i="1" s="1"/>
  <c r="AB100" i="1"/>
  <c r="AB101" i="1" s="1"/>
  <c r="AJ101" i="1"/>
  <c r="J101" i="1"/>
  <c r="Z100" i="1"/>
  <c r="Z101" i="1" s="1"/>
  <c r="R100" i="1"/>
  <c r="R105" i="1" s="1"/>
  <c r="AN105" i="1"/>
  <c r="AN101" i="1"/>
  <c r="U101" i="1"/>
  <c r="X100" i="1"/>
  <c r="X101" i="1" s="1"/>
  <c r="AK101" i="1"/>
  <c r="AK105" i="1"/>
  <c r="O100" i="1"/>
  <c r="O105" i="1" s="1"/>
  <c r="AI100" i="1"/>
  <c r="AI101" i="1" s="1"/>
  <c r="AM100" i="1"/>
  <c r="Q100" i="1"/>
  <c r="Q105" i="1" s="1"/>
  <c r="AC100" i="1"/>
  <c r="AC105" i="1" s="1"/>
  <c r="W100" i="1"/>
  <c r="W105" i="1" s="1"/>
  <c r="AH100" i="1"/>
  <c r="AH101" i="1" s="1"/>
  <c r="AL100" i="1"/>
  <c r="AE101" i="1"/>
  <c r="AF100" i="1"/>
  <c r="P100" i="1"/>
  <c r="AR16" i="4"/>
  <c r="AR105" i="4"/>
  <c r="F52" i="1"/>
  <c r="H52" i="1" s="1"/>
  <c r="H56" i="1"/>
  <c r="H105" i="1" s="1"/>
  <c r="K101" i="1"/>
  <c r="L105" i="1"/>
  <c r="L101" i="1"/>
  <c r="AS10" i="4"/>
  <c r="AS21" i="4" s="1"/>
  <c r="AS15" i="4"/>
  <c r="AT13" i="4"/>
  <c r="AT22" i="4" s="1"/>
  <c r="S101" i="1"/>
  <c r="S105" i="1"/>
  <c r="N101" i="1"/>
  <c r="N105" i="1"/>
  <c r="M105" i="1"/>
  <c r="M101" i="1"/>
  <c r="AA101" i="1" l="1"/>
  <c r="T101" i="1"/>
  <c r="V101" i="1"/>
  <c r="AD105" i="1"/>
  <c r="Y101" i="1"/>
  <c r="AG105" i="1"/>
  <c r="W101" i="1"/>
  <c r="AC101" i="1"/>
  <c r="Z105" i="1"/>
  <c r="AB105" i="1"/>
  <c r="AH105" i="1"/>
  <c r="AI105" i="1"/>
  <c r="R101" i="1"/>
  <c r="P101" i="1"/>
  <c r="P105" i="1"/>
  <c r="AF105" i="1"/>
  <c r="AF101" i="1"/>
  <c r="AM105" i="1"/>
  <c r="AM101" i="1"/>
  <c r="X105" i="1"/>
  <c r="AL101" i="1"/>
  <c r="AL105" i="1"/>
  <c r="O101" i="1"/>
  <c r="Q101" i="1"/>
  <c r="AS16" i="4"/>
  <c r="AS105" i="4"/>
  <c r="AT15" i="4"/>
  <c r="AT10" i="4"/>
  <c r="AT21" i="4" s="1"/>
  <c r="AU13" i="4"/>
  <c r="AU22" i="4" s="1"/>
  <c r="AT16" i="4" l="1"/>
  <c r="AT105" i="4"/>
  <c r="AU15" i="4"/>
  <c r="AU10" i="4"/>
  <c r="AU21" i="4" s="1"/>
  <c r="AV13" i="4"/>
  <c r="AV22" i="4" s="1"/>
  <c r="AU16" i="4" l="1"/>
  <c r="AU105" i="4"/>
  <c r="AV15" i="4"/>
  <c r="AV10" i="4"/>
  <c r="AV21" i="4" s="1"/>
  <c r="AW13" i="4"/>
  <c r="AW22" i="4" s="1"/>
  <c r="AV16" i="4" l="1"/>
  <c r="AV105" i="4"/>
  <c r="AW15" i="4"/>
  <c r="AW10" i="4"/>
  <c r="AW21" i="4" s="1"/>
  <c r="AX13" i="4"/>
  <c r="AX22" i="4" s="1"/>
  <c r="AW16" i="4" l="1"/>
  <c r="AW105" i="4"/>
  <c r="AX15" i="4"/>
  <c r="AX10" i="4"/>
  <c r="AX21" i="4" s="1"/>
  <c r="AX16" i="4" l="1"/>
  <c r="AX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tc={8FFE17FE-C65A-46FE-842E-A887219977D6}</author>
  </authors>
  <commentList>
    <comment ref="D28" authorId="0" shapeId="0" xr:uid="{8FFE17FE-C65A-46FE-842E-A887219977D6}">
      <text>
        <t>[Threaded comment]
Your version of Excel allows you to read this threaded comment; however, any edits to it will get removed if the file is opened in a newer version of Excel. Learn more: https://go.microsoft.com/fwlink/?linkid=870924
Comment:
    IEA NZE 1.5C power sector pathway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<sst xmlns="http://schemas.openxmlformats.org/spreadsheetml/2006/main" count="2588" uniqueCount="597">
  <si>
    <t>SBTi Chemicals Target Setting Tool</t>
  </si>
  <si>
    <t>Version:</t>
  </si>
  <si>
    <t>Support:</t>
  </si>
  <si>
    <t>info@sciencebasedtargets.org</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</si>
  <si>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</si>
  <si>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Terms of use</t>
  </si>
  <si>
    <t>Disclaimer</t>
  </si>
  <si>
    <t>References</t>
  </si>
  <si>
    <t>https://www.iea.org/data-and-statistics/data-product/net-zero-by-2050-scenario</t>
  </si>
  <si>
    <t>https://www.iea.org/reports/ammonia-technology-roadmap</t>
  </si>
  <si>
    <t>https://www.iea.org/energy-system/industry/chemicals</t>
  </si>
  <si>
    <t>https://www.iea.org/data-and-statistics/charts/direct-co2-emissions-from-primary-chemical-production-in-the-net-zero-scenario-2015-2030</t>
  </si>
  <si>
    <t>https://www.iea.org/reports/world-energy-outlook-2023</t>
  </si>
  <si>
    <t>History of revisions</t>
  </si>
  <si>
    <t xml:space="preserve">Version </t>
  </si>
  <si>
    <t>Release date</t>
  </si>
  <si>
    <t>Description</t>
  </si>
  <si>
    <t>--</t>
  </si>
  <si>
    <t>Acronyms and definitions</t>
  </si>
  <si>
    <t>IEA</t>
  </si>
  <si>
    <t>International Energy Agency</t>
  </si>
  <si>
    <t>ETP</t>
  </si>
  <si>
    <t>Energy Technology Perspectives</t>
  </si>
  <si>
    <t>SBTi</t>
  </si>
  <si>
    <t>Science Based Targets initiative</t>
  </si>
  <si>
    <t>SDA</t>
  </si>
  <si>
    <t>Sectoral Decarbonization Approach</t>
  </si>
  <si>
    <t>1.5C</t>
  </si>
  <si>
    <t>Climate scenario aligned with a 1.5 degree temperature goal</t>
  </si>
  <si>
    <t>tCO2e</t>
  </si>
  <si>
    <t>Metric tons of carbon dioxide equivalent</t>
  </si>
  <si>
    <t>kgCO2e</t>
  </si>
  <si>
    <t>Kilograms of carbon dioxide equivalent</t>
  </si>
  <si>
    <t>QUICK GUIDE</t>
  </si>
  <si>
    <t xml:space="preserve">How to navigate this tool </t>
  </si>
  <si>
    <t>README</t>
  </si>
  <si>
    <t>PRIMARY CHEMICALS SDA TOOL</t>
  </si>
  <si>
    <t>NITRIC ACID PRODUCTION TOOL</t>
  </si>
  <si>
    <t>N-FERTILIZER SCOPE 3 CATEGORY 11 TARGET SETTING TOOL</t>
  </si>
  <si>
    <t>ALTERNATIVE FEEDSTOCK TARGET SETTING TOOL</t>
  </si>
  <si>
    <t xml:space="preserve">BACK-END DATA </t>
  </si>
  <si>
    <t>Please review our terms of use, disclaimer, and history of revisions made to this tool.</t>
  </si>
  <si>
    <r>
      <t>Tool for calculating scope 1 emission reduction targets for N</t>
    </r>
    <r>
      <rPr>
        <vertAlign val="subscript"/>
        <sz val="11"/>
        <color theme="0"/>
        <rFont val="Arial"/>
        <family val="2"/>
      </rPr>
      <t>2</t>
    </r>
    <r>
      <rPr>
        <sz val="11"/>
        <color theme="0"/>
        <rFont val="Arial"/>
        <family val="2"/>
      </rPr>
      <t>O emissions from the production of nitric acid</t>
    </r>
  </si>
  <si>
    <t>Tool for calculating the minimum threshold for alternative feedstock to be sourced in the target year</t>
  </si>
  <si>
    <t xml:space="preserve">Review data references here. </t>
  </si>
  <si>
    <t>`</t>
  </si>
  <si>
    <t>Select a primary chemical in section 1 of the SDA tool sheet</t>
  </si>
  <si>
    <t>Enter base year, base year emissions and activity data, target year, and target year activity data in section 1 for the chosen chemical.</t>
  </si>
  <si>
    <t xml:space="preserve">You can review the full data set of target modelling results in section 3. </t>
  </si>
  <si>
    <t xml:space="preserve">For information on each SBT method, the SBTi criteria and how to join the SBTi please review our online resources. </t>
  </si>
  <si>
    <r>
      <t>Using the Nitric Acid Production N</t>
    </r>
    <r>
      <rPr>
        <b/>
        <vertAlign val="subscript"/>
        <sz val="20"/>
        <color rgb="FFC00000"/>
        <rFont val="Arial"/>
        <family val="2"/>
      </rPr>
      <t>2</t>
    </r>
    <r>
      <rPr>
        <b/>
        <sz val="20"/>
        <color rgb="FFC00000"/>
        <rFont val="Arial"/>
        <family val="2"/>
      </rPr>
      <t>O Emissions Tool</t>
    </r>
  </si>
  <si>
    <t>Enter base year, base year emissions and activity, and target year activity data in section 1 of the S1-Nitric Acid N2O Tool sheet.</t>
  </si>
  <si>
    <t xml:space="preserve">Review the summary of results in section 2. </t>
  </si>
  <si>
    <r>
      <t>Review the target result in section 3. If section 3 indicates that no specific target is needed, then a sector-specific target on N</t>
    </r>
    <r>
      <rPr>
        <vertAlign val="subscript"/>
        <sz val="12"/>
        <color theme="0"/>
        <rFont val="Arial"/>
        <family val="2"/>
      </rPr>
      <t>2</t>
    </r>
    <r>
      <rPr>
        <sz val="12"/>
        <color theme="0"/>
        <rFont val="Arial"/>
        <family val="2"/>
      </rPr>
      <t>O emissions from nitric acid production is not required.</t>
    </r>
  </si>
  <si>
    <t>Using the N Fertilizer Scope 3 Category 11 Emissions Tool</t>
  </si>
  <si>
    <t xml:space="preserve">Review the summary of target results in section 2. </t>
  </si>
  <si>
    <t>Using the Alternative Feedstock Target-setting Tool</t>
  </si>
  <si>
    <t>Choose whether to set a near-term target, or a near-term and long-term target.</t>
  </si>
  <si>
    <t>Enter base year, base year % of alternative feedstock, and target year(s) data in section 1 of the Alternative Feedstock Tool.</t>
  </si>
  <si>
    <t>Review the target result in section 2. Section 2 provides the minimum % of alternative feedstock that must be achieved in the target year (lower range), and the % of alternative feedstock that represents a recommended higher level of ambition (upper range).</t>
  </si>
  <si>
    <t>Review the minimum % of alternative feedstock required in the target year in section 3.</t>
  </si>
  <si>
    <t>SBT online resources</t>
  </si>
  <si>
    <t>Science Based Targets initiative website</t>
  </si>
  <si>
    <t xml:space="preserve">SBTi Step by step guide </t>
  </si>
  <si>
    <t>Target setting methods</t>
  </si>
  <si>
    <t>Foundations of Science-based Target Setting</t>
  </si>
  <si>
    <t>SBTi Chemicals SDA Target Setting Tool</t>
  </si>
  <si>
    <t>Section 1. Input data</t>
  </si>
  <si>
    <t>IMPORTANT NOTICE:</t>
  </si>
  <si>
    <t>Target setting method</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</si>
  <si>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 For further information, consult the SBTi Procedure for Validation of SBTi Targets: https://sciencebasedtargets.org/resources/files/Procedure-for-validation-of-SBTi-targets.pdf</t>
  </si>
  <si>
    <t>SDA scenario</t>
  </si>
  <si>
    <t>SBTi 1.5C</t>
  </si>
  <si>
    <t>SDA chemicals</t>
  </si>
  <si>
    <t>Ammonia</t>
  </si>
  <si>
    <t>Base year</t>
  </si>
  <si>
    <t>Select a base year</t>
  </si>
  <si>
    <t>Base year | Activity output</t>
  </si>
  <si>
    <t xml:space="preserve">Please help us improve this tool by reporting issues related to functionalities and formatting. </t>
  </si>
  <si>
    <t>Target year</t>
  </si>
  <si>
    <t>Select a target year</t>
  </si>
  <si>
    <t>Update notification:</t>
  </si>
  <si>
    <t>Target year | Type of activity projection</t>
  </si>
  <si>
    <t>Fixed market share</t>
  </si>
  <si>
    <t>Most recent year (MRY)</t>
  </si>
  <si>
    <t>Section 2. Sectoral Decarbonization Approach</t>
  </si>
  <si>
    <t>Review all target modelling data</t>
  </si>
  <si>
    <t>% SBT reduction</t>
  </si>
  <si>
    <t>Section 3. Target modelling data</t>
  </si>
  <si>
    <r>
      <t>SBTi Chemicals N</t>
    </r>
    <r>
      <rPr>
        <b/>
        <vertAlign val="subscript"/>
        <sz val="22"/>
        <color theme="1"/>
        <rFont val="Arial"/>
        <family val="2"/>
      </rPr>
      <t>2</t>
    </r>
    <r>
      <rPr>
        <b/>
        <sz val="22"/>
        <color theme="1"/>
        <rFont val="Arial"/>
        <family val="2"/>
      </rPr>
      <t>O Emissions from Nitric Acid Target Setting Tool</t>
    </r>
  </si>
  <si>
    <t>Scope 1</t>
  </si>
  <si>
    <r>
      <t>N</t>
    </r>
    <r>
      <rPr>
        <vertAlign val="subscript"/>
        <sz val="10"/>
        <color theme="1"/>
        <rFont val="Arial"/>
        <family val="2"/>
      </rPr>
      <t>2</t>
    </r>
    <r>
      <rPr>
        <sz val="10"/>
        <color theme="1"/>
        <rFont val="Arial"/>
        <family val="2"/>
      </rPr>
      <t>O Emissions Intensity</t>
    </r>
  </si>
  <si>
    <t>Please review the latest version of the SBTi Chemicals Standard</t>
  </si>
  <si>
    <t>Dropdown</t>
  </si>
  <si>
    <r>
      <t>Base Year N</t>
    </r>
    <r>
      <rPr>
        <vertAlign val="subscript"/>
        <sz val="10"/>
        <color theme="0"/>
        <rFont val="Arial"/>
        <family val="2"/>
      </rPr>
      <t>2</t>
    </r>
    <r>
      <rPr>
        <sz val="10"/>
        <color theme="0"/>
        <rFont val="Arial"/>
        <family val="2"/>
      </rPr>
      <t>O Emissions</t>
    </r>
  </si>
  <si>
    <r>
      <t>Tonnes N</t>
    </r>
    <r>
      <rPr>
        <i/>
        <vertAlign val="subscript"/>
        <sz val="10"/>
        <color theme="1"/>
        <rFont val="Arial"/>
        <family val="2"/>
      </rPr>
      <t>2</t>
    </r>
    <r>
      <rPr>
        <i/>
        <sz val="10"/>
        <color theme="1"/>
        <rFont val="Arial"/>
        <family val="2"/>
      </rPr>
      <t>O (from Nitric Acid Production only)</t>
    </r>
  </si>
  <si>
    <t>Base year output</t>
  </si>
  <si>
    <t>Tonnes Nitric Acid</t>
  </si>
  <si>
    <t>Calculated</t>
  </si>
  <si>
    <t>Target year output</t>
  </si>
  <si>
    <t>Target year benchmark intensity</t>
  </si>
  <si>
    <t>Section 2. Target Calculation</t>
  </si>
  <si>
    <r>
      <t>Company | Baseline Emissions (t N</t>
    </r>
    <r>
      <rPr>
        <vertAlign val="subscript"/>
        <sz val="10"/>
        <color theme="0"/>
        <rFont val="Arial"/>
        <family val="2"/>
      </rPr>
      <t>2</t>
    </r>
    <r>
      <rPr>
        <sz val="10"/>
        <color theme="0"/>
        <rFont val="Arial"/>
        <family val="2"/>
      </rPr>
      <t>O)</t>
    </r>
  </si>
  <si>
    <r>
      <t>Company | Baseline Emissions Intensity (kg N</t>
    </r>
    <r>
      <rPr>
        <vertAlign val="subscript"/>
        <sz val="10"/>
        <color theme="0"/>
        <rFont val="Arial"/>
        <family val="2"/>
      </rPr>
      <t>2</t>
    </r>
    <r>
      <rPr>
        <sz val="10"/>
        <color theme="0"/>
        <rFont val="Arial"/>
        <family val="2"/>
      </rPr>
      <t>O/t Nitric Acid)</t>
    </r>
  </si>
  <si>
    <t>Section 3. Target</t>
  </si>
  <si>
    <t>Company | Target</t>
  </si>
  <si>
    <t>SBTi Chemicals N2O Emissions from N-Fertilizer Use Phase Target Setting Tool</t>
  </si>
  <si>
    <t>Scope 3</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</si>
  <si>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 For further information, consult the SBTi Target Validation Protocol: https://sciencebasedtargets.org/resources/files/Target-Validation-Protocol.pdf</t>
  </si>
  <si>
    <t>Source Specific ACA Method</t>
  </si>
  <si>
    <t>Base year | Scope 3 Category 11 N2O emissions from fertilizer use phase</t>
  </si>
  <si>
    <t>Section 2. Absolute Contraction Approach</t>
  </si>
  <si>
    <t>1.5 degree scenario (1.5C)</t>
  </si>
  <si>
    <t>SBTi Chemicals Alternative Feedstock Target Setting Tool</t>
  </si>
  <si>
    <t>Alternative Feedstock target</t>
  </si>
  <si>
    <t>Base Year % of alternative feedstock</t>
  </si>
  <si>
    <t>wt % of carbon content</t>
  </si>
  <si>
    <t>Target options</t>
  </si>
  <si>
    <t>Long term</t>
  </si>
  <si>
    <t>Target year - near term target</t>
  </si>
  <si>
    <t>Target year - long term target</t>
  </si>
  <si>
    <t>Company | Base Year % of alternative feedstock (wt% C content)</t>
  </si>
  <si>
    <t>Section 3. Target for alternative feedstock</t>
  </si>
  <si>
    <t>Company | Near Term Target (wt% C content)</t>
  </si>
  <si>
    <t>Company | Long Term Target (wt% C content)</t>
  </si>
  <si>
    <t>Near Term Target language:</t>
  </si>
  <si>
    <t>Long Term Target language:</t>
  </si>
  <si>
    <t>Parameter</t>
  </si>
  <si>
    <t>Subcategory/Description</t>
  </si>
  <si>
    <t>Unit</t>
  </si>
  <si>
    <t>SECTORAL DATA</t>
  </si>
  <si>
    <t>Sector pathways</t>
  </si>
  <si>
    <t>SA</t>
  </si>
  <si>
    <t>Sector activity</t>
  </si>
  <si>
    <t>SP</t>
  </si>
  <si>
    <t>Sector power consumption</t>
  </si>
  <si>
    <t>PJ</t>
  </si>
  <si>
    <t>SE</t>
  </si>
  <si>
    <t>MtCO2</t>
  </si>
  <si>
    <t>SE2</t>
  </si>
  <si>
    <t>SI</t>
  </si>
  <si>
    <t>SI2</t>
  </si>
  <si>
    <t>SI12</t>
  </si>
  <si>
    <t>Indexed sectoral data</t>
  </si>
  <si>
    <t>Growth over target timeframe</t>
  </si>
  <si>
    <t>Power emissions intensity</t>
  </si>
  <si>
    <t>Sipower</t>
  </si>
  <si>
    <t>World</t>
  </si>
  <si>
    <t>tCO2/MWh</t>
  </si>
  <si>
    <t>Activity projection</t>
  </si>
  <si>
    <t>CA</t>
  </si>
  <si>
    <t>SDA CALCULATIONS</t>
  </si>
  <si>
    <t>SDA convergence</t>
  </si>
  <si>
    <t>Target timeframe</t>
  </si>
  <si>
    <t>m</t>
  </si>
  <si>
    <t>Market share parameter</t>
  </si>
  <si>
    <t>ratio</t>
  </si>
  <si>
    <t>d</t>
  </si>
  <si>
    <t>p</t>
  </si>
  <si>
    <t>CI</t>
  </si>
  <si>
    <t>CE</t>
  </si>
  <si>
    <t>tCO2</t>
  </si>
  <si>
    <t>CI2</t>
  </si>
  <si>
    <t>CE2</t>
  </si>
  <si>
    <t>CI12</t>
  </si>
  <si>
    <t>CE12</t>
  </si>
  <si>
    <t>FERTILIZER S3 C11 N2O CALCULATIONS</t>
  </si>
  <si>
    <t>Absolute contraction 1.5C</t>
  </si>
  <si>
    <t>Annual reduction 1.5C | Base Year &lt;= 2020</t>
  </si>
  <si>
    <t>%</t>
  </si>
  <si>
    <t>Annual reduction 1.5C | Base Year &gt; 2020</t>
  </si>
  <si>
    <t>Scope 2 Reduction to date</t>
  </si>
  <si>
    <t>Net Zero 2050 ambition (FLAG sector)</t>
  </si>
  <si>
    <t>Timeline counter</t>
  </si>
  <si>
    <t>Company | Scope 3 C11 N2O emissions, no FLA (tCO2e)</t>
  </si>
  <si>
    <t>Scope 3 C11 N2O target</t>
  </si>
  <si>
    <t>GRAPH DATA</t>
  </si>
  <si>
    <t>Absolute contraction (LAR)</t>
  </si>
  <si>
    <t>Absolute contraction (CAGR)</t>
  </si>
  <si>
    <t>S1 target</t>
  </si>
  <si>
    <t>S2 target</t>
  </si>
  <si>
    <t>Graph 3 | Absolute contraction WB-2C</t>
  </si>
  <si>
    <t>Graph 4 | Scope 3 Category 11 N2O emissions from fertilizer use phase</t>
  </si>
  <si>
    <t>Company | Scope 3 Category 11 N2O emissions from fertilizer use phase (tCO2e)</t>
  </si>
  <si>
    <t>S3 target</t>
  </si>
  <si>
    <t>ALTERNATIVE FEEDSTOCK CALAULTIONS</t>
  </si>
  <si>
    <t>wt% C content</t>
  </si>
  <si>
    <t>LC-NFAX scenario</t>
  </si>
  <si>
    <t>Near Term Target - lower range</t>
  </si>
  <si>
    <t>Near Term Target - upper range</t>
  </si>
  <si>
    <t>Long Term Target - lower range</t>
  </si>
  <si>
    <t>Long Term Target - upper range</t>
  </si>
  <si>
    <t>Model.Parameter</t>
  </si>
  <si>
    <t>Scenario</t>
  </si>
  <si>
    <t>Sheet</t>
  </si>
  <si>
    <t>Region</t>
  </si>
  <si>
    <t>Flow.1</t>
  </si>
  <si>
    <t>Table.1</t>
  </si>
  <si>
    <t>Sector.ETP</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</si>
  <si>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</si>
  <si>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</si>
  <si>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</si>
  <si>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</si>
  <si>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</si>
  <si>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</si>
  <si>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</si>
  <si>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</si>
  <si>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</si>
  <si>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</si>
  <si>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</si>
  <si>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</si>
  <si>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</si>
  <si>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</si>
  <si>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</si>
  <si>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</si>
  <si>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</si>
  <si>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</si>
  <si>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</si>
  <si>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</si>
  <si>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</si>
  <si>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</si>
  <si>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</si>
  <si>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</si>
  <si>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</si>
  <si>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</si>
  <si>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</si>
  <si>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</si>
  <si>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</si>
  <si>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</si>
  <si>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</si>
  <si>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</si>
  <si>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</si>
  <si>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</si>
  <si>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</si>
  <si>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</si>
  <si>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</si>
  <si>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</si>
  <si>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</si>
  <si>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</si>
  <si>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</si>
  <si>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</si>
  <si>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</si>
  <si>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</si>
  <si>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</si>
  <si>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</si>
  <si>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</si>
  <si>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WORLD</t>
  </si>
  <si>
    <t>Power</t>
  </si>
  <si>
    <t>ETP B2DS</t>
  </si>
  <si>
    <t>t</t>
  </si>
  <si>
    <t>MWh</t>
  </si>
  <si>
    <t>Sub-sector material production (MWh) Expanded list [Methods model input; Estimated]</t>
  </si>
  <si>
    <t>Power CO2 emissions intensity (tCO2/MWh) by region</t>
  </si>
  <si>
    <t>Sub-sector Electricity demand (PJ) Expanded list [Methods model input; Estimated]</t>
  </si>
  <si>
    <t>Emissions</t>
  </si>
  <si>
    <t>Electricity</t>
  </si>
  <si>
    <t>Output</t>
  </si>
  <si>
    <t>Timeframe</t>
  </si>
  <si>
    <t>2020-2035</t>
  </si>
  <si>
    <t>2014-2050</t>
  </si>
  <si>
    <t/>
  </si>
  <si>
    <t>Primary Chemical</t>
  </si>
  <si>
    <t>Activity unit description</t>
  </si>
  <si>
    <t>Activity unit</t>
  </si>
  <si>
    <t>Intensity metric</t>
  </si>
  <si>
    <t>Intensity conversion</t>
  </si>
  <si>
    <t>Geography</t>
  </si>
  <si>
    <t>GDP growth (2014-60)</t>
  </si>
  <si>
    <t>GDP in 2014 (2010USD)</t>
  </si>
  <si>
    <t>Projected output measure</t>
  </si>
  <si>
    <t>Percentage</t>
  </si>
  <si>
    <t>SBT Methods</t>
  </si>
  <si>
    <t>Chart elements</t>
  </si>
  <si>
    <t>Tonnes of ammonia</t>
  </si>
  <si>
    <t>tCO2/t</t>
  </si>
  <si>
    <t>Methanol</t>
  </si>
  <si>
    <t>Tonnes of methanol</t>
  </si>
  <si>
    <t>Absolute Contraction Approach</t>
  </si>
  <si>
    <t>HVCs</t>
  </si>
  <si>
    <t>Tonnes of HVC (combined)</t>
  </si>
  <si>
    <t>Percentage growth rate (Linear)</t>
  </si>
  <si>
    <t>Most recent</t>
  </si>
  <si>
    <t>Near term</t>
  </si>
  <si>
    <t>Sub-sector CO2 emissions (MtCO2) Expanded list [Methods model input; Estimated]</t>
  </si>
  <si>
    <t>Iron and steel</t>
  </si>
  <si>
    <t>Cement</t>
  </si>
  <si>
    <t>Aluminium</t>
  </si>
  <si>
    <t>Pulp and paper</t>
  </si>
  <si>
    <t>OECD</t>
  </si>
  <si>
    <t>Power CO2 emissions (MtCO2) by region</t>
  </si>
  <si>
    <t>NonOECD</t>
  </si>
  <si>
    <t>Mt</t>
  </si>
  <si>
    <t>Sub-sector material production (Mt) Expanded list [Methods model input; Estimated]</t>
  </si>
  <si>
    <t>TWh</t>
  </si>
  <si>
    <t>SIpower</t>
  </si>
  <si>
    <t>Emissions intensity</t>
  </si>
  <si>
    <t>Power CO2 emissions intensity (gCO2/kWh) by region</t>
  </si>
  <si>
    <t>Linear Interpolation--&gt;</t>
  </si>
  <si>
    <t>Cumulative emissions check</t>
  </si>
  <si>
    <t>2020-2050</t>
  </si>
  <si>
    <t>IEA NZE</t>
  </si>
  <si>
    <t>Buildings</t>
  </si>
  <si>
    <t>Scenario summary</t>
  </si>
  <si>
    <t>Industry summary</t>
  </si>
  <si>
    <t>Buildings summary</t>
  </si>
  <si>
    <t>World - Beyond 2°C Scenario</t>
  </si>
  <si>
    <t>Total primary energy demand (PJ)</t>
  </si>
  <si>
    <t>Total industry final energy consumption (incl. BF, CO and chemical feedstock) (PJ)</t>
  </si>
  <si>
    <t>Buildings - Total final energy consumption (PJ)</t>
  </si>
  <si>
    <t>Oil</t>
  </si>
  <si>
    <t>Coal</t>
  </si>
  <si>
    <t>Oil products</t>
  </si>
  <si>
    <t>Natural gas</t>
  </si>
  <si>
    <t>Nuclear</t>
  </si>
  <si>
    <t>Biomass and waste</t>
  </si>
  <si>
    <t>Heat</t>
  </si>
  <si>
    <t>Biomass, waste and other renewables</t>
  </si>
  <si>
    <t>Hydro</t>
  </si>
  <si>
    <t>Biomass</t>
  </si>
  <si>
    <t>Commercial heat</t>
  </si>
  <si>
    <t>Other</t>
  </si>
  <si>
    <t>Waste</t>
  </si>
  <si>
    <t>Total</t>
  </si>
  <si>
    <t>Other renewables</t>
  </si>
  <si>
    <t>Memo: Biofuels and waste (excl. conversion losses of liquid and gaseous biofuels production)</t>
  </si>
  <si>
    <t>Buildings - Total final energy consumption by end-use (PJ)</t>
  </si>
  <si>
    <t>Space heating</t>
  </si>
  <si>
    <t>Fuel input electricity and heat generation (PJ)</t>
  </si>
  <si>
    <t>CO2 emissions (MtCO2)</t>
  </si>
  <si>
    <t>Water heating</t>
  </si>
  <si>
    <r>
      <t>Total CO</t>
    </r>
    <r>
      <rPr>
        <vertAlign val="subscript"/>
        <sz val="11"/>
        <color theme="1"/>
        <rFont val="Calibri"/>
        <family val="2"/>
        <scheme val="minor"/>
      </rPr>
      <t>2</t>
    </r>
    <r>
      <rPr>
        <sz val="10"/>
        <color theme="1"/>
        <rFont val="Arial"/>
        <family val="2"/>
      </rPr>
      <t xml:space="preserve"> emissions</t>
    </r>
  </si>
  <si>
    <t>Space cooling</t>
  </si>
  <si>
    <r>
      <t>CO</t>
    </r>
    <r>
      <rPr>
        <vertAlign val="subscript"/>
        <sz val="11"/>
        <color theme="1"/>
        <rFont val="Calibri"/>
        <family val="2"/>
        <scheme val="minor"/>
      </rPr>
      <t>2</t>
    </r>
    <r>
      <rPr>
        <sz val="10"/>
        <color theme="1"/>
        <rFont val="Arial"/>
        <family val="2"/>
      </rPr>
      <t xml:space="preserve"> captured</t>
    </r>
  </si>
  <si>
    <t>Lighting</t>
  </si>
  <si>
    <t>Appliances and miscellaneous equipments</t>
  </si>
  <si>
    <t>Cement  - final energy consumption (PJ)</t>
  </si>
  <si>
    <t>Cooking</t>
  </si>
  <si>
    <t>Geothermal</t>
  </si>
  <si>
    <t>Buildings - Total emissions by fuel (MtCO2)</t>
  </si>
  <si>
    <t>Wind</t>
  </si>
  <si>
    <t>Solar PV</t>
  </si>
  <si>
    <t>Solar CSP</t>
  </si>
  <si>
    <t>Ocean</t>
  </si>
  <si>
    <t>Hydrogen</t>
  </si>
  <si>
    <t>Chemicals and petrochemicals - final energy consumption and chemical feedstock (PJ)</t>
  </si>
  <si>
    <t>Final energy demand (PJ)</t>
  </si>
  <si>
    <t>Buildings - Total emissions by end-use (MtCO2)</t>
  </si>
  <si>
    <t>Buildings - Space heating (PJ)</t>
  </si>
  <si>
    <t>Chemicals and petrochemicals - feedstocks (PJ)</t>
  </si>
  <si>
    <t>Final energy demand industry sector (PJ)</t>
  </si>
  <si>
    <t>Buildings - Water heating (PJ)</t>
  </si>
  <si>
    <t>Iron and steel - final energy consumption incl. blast furnaces and coke ovens (PJ)</t>
  </si>
  <si>
    <t>Final energy demand non-energy use (PJ)</t>
  </si>
  <si>
    <t>Final energy demand transport sector (PJ)</t>
  </si>
  <si>
    <t>Buildings - Space cooling (PJ)</t>
  </si>
  <si>
    <t>Iron and steel - blast furnaces and coke ovens (PJ)</t>
  </si>
  <si>
    <t>Final energy demand residential sector (PJ)</t>
  </si>
  <si>
    <t>Buildings - Lighting, appliances and other equipment (PJ)</t>
  </si>
  <si>
    <t>Pulp and paper - final energy consumption (PJ)</t>
  </si>
  <si>
    <t>Final energy demand services sector (PJ)</t>
  </si>
  <si>
    <t>Buildings - Lighting (PJ)</t>
  </si>
  <si>
    <t>Aluminium - final energy consumption (PJ)</t>
  </si>
  <si>
    <t>Buildings - Appliances and miscellaneous equipments (PJ)</t>
  </si>
  <si>
    <t>Final energy demand agriculture, fisheries and forestry sector (PJ)</t>
  </si>
  <si>
    <t>Buildings - Cooking (PJ)</t>
  </si>
  <si>
    <t>Sub-sector CO2 emissions (MtCO2)</t>
  </si>
  <si>
    <t xml:space="preserve">Cement </t>
  </si>
  <si>
    <t>Gross electricity generation (TWh)</t>
  </si>
  <si>
    <t>Chemicals and petrochemicals</t>
  </si>
  <si>
    <t>Coal with CCS</t>
  </si>
  <si>
    <t>Natural gas with CCS</t>
  </si>
  <si>
    <t>Materials production (Mt)</t>
  </si>
  <si>
    <t>Residential - Total final energy consumption (PJ)</t>
  </si>
  <si>
    <t>High value chemicals</t>
  </si>
  <si>
    <t>Biomass with CCS</t>
  </si>
  <si>
    <t>Hydro (excl. pumped storage)</t>
  </si>
  <si>
    <t>Crude steel</t>
  </si>
  <si>
    <t>Wind onshore</t>
  </si>
  <si>
    <t>Paper and paperboard (excl. recovered paper)</t>
  </si>
  <si>
    <t>Wind offshore</t>
  </si>
  <si>
    <t>Total aluminium (primary and secondary)</t>
  </si>
  <si>
    <t>Residential - Total final energy consumption by end-use (PJ)</t>
  </si>
  <si>
    <t>Gross electricity capacity (GW)</t>
  </si>
  <si>
    <t>Residential - Total emissions by fuel (MtCO2)</t>
  </si>
  <si>
    <t>Services floor area (million m2)</t>
  </si>
  <si>
    <t>Residential - Total emissions by end-use (MtCO2)</t>
  </si>
  <si>
    <t>Direct CO2 emissions (Mt CO2)</t>
  </si>
  <si>
    <t>Industry</t>
  </si>
  <si>
    <t>Buildings, agriculture, fishing, non-specified other</t>
  </si>
  <si>
    <t>Transport</t>
  </si>
  <si>
    <t>Residential - Space heating (PJ)</t>
  </si>
  <si>
    <t>Other transformation</t>
  </si>
  <si>
    <t>CO2 captured (Mt CO2)</t>
  </si>
  <si>
    <t>Residential - Water heating (PJ)</t>
  </si>
  <si>
    <t>BECCS, CO2 captured (Mt CO2)</t>
  </si>
  <si>
    <t>Figure from Transition to Sustainable Buildings, IEA, 2013</t>
  </si>
  <si>
    <t>Residential floor area (million m2)</t>
  </si>
  <si>
    <t>Residential - Space cooling (PJ)</t>
  </si>
  <si>
    <t>OECD - Beyond 2°C Scenario</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</si>
  <si>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</si>
  <si>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</si>
  <si>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</si>
  <si>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</si>
  <si>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</si>
  <si>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</si>
  <si>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</si>
  <si>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</si>
  <si>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</si>
  <si>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</si>
  <si>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</si>
  <si>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</si>
  <si>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</si>
  <si>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</si>
  <si>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Non-OECD - Beyond 2°C Scenario</t>
  </si>
  <si>
    <t>Energy supply: World</t>
  </si>
  <si>
    <t>WEONZE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</si>
  <si>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</si>
  <si>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</si>
  <si>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</si>
  <si>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</si>
  <si>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</si>
  <si>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</si>
  <si>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</si>
  <si>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</si>
  <si>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</si>
  <si>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</si>
  <si>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</si>
  <si>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</si>
  <si>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</si>
  <si>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</si>
  <si>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</si>
  <si>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</si>
  <si>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</si>
  <si>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</si>
  <si>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</si>
  <si>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</si>
  <si>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</si>
  <si>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</si>
  <si>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</si>
  <si>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t>Back to contents page</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</si>
  <si>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</si>
  <si>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</si>
  <si>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</si>
  <si>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</si>
  <si>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</si>
  <si>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</si>
  <si>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</si>
  <si>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</si>
  <si>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</si>
  <si>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</si>
  <si>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</si>
  <si>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</si>
  <si>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</si>
  <si>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</si>
  <si>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</si>
  <si>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</si>
  <si>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</si>
  <si>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</si>
  <si>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</si>
  <si>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</si>
  <si>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</si>
  <si>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</si>
  <si>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</si>
  <si>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</si>
  <si>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</si>
  <si>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</si>
  <si>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</si>
  <si>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</si>
  <si>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</si>
  <si>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</si>
  <si>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</si>
  <si>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</si>
  <si>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</si>
  <si>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</si>
  <si>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</si>
  <si>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</si>
  <si>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</si>
  <si>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</si>
  <si>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</si>
  <si>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</si>
  <si>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</si>
  <si>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</si>
  <si>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</si>
  <si>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</si>
  <si>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</si>
  <si>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</si>
  <si>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</si>
  <si>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</si>
  <si>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</si>
  <si>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</si>
  <si>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</si>
  <si>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</si>
  <si>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</si>
  <si>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</si>
  <si>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</si>
  <si>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</si>
  <si>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</si>
  <si>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</si>
  <si>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</si>
  <si>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</si>
  <si>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</si>
  <si>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</si>
  <si>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</si>
  <si>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</si>
  <si>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</si>
  <si>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</si>
  <si>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</si>
  <si>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</si>
  <si>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</si>
  <si>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Figure 2.6</t>
  </si>
  <si>
    <t>DATA</t>
  </si>
  <si>
    <t>Electricity demand:</t>
  </si>
  <si>
    <t xml:space="preserve">Electricity share in consumption </t>
  </si>
  <si>
    <t>Merchant hydrogen</t>
  </si>
  <si>
    <t>Heavy industry</t>
  </si>
  <si>
    <t>Light industry</t>
  </si>
  <si>
    <t>Heating in buildings</t>
  </si>
  <si>
    <t>Light-duty vehicles</t>
  </si>
  <si>
    <t>Heavy- trucks</t>
  </si>
  <si>
    <r>
      <t>Company | ACA Method Calculated Emissions in target year (t N</t>
    </r>
    <r>
      <rPr>
        <vertAlign val="subscript"/>
        <sz val="10"/>
        <color theme="0"/>
        <rFont val="Arial"/>
        <family val="2"/>
      </rPr>
      <t>2</t>
    </r>
    <r>
      <rPr>
        <sz val="10"/>
        <color theme="0"/>
        <rFont val="Arial"/>
        <family val="2"/>
      </rPr>
      <t>O)</t>
    </r>
  </si>
  <si>
    <t>1)</t>
  </si>
  <si>
    <r>
      <t xml:space="preserve">An explanation of the data and calculations used to develop the SDA pathways for the chemicals sector can be found in the </t>
    </r>
    <r>
      <rPr>
        <b/>
        <sz val="11"/>
        <rFont val="Arial"/>
        <family val="2"/>
      </rPr>
      <t>supplemental data memorandum</t>
    </r>
    <r>
      <rPr>
        <sz val="11"/>
        <rFont val="Arial"/>
        <family val="2"/>
      </rPr>
      <t xml:space="preserve"> that has been published for public consultation alongside the consultation draft of the chemicals guidance and this draft tool. Please see the SBTi's chemicals sector webpage to view all documents available for public consultation.</t>
    </r>
  </si>
  <si>
    <t>2)</t>
  </si>
  <si>
    <t>3)</t>
  </si>
  <si>
    <r>
      <t xml:space="preserve">Data for individual years between 2020 and 2050 for heat and process-related emissions, chemical production, and electricity usage for HVC production have been calculated using linear interpolation between years for which data has been calculated as described in the </t>
    </r>
    <r>
      <rPr>
        <b/>
        <sz val="11"/>
        <rFont val="Arial"/>
        <family val="2"/>
      </rPr>
      <t>supplemental data memorandum</t>
    </r>
    <r>
      <rPr>
        <sz val="11"/>
        <rFont val="Arial"/>
        <family val="2"/>
      </rPr>
      <t xml:space="preserve">. </t>
    </r>
  </si>
  <si>
    <t>4)</t>
  </si>
  <si>
    <r>
      <t xml:space="preserve">Data for individual years between 2020 and 2050 for electricity usage for ammonia and methanol production have been calculated using linear interpolation between years for which data has been calculated as described </t>
    </r>
    <r>
      <rPr>
        <b/>
        <sz val="11"/>
        <rFont val="Arial"/>
        <family val="2"/>
      </rPr>
      <t>supplemental data memorandum</t>
    </r>
    <r>
      <rPr>
        <sz val="11"/>
        <rFont val="Arial"/>
        <family val="2"/>
      </rPr>
      <t>, modified with an assumption that there is no increase in emissions associated with electricity generation for the chemical from the prior year. This has been done to prevent temporary increases in total emissions from electricity generation that occur due to rapid increases in electricity usage projected due to increases in the use of electrolysis to produce hydrogen. Such electrolysis should be based on renewable electricity.</t>
    </r>
  </si>
  <si>
    <r>
      <t xml:space="preserve">This tool uses data extracted from the following sources, with modifications by the SBTi. For a full description of data sources, modifications, and methods used to develop the pathways in this tool, please see the </t>
    </r>
    <r>
      <rPr>
        <b/>
        <sz val="10"/>
        <color theme="0"/>
        <rFont val="Arial"/>
        <family val="2"/>
      </rPr>
      <t>supplemental data memo to the chemicals sector guidance</t>
    </r>
    <r>
      <rPr>
        <sz val="10"/>
        <color theme="0"/>
        <rFont val="Arial"/>
        <family val="2"/>
      </rPr>
      <t xml:space="preserve"> and </t>
    </r>
    <r>
      <rPr>
        <b/>
        <sz val="10"/>
        <color theme="0"/>
        <rFont val="Arial"/>
        <family val="2"/>
      </rPr>
      <t>SDA tool data notes tab</t>
    </r>
    <r>
      <rPr>
        <sz val="10"/>
        <color theme="0"/>
        <rFont val="Arial"/>
        <family val="2"/>
      </rPr>
      <t xml:space="preserve"> in this tool.</t>
    </r>
  </si>
  <si>
    <t>International Energy Agency (IEA) (2021). Net Zero by 2050. License: CC BY 4.0. IEA, Paris. Retrieved from:</t>
  </si>
  <si>
    <t>IEA (2021). Ammonia Technology Roadmap. License: CC BY 4.0. IEA, Paris. Retrieved from:</t>
  </si>
  <si>
    <t>IEA (2021). Direct CO2 emissions from primary chemical production in the Net Zero Scenario, 2015-2030. Licence: CC BY 4.0. Retrieved from:</t>
  </si>
  <si>
    <t>IEA (2023). Chemicals. Licence: CC BY 4.0. Retrieved from:</t>
  </si>
  <si>
    <t>IEA (2023). Process energy for primary chemical production, 2010-2030. Licence: CC BY 4.0. Retrieved from:</t>
  </si>
  <si>
    <t>https://www.iea.org/data-and-statistics/charts/process-energy-for-primary-chemical-production-2010-2030</t>
  </si>
  <si>
    <t>IEA (2023). World Energy Outlook 2023. License: CC BY 4.0. IEA, Paris. Retrieved from:</t>
  </si>
  <si>
    <t>SBTi Near-term Criteria and recommendations</t>
  </si>
  <si>
    <t>SBTi Corporate Net-Zero Standard</t>
  </si>
  <si>
    <t>Base year | Emissions from electricity generation (both purchased and self-generated)</t>
  </si>
  <si>
    <t>Base year | Heat and process-related emissions (both purchased and self-generated)</t>
  </si>
  <si>
    <t>Sector electricity-related emissions intensity</t>
  </si>
  <si>
    <t>Sector heat and process emissions intensity</t>
  </si>
  <si>
    <t>Heat and process-related emissions difference parameter</t>
  </si>
  <si>
    <t>Heat and process-related emissions convergence index</t>
  </si>
  <si>
    <t>Heat and process-related emissions target</t>
  </si>
  <si>
    <t>Electricity-related emissions difference parameter</t>
  </si>
  <si>
    <t>Electricity-related emissions convergence index</t>
  </si>
  <si>
    <t>Electricity-related emissions target</t>
  </si>
  <si>
    <t>Total emissions difference parameter</t>
  </si>
  <si>
    <t>Total emissions convergence index</t>
  </si>
  <si>
    <t>Total emissions target</t>
  </si>
  <si>
    <t>Near-term Target ambition</t>
  </si>
  <si>
    <t>Heat and process-related target</t>
  </si>
  <si>
    <t>Electricity-related target</t>
  </si>
  <si>
    <t>Front end of the target setting tool aimed at modelling SBTs for emissions from primary chemicals in line with current SBTi ambition requirements. It calculates targets using  the SDA method for each primary chemical production boundary.</t>
  </si>
  <si>
    <t xml:space="preserve">Tool for calculating targets on N2O emissions from the use of sold N-fertilizers in scope 3 category 11 </t>
  </si>
  <si>
    <t>Data and calculations used in modeling  targets. Back-end data is password protected.</t>
  </si>
  <si>
    <t>Chemical | Heat and process-related</t>
  </si>
  <si>
    <t>Chemical | Electricity-related</t>
  </si>
  <si>
    <t>Chemical | Total emissions intensity (tCO2/t)</t>
  </si>
  <si>
    <t>Company | ACA Method Calculated Absolute Emissions Reduction (%)</t>
  </si>
  <si>
    <r>
      <t>Company | Threshold Calculated Emissions in target year (t N</t>
    </r>
    <r>
      <rPr>
        <vertAlign val="subscript"/>
        <sz val="10"/>
        <color theme="0"/>
        <rFont val="Arial"/>
        <family val="2"/>
      </rPr>
      <t>2</t>
    </r>
    <r>
      <rPr>
        <sz val="10"/>
        <color theme="0"/>
        <rFont val="Arial"/>
        <family val="2"/>
      </rPr>
      <t>O)</t>
    </r>
  </si>
  <si>
    <t>Company | Threshold Calculated Absolute Emissions Reduction (%)</t>
  </si>
  <si>
    <r>
      <t>kg N</t>
    </r>
    <r>
      <rPr>
        <i/>
        <vertAlign val="subscript"/>
        <sz val="10"/>
        <rFont val="Arial"/>
        <family val="2"/>
      </rPr>
      <t>2</t>
    </r>
    <r>
      <rPr>
        <i/>
        <sz val="10"/>
        <rFont val="Arial"/>
        <family val="2"/>
      </rPr>
      <t>O/t Nitric Acid (Fixed)</t>
    </r>
  </si>
  <si>
    <r>
      <t>tN</t>
    </r>
    <r>
      <rPr>
        <i/>
        <vertAlign val="subscript"/>
        <sz val="10"/>
        <color theme="1"/>
        <rFont val="Arial"/>
        <family val="2"/>
      </rPr>
      <t>2</t>
    </r>
    <r>
      <rPr>
        <i/>
        <sz val="10"/>
        <color theme="1"/>
        <rFont val="Arial"/>
        <family val="2"/>
      </rPr>
      <t>O</t>
    </r>
  </si>
  <si>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</si>
  <si>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Chemicals SDA Target Setting Tool Consultation Draft Data Notes</t>
  </si>
  <si>
    <t>SDA Tool Pathway Data Notes for Consultation Draft</t>
  </si>
  <si>
    <t>5)</t>
  </si>
  <si>
    <t xml:space="preserve">You are using the CONSULTATION DRAFT version of this tool, available for public consultation. For clarifications on tool version eligibility please contact info@sciencebasedtargets.org. </t>
  </si>
  <si>
    <t>CONSULTATION DRAFT</t>
  </si>
  <si>
    <t>Draft for Public Consultation</t>
  </si>
  <si>
    <r>
      <t xml:space="preserve">Using the Primary Chemicals SDA tool - </t>
    </r>
    <r>
      <rPr>
        <b/>
        <sz val="16"/>
        <color rgb="FFFF0000"/>
        <rFont val="Arial"/>
        <family val="2"/>
      </rPr>
      <t xml:space="preserve">Please see the </t>
    </r>
    <r>
      <rPr>
        <b/>
        <i/>
        <sz val="16"/>
        <color rgb="FFFF0000"/>
        <rFont val="Arial"/>
        <family val="2"/>
      </rPr>
      <t>SDA Tool Data Notes</t>
    </r>
    <r>
      <rPr>
        <b/>
        <sz val="16"/>
        <color rgb="FFFF0000"/>
        <rFont val="Arial"/>
        <family val="2"/>
      </rPr>
      <t xml:space="preserve"> tab for important information regarding this CONSULTATION DRAFT</t>
    </r>
  </si>
  <si>
    <r>
      <t xml:space="preserve">Data for 2020, 2030, 2040, and 2050 for direct emissions, electricity usage, and chemical production have been calculated as described in the </t>
    </r>
    <r>
      <rPr>
        <b/>
        <sz val="11"/>
        <rFont val="Arial"/>
        <family val="2"/>
      </rPr>
      <t>supplemental data memorandum.</t>
    </r>
    <r>
      <rPr>
        <sz val="11"/>
        <rFont val="Arial"/>
        <family val="2"/>
      </rPr>
      <t xml:space="preserve"> Data for years before 2020 have been set equal to the data for 2020.</t>
    </r>
  </si>
  <si>
    <r>
      <t xml:space="preserve">Long-term targets using on any of the SDA pathways for primary chemicals shall be set to achieve at, or below, the 2050 emissions intensity convergence point for the particular chemical by no later than 2050. Upon finalization of the chemicals sector guidance, the primary chemical pathways will be integrated in the SBTi's </t>
    </r>
    <r>
      <rPr>
        <b/>
        <sz val="11"/>
        <rFont val="Arial"/>
        <family val="2"/>
      </rPr>
      <t>Corporate Net-Zero Tool</t>
    </r>
    <r>
      <rPr>
        <sz val="11"/>
        <rFont val="Arial"/>
        <family val="2"/>
      </rPr>
      <t xml:space="preserve"> to assist companies in setting net-zero targets</t>
    </r>
    <r>
      <rPr>
        <b/>
        <sz val="11"/>
        <rFont val="Arial"/>
        <family val="2"/>
      </rPr>
      <t>.</t>
    </r>
    <r>
      <rPr>
        <sz val="11"/>
        <rFont val="Arial"/>
        <family val="2"/>
      </rPr>
      <t xml:space="preserve"> For current reference during this public consultation period, the 2050 emissions intensity convergence points for each primary chemical pathway can be found in the </t>
    </r>
    <r>
      <rPr>
        <b/>
        <sz val="11"/>
        <rFont val="Arial"/>
        <family val="2"/>
      </rPr>
      <t>supplemental data memorandum.</t>
    </r>
    <r>
      <rPr>
        <sz val="11"/>
        <rFont val="Arial"/>
        <family val="2"/>
      </rPr>
      <t xml:space="preserve"> </t>
    </r>
  </si>
  <si>
    <t>This tab contains important notes regarding this CONSULTATION DRAFT of the Chemicals Sector Target-Setting Tool. Users should consider these notes when reviewing this initial draft of the Tool. The content and/or function of this Tool may be updated before the next consultation period.</t>
  </si>
  <si>
    <t>Sector power consumption (assumed no S2 emissions increase year to year)</t>
  </si>
  <si>
    <t>6)</t>
  </si>
  <si>
    <r>
      <t>Enter base year, base year emissions, target year and target option in section 1 of the S3-Fertilizer N</t>
    </r>
    <r>
      <rPr>
        <vertAlign val="subscript"/>
        <sz val="12"/>
        <color theme="0"/>
        <rFont val="Arial"/>
        <family val="2"/>
      </rPr>
      <t>2</t>
    </r>
    <r>
      <rPr>
        <sz val="12"/>
        <color theme="0"/>
        <rFont val="Arial"/>
        <family val="2"/>
      </rPr>
      <t>O Tool sheet.</t>
    </r>
  </si>
  <si>
    <t>Chemical | Heat and process-related emissions</t>
  </si>
  <si>
    <t>Chemical | Electricity-related emissions (calculated)</t>
  </si>
  <si>
    <t>Chemical | Electricity-related emissions  (assumed no S2 emissions increase year to year)</t>
  </si>
  <si>
    <t>Chemical | Heat and process-related emissions intensity (tCO2/t)</t>
  </si>
  <si>
    <t>Chemical | Electricity-related emissions intensity (tCO2/t)</t>
  </si>
  <si>
    <r>
      <t>Electricity-related emissions for each chemical for each year have been calculated based on the projected electricity usage for each chemical's production in each year and the emissions intenstiy in t CO</t>
    </r>
    <r>
      <rPr>
        <vertAlign val="subscript"/>
        <sz val="11"/>
        <rFont val="Arial"/>
        <family val="2"/>
      </rPr>
      <t>2</t>
    </r>
    <r>
      <rPr>
        <sz val="11"/>
        <rFont val="Arial"/>
        <family val="2"/>
      </rPr>
      <t xml:space="preserve"> / MWh for each year in the SBTi's SDA Pathway for the Power Sector. More details on the SDA Pathway for the Power Sector can be found in the SBTi's </t>
    </r>
    <r>
      <rPr>
        <b/>
        <sz val="11"/>
        <rFont val="Arial"/>
        <family val="2"/>
      </rPr>
      <t>Quick Start Guide for Electric Utilities</t>
    </r>
    <r>
      <rPr>
        <sz val="11"/>
        <rFont val="Arial"/>
        <family val="2"/>
      </rPr>
      <t xml:space="preserve"> found on the SBTi's Power Sector webpage.</t>
    </r>
  </si>
  <si>
    <t>Note: Total emissions intensity targets are modeled against a combined sector convergence pathway, therefore these targets will vary slightly from the sum of heat and process-related and electricity-related intensity targets.</t>
  </si>
  <si>
    <t>Company | Heat and process-related emissions intensity (tCO2/t)</t>
  </si>
  <si>
    <t>Company | Heat and process-related emissions (tCO2/)</t>
  </si>
  <si>
    <t>Company | Electricity-related emissions intensity (tCO2/t)</t>
  </si>
  <si>
    <t>Company | Electricity-related emissions (tCO2)</t>
  </si>
  <si>
    <t>Company | Total emissions intensity (tCO2/t)</t>
  </si>
  <si>
    <t>Company | Total emissions (tCO2)</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</si>
  <si>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</si>
  <si>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LC combined scenario</t>
  </si>
  <si>
    <t>Near Term Target - Minimum Target (wt% C content)</t>
  </si>
  <si>
    <t>Long Term Target - Minimum Target (wt% C content)</t>
  </si>
  <si>
    <t>Near Term Target - Recommended Target (wt% C content)</t>
  </si>
  <si>
    <t>Long Term Target - Recommended Target  (wt% C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</si>
</sst>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 ##0"/>
    <numFmt numFmtId="165" formatCode="#,##0.000000"/>
    <numFmt numFmtId="166" formatCode="0.0%"/>
    <numFmt numFmtId="167" formatCode="#,##0.0"/>
    <numFmt numFmtId="168" formatCode="0.000"/>
    <numFmt numFmtId="169" formatCode="[$-409]d\-mmm\-yy;@"/>
    <numFmt numFmtId="170" formatCode="#,##0.000"/>
    <numFmt numFmtId="171" formatCode="#,##0.0000"/>
    <numFmt numFmtId="172" formatCode="0.0000"/>
    <numFmt numFmtId="173" formatCode="0.0"/>
    <numFmt numFmtId="174" formatCode="##0\ \ \ \ ;\-##0\ \ \ \ "/>
    <numFmt numFmtId="175" formatCode="0.0\ \ \ ;\-0.0\ \ \ ;\-\ \ \ "/>
    <numFmt numFmtId="176" formatCode="###0\ ;\-###0\ ;\-\ "/>
    <numFmt numFmtId="177" formatCode="0\ \ \ ;\-0\ \ \ ;\-\ \ \ "/>
    <numFmt numFmtId="178" formatCode="#\ ##0\ ;\-#\ ##0\ ;\-\ "/>
    <numFmt numFmtId="179" formatCode="0\ \ ;\-0\ \ ;\-\ \ "/>
    <numFmt numFmtId="180" formatCode="0\ ;\-0\ ;\-\ "/>
    <numFmt numFmtId="181" formatCode="##0.0\ \ \ ;\-##0.0\ \ \ "/>
    <numFmt numFmtId="182" formatCode="##0\ \ \ ;\-##0\ \ \ "/>
    <numFmt numFmtId="183" formatCode="0\ \ ;\-0\ \ "/>
    <numFmt numFmtId="184" formatCode="0\ \ \ ;\-0\ \ \ "/>
    <numFmt numFmtId="185" formatCode="0\ "/>
    <numFmt numFmtId="186" formatCode="0\ \ \ "/>
    <numFmt numFmtId="187" formatCode="#\ ##0\ \ \ ;\-#\ ##0\ \ \ ;\-\ \ \ "/>
    <numFmt numFmtId="188" formatCode="#\ ##0\ ;\-#\ ##0\ ;\-\ \ "/>
    <numFmt numFmtId="189" formatCode="0.0\ \ ;\-0.0\ \ ;\-\ \ "/>
    <numFmt numFmtId="190" formatCode="0.000\ ;\-0.000\ ;\-\ \ \ "/>
    <numFmt numFmtId="191" formatCode="#.\ ##0\ ;\-#.\ ##0\ ;\-\ "/>
    <numFmt numFmtId="192" formatCode="0.00\ ;\-0.00\ ;\-\ \ \ "/>
    <numFmt numFmtId="193" formatCode="0.0;\-0.0;\-"/>
    <numFmt numFmtId="194" formatCode="#,##0.00000"/>
  </numFmts>
  <fonts count="113"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b/>
      <sz val="10"/>
      <name val="Arial"/>
      <family val="2"/>
    </font>
    <font>
      <sz val="9"/>
      <color theme="1"/>
      <name val="Calibri"/>
      <family val="2"/>
    </font>
    <font>
      <b/>
      <sz val="18"/>
      <color theme="1"/>
      <name val="Calibri"/>
      <family val="2"/>
      <scheme val="minor"/>
    </font>
    <font>
      <b/>
      <sz val="10.5"/>
      <color theme="1"/>
      <name val="Calibri"/>
      <family val="2"/>
      <scheme val="minor"/>
    </font>
    <font>
      <sz val="14"/>
      <color rgb="FFC00000"/>
      <name val="Arial"/>
      <family val="2"/>
    </font>
    <font>
      <b/>
      <sz val="14"/>
      <color rgb="FFC00000"/>
      <name val="Arial"/>
      <family val="2"/>
    </font>
    <font>
      <sz val="8"/>
      <name val="Arial"/>
      <family val="2"/>
    </font>
    <font>
      <vertAlign val="subscript"/>
      <sz val="11"/>
      <color theme="0"/>
      <name val="Arial"/>
      <family val="2"/>
    </font>
    <font>
      <sz val="9"/>
      <color rgb="FFC00000"/>
      <name val="Arial"/>
      <family val="2"/>
    </font>
    <font>
      <vertAlign val="subscript"/>
      <sz val="10"/>
      <color theme="1"/>
      <name val="Arial"/>
      <family val="2"/>
    </font>
    <font>
      <vertAlign val="subscript"/>
      <sz val="10"/>
      <color theme="0"/>
      <name val="Arial"/>
      <family val="2"/>
    </font>
    <font>
      <b/>
      <vertAlign val="subscript"/>
      <sz val="22"/>
      <color theme="1"/>
      <name val="Arial"/>
      <family val="2"/>
    </font>
    <font>
      <i/>
      <vertAlign val="subscript"/>
      <sz val="10"/>
      <color theme="1"/>
      <name val="Arial"/>
      <family val="2"/>
    </font>
    <font>
      <i/>
      <vertAlign val="subscript"/>
      <sz val="10"/>
      <name val="Arial"/>
      <family val="2"/>
    </font>
    <font>
      <sz val="18"/>
      <color theme="0"/>
      <name val="Arial"/>
      <family val="2"/>
    </font>
    <font>
      <b/>
      <sz val="20"/>
      <color rgb="FFC00000"/>
      <name val="Arial"/>
      <family val="2"/>
    </font>
    <font>
      <vertAlign val="subscript"/>
      <sz val="12"/>
      <color theme="0"/>
      <name val="Arial"/>
      <family val="2"/>
    </font>
    <font>
      <b/>
      <vertAlign val="subscript"/>
      <sz val="20"/>
      <color rgb="FFC00000"/>
      <name val="Arial"/>
      <family val="2"/>
    </font>
    <font>
      <b/>
      <sz val="20"/>
      <color rgb="FF00B050"/>
      <name val="Arial"/>
      <family val="2"/>
    </font>
    <font>
      <b/>
      <sz val="20"/>
      <color rgb="FF7030A0"/>
      <name val="Arial"/>
      <family val="2"/>
    </font>
    <font>
      <b/>
      <sz val="20"/>
      <color theme="4" tint="-0.249977111117893"/>
      <name val="Arial"/>
      <family val="2"/>
    </font>
    <font>
      <sz val="11"/>
      <name val="Arial"/>
      <family val="2"/>
    </font>
    <font>
      <b/>
      <sz val="11"/>
      <name val="Arial"/>
      <family val="2"/>
    </font>
    <font>
      <b/>
      <sz val="16"/>
      <color rgb="FFFF0000"/>
      <name val="Arial"/>
      <family val="2"/>
    </font>
    <font>
      <b/>
      <i/>
      <sz val="16"/>
      <color rgb="FFFF0000"/>
      <name val="Arial"/>
      <family val="2"/>
    </font>
    <font>
      <i/>
      <sz val="11"/>
      <name val="Arial"/>
      <family val="2"/>
    </font>
    <font>
      <vertAlign val="subscript"/>
      <sz val="11"/>
      <name val="Arial"/>
      <family val="2"/>
    </font>
  </fonts>
  <fills count="2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
      <patternFill patternType="solid">
        <fgColor rgb="FF7030A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59999389629810485"/>
        <bgColor indexed="64"/>
      </patternFill>
    </fill>
  </fills>
  <borders count="45">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1" fillId="0" borderId="0"/>
    <xf numFmtId="9" fontId="31" fillId="0" borderId="0" applyFont="0" applyFill="0" applyBorder="0" applyAlignment="0" applyProtection="0"/>
    <xf numFmtId="0" fontId="34" fillId="0" borderId="0" applyNumberFormat="0" applyFill="0" applyBorder="0" applyAlignment="0" applyProtection="0"/>
    <xf numFmtId="0" fontId="52" fillId="0" borderId="0"/>
    <xf numFmtId="0" fontId="64" fillId="0" borderId="0" applyNumberFormat="0" applyFill="0" applyBorder="0" applyAlignment="0" applyProtection="0">
      <alignment vertical="top"/>
      <protection locked="0"/>
    </xf>
    <xf numFmtId="9" fontId="52" fillId="0" borderId="0" applyFont="0" applyFill="0" applyBorder="0" applyAlignment="0" applyProtection="0"/>
  </cellStyleXfs>
  <cellXfs count="668">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29"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2" fillId="3" borderId="1" xfId="0" applyFont="1" applyFill="1" applyBorder="1" applyAlignment="1" applyProtection="1">
      <alignment vertical="center"/>
      <protection hidden="1"/>
    </xf>
    <xf numFmtId="0" fontId="33"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9" fontId="5" fillId="0" borderId="0" xfId="2" applyFont="1" applyAlignment="1">
      <alignment horizontal="center"/>
    </xf>
    <xf numFmtId="4" fontId="5" fillId="0" borderId="0" xfId="0" applyNumberFormat="1" applyFont="1"/>
    <xf numFmtId="0" fontId="37" fillId="3" borderId="1" xfId="0" applyFont="1" applyFill="1" applyBorder="1" applyAlignment="1" applyProtection="1">
      <alignment vertical="center"/>
      <protection hidden="1"/>
    </xf>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5" fillId="3" borderId="0" xfId="6" applyFont="1" applyFill="1" applyBorder="1" applyAlignment="1" applyProtection="1">
      <alignment vertical="center"/>
      <protection hidden="1"/>
    </xf>
    <xf numFmtId="0" fontId="30" fillId="3" borderId="0" xfId="0" applyFont="1" applyFill="1" applyAlignment="1" applyProtection="1">
      <alignment vertical="center"/>
      <protection hidden="1"/>
    </xf>
    <xf numFmtId="0" fontId="2" fillId="0" borderId="0" xfId="0" applyFont="1" applyAlignment="1">
      <alignment horizontal="right"/>
    </xf>
    <xf numFmtId="10" fontId="43" fillId="8" borderId="0" xfId="2" applyNumberFormat="1" applyFont="1" applyFill="1"/>
    <xf numFmtId="164" fontId="44" fillId="3" borderId="0" xfId="0" applyNumberFormat="1" applyFont="1" applyFill="1"/>
    <xf numFmtId="164" fontId="45" fillId="3" borderId="0" xfId="0" applyNumberFormat="1" applyFont="1" applyFill="1"/>
    <xf numFmtId="0" fontId="45" fillId="0" borderId="0" xfId="0" applyFont="1"/>
    <xf numFmtId="166" fontId="5" fillId="0" borderId="0" xfId="2" applyNumberFormat="1" applyFont="1"/>
    <xf numFmtId="0" fontId="33" fillId="3" borderId="0" xfId="0" applyFont="1" applyFill="1" applyAlignment="1" applyProtection="1">
      <alignment vertical="center"/>
      <protection hidden="1"/>
    </xf>
    <xf numFmtId="0" fontId="39" fillId="3" borderId="0" xfId="0" applyFont="1" applyFill="1" applyAlignment="1">
      <alignment vertical="center" wrapText="1"/>
    </xf>
    <xf numFmtId="0" fontId="46" fillId="3" borderId="0" xfId="0" applyFont="1" applyFill="1" applyAlignment="1">
      <alignment vertical="center" wrapText="1"/>
    </xf>
    <xf numFmtId="0" fontId="37" fillId="3" borderId="0" xfId="0" applyFont="1" applyFill="1" applyAlignment="1" applyProtection="1">
      <alignment vertical="center"/>
      <protection hidden="1"/>
    </xf>
    <xf numFmtId="0" fontId="32" fillId="3" borderId="0" xfId="0" applyFont="1" applyFill="1" applyAlignment="1" applyProtection="1">
      <alignment vertical="center"/>
      <protection hidden="1"/>
    </xf>
    <xf numFmtId="0" fontId="33" fillId="11" borderId="0" xfId="0" applyFont="1" applyFill="1" applyAlignment="1" applyProtection="1">
      <alignment vertical="center"/>
      <protection hidden="1"/>
    </xf>
    <xf numFmtId="0" fontId="53" fillId="11" borderId="0" xfId="0" applyFont="1" applyFill="1" applyAlignment="1" applyProtection="1">
      <alignment vertical="center"/>
      <protection hidden="1"/>
    </xf>
    <xf numFmtId="0" fontId="52"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1" fillId="2" borderId="0" xfId="0" applyNumberFormat="1" applyFont="1" applyFill="1"/>
    <xf numFmtId="0" fontId="50" fillId="11" borderId="0" xfId="0" applyFont="1" applyFill="1" applyAlignment="1">
      <alignment horizontal="left" vertical="top" wrapText="1"/>
    </xf>
    <xf numFmtId="0" fontId="0" fillId="10" borderId="0" xfId="0" applyFill="1"/>
    <xf numFmtId="167" fontId="0" fillId="8" borderId="0" xfId="0" applyNumberFormat="1" applyFill="1"/>
    <xf numFmtId="0" fontId="0" fillId="3" borderId="0" xfId="0" applyFill="1" applyAlignment="1">
      <alignment vertical="center"/>
    </xf>
    <xf numFmtId="0" fontId="31" fillId="3" borderId="1" xfId="4" applyFill="1" applyBorder="1"/>
    <xf numFmtId="0" fontId="31" fillId="3" borderId="0" xfId="4" applyFill="1" applyAlignment="1">
      <alignment vertical="top" wrapText="1"/>
    </xf>
    <xf numFmtId="0" fontId="36" fillId="3" borderId="0" xfId="4" applyFont="1" applyFill="1" applyAlignment="1">
      <alignment horizontal="left" vertical="top" wrapText="1"/>
    </xf>
    <xf numFmtId="0" fontId="5" fillId="3" borderId="0" xfId="0" applyFont="1" applyFill="1"/>
    <xf numFmtId="0" fontId="54" fillId="0" borderId="0" xfId="0" applyFont="1"/>
    <xf numFmtId="0" fontId="41" fillId="11" borderId="6" xfId="0" applyFont="1" applyFill="1" applyBorder="1" applyAlignment="1">
      <alignment horizontal="center" vertical="center"/>
    </xf>
    <xf numFmtId="0" fontId="41" fillId="11" borderId="8" xfId="0" quotePrefix="1" applyFont="1" applyFill="1" applyBorder="1" applyAlignment="1">
      <alignment horizontal="center" vertical="center"/>
    </xf>
    <xf numFmtId="0" fontId="51"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47" fillId="0" borderId="0" xfId="0" applyFont="1"/>
    <xf numFmtId="0" fontId="0" fillId="11" borderId="0" xfId="0" applyFill="1"/>
    <xf numFmtId="0" fontId="46" fillId="11" borderId="0" xfId="0" applyFont="1" applyFill="1" applyAlignment="1">
      <alignment horizontal="center" vertical="top"/>
    </xf>
    <xf numFmtId="0" fontId="50" fillId="11" borderId="0" xfId="0" applyFont="1" applyFill="1"/>
    <xf numFmtId="0" fontId="3" fillId="0" borderId="0" xfId="0" applyFont="1"/>
    <xf numFmtId="0" fontId="56"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5" fillId="0" borderId="0" xfId="6" applyFont="1" applyFill="1" applyBorder="1" applyAlignment="1" applyProtection="1">
      <alignment vertical="center"/>
    </xf>
    <xf numFmtId="0" fontId="23" fillId="13" borderId="0" xfId="4" applyFont="1" applyFill="1"/>
    <xf numFmtId="0" fontId="35" fillId="0" borderId="0" xfId="6" applyFont="1" applyProtection="1"/>
    <xf numFmtId="166" fontId="0" fillId="0" borderId="0" xfId="2" applyNumberFormat="1" applyFont="1" applyProtection="1"/>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10" fontId="0" fillId="0" borderId="0" xfId="2" applyNumberFormat="1" applyFont="1" applyProtection="1"/>
    <xf numFmtId="1" fontId="2" fillId="0" borderId="0" xfId="0" applyNumberFormat="1" applyFont="1"/>
    <xf numFmtId="168" fontId="0" fillId="0" borderId="0" xfId="0" applyNumberFormat="1"/>
    <xf numFmtId="166" fontId="5" fillId="8" borderId="4" xfId="2" applyNumberFormat="1" applyFont="1" applyFill="1" applyBorder="1" applyAlignment="1" applyProtection="1">
      <alignment horizontal="center" vertical="center"/>
    </xf>
    <xf numFmtId="166" fontId="5" fillId="8" borderId="5" xfId="2" applyNumberFormat="1" applyFont="1" applyFill="1" applyBorder="1" applyAlignment="1" applyProtection="1">
      <alignment horizontal="center" vertical="center"/>
    </xf>
    <xf numFmtId="166" fontId="5" fillId="8" borderId="3" xfId="2" applyNumberFormat="1" applyFont="1" applyFill="1" applyBorder="1" applyAlignment="1" applyProtection="1">
      <alignment horizontal="center" vertical="center"/>
    </xf>
    <xf numFmtId="171" fontId="0" fillId="7" borderId="0" xfId="0" applyNumberFormat="1" applyFill="1"/>
    <xf numFmtId="3" fontId="38" fillId="0" borderId="0" xfId="0" quotePrefix="1" applyNumberFormat="1" applyFont="1"/>
    <xf numFmtId="0" fontId="2" fillId="0" borderId="0" xfId="0" applyFont="1" applyAlignment="1">
      <alignment wrapText="1"/>
    </xf>
    <xf numFmtId="0" fontId="41" fillId="0" borderId="0" xfId="0" quotePrefix="1" applyFont="1" applyAlignment="1">
      <alignment horizontal="center"/>
    </xf>
    <xf numFmtId="9" fontId="38"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0" fontId="0" fillId="0" borderId="0" xfId="0" applyAlignment="1">
      <alignment horizontal="center"/>
    </xf>
    <xf numFmtId="0" fontId="62" fillId="15" borderId="0" xfId="7" applyFont="1" applyFill="1" applyAlignment="1" applyProtection="1">
      <alignment vertical="center"/>
      <protection locked="0"/>
    </xf>
    <xf numFmtId="0" fontId="63" fillId="3" borderId="0" xfId="7" applyFont="1" applyFill="1" applyAlignment="1">
      <alignment vertical="center"/>
    </xf>
    <xf numFmtId="1" fontId="63" fillId="3" borderId="0" xfId="7" applyNumberFormat="1" applyFont="1" applyFill="1" applyAlignment="1">
      <alignment vertical="center"/>
    </xf>
    <xf numFmtId="174" fontId="63" fillId="3" borderId="0" xfId="7" applyNumberFormat="1" applyFont="1" applyFill="1" applyAlignment="1">
      <alignment vertical="center"/>
    </xf>
    <xf numFmtId="0" fontId="63" fillId="3" borderId="0" xfId="7" applyFont="1" applyFill="1" applyAlignment="1" applyProtection="1">
      <alignment vertical="center"/>
      <protection locked="0"/>
    </xf>
    <xf numFmtId="0" fontId="65" fillId="16" borderId="0" xfId="8" applyFont="1" applyFill="1" applyBorder="1" applyAlignment="1" applyProtection="1">
      <alignment vertical="center"/>
    </xf>
    <xf numFmtId="0" fontId="66" fillId="16" borderId="0" xfId="7" applyFont="1" applyFill="1" applyAlignment="1">
      <alignment vertical="center"/>
    </xf>
    <xf numFmtId="175" fontId="66" fillId="16" borderId="0" xfId="7" applyNumberFormat="1" applyFont="1" applyFill="1" applyAlignment="1">
      <alignment vertical="center"/>
    </xf>
    <xf numFmtId="0" fontId="67" fillId="16" borderId="0" xfId="7" applyFont="1" applyFill="1" applyAlignment="1" applyProtection="1">
      <alignment vertical="center"/>
      <protection locked="0"/>
    </xf>
    <xf numFmtId="0" fontId="68" fillId="17" borderId="0" xfId="7" applyFont="1" applyFill="1" applyAlignment="1">
      <alignment vertical="center"/>
    </xf>
    <xf numFmtId="0" fontId="68" fillId="17" borderId="0" xfId="7" applyFont="1" applyFill="1" applyAlignment="1">
      <alignment horizontal="centerContinuous" vertical="center"/>
    </xf>
    <xf numFmtId="0" fontId="68" fillId="17" borderId="0" xfId="7" applyFont="1" applyFill="1" applyAlignment="1">
      <alignment horizontal="centerContinuous" vertical="center" wrapText="1"/>
    </xf>
    <xf numFmtId="0" fontId="63" fillId="17" borderId="0" xfId="7" applyFont="1" applyFill="1" applyAlignment="1">
      <alignment horizontal="centerContinuous" vertical="center" wrapText="1"/>
    </xf>
    <xf numFmtId="0" fontId="69" fillId="16" borderId="0" xfId="7" applyFont="1" applyFill="1" applyAlignment="1" applyProtection="1">
      <alignment vertical="center"/>
      <protection locked="0"/>
    </xf>
    <xf numFmtId="9" fontId="68" fillId="17" borderId="0" xfId="7" applyNumberFormat="1" applyFont="1" applyFill="1" applyAlignment="1">
      <alignment horizontal="left" vertical="center"/>
    </xf>
    <xf numFmtId="0" fontId="68" fillId="17" borderId="12" xfId="7" applyFont="1" applyFill="1" applyBorder="1" applyAlignment="1">
      <alignment horizontal="center" vertical="center"/>
    </xf>
    <xf numFmtId="176" fontId="68" fillId="17" borderId="0" xfId="7" applyNumberFormat="1" applyFont="1" applyFill="1" applyAlignment="1">
      <alignment vertical="center"/>
    </xf>
    <xf numFmtId="0" fontId="68" fillId="17" borderId="12" xfId="7" applyFont="1" applyFill="1" applyBorder="1" applyAlignment="1">
      <alignment horizontal="center" vertical="center" wrapText="1"/>
    </xf>
    <xf numFmtId="0" fontId="70" fillId="18" borderId="0" xfId="7" applyFont="1" applyFill="1" applyAlignment="1">
      <alignment horizontal="left" vertical="center"/>
    </xf>
    <xf numFmtId="177" fontId="70" fillId="18" borderId="0" xfId="7" applyNumberFormat="1" applyFont="1" applyFill="1" applyAlignment="1">
      <alignment horizontal="right" vertical="center"/>
    </xf>
    <xf numFmtId="178" fontId="70" fillId="18" borderId="13" xfId="7" applyNumberFormat="1" applyFont="1" applyFill="1" applyBorder="1" applyAlignment="1">
      <alignment horizontal="right" vertical="center"/>
    </xf>
    <xf numFmtId="179" fontId="70" fillId="18" borderId="0" xfId="9" applyNumberFormat="1" applyFont="1" applyFill="1" applyBorder="1" applyAlignment="1" applyProtection="1">
      <alignment horizontal="right" vertical="center"/>
    </xf>
    <xf numFmtId="180" fontId="70" fillId="18" borderId="14" xfId="9" applyNumberFormat="1" applyFont="1" applyFill="1" applyBorder="1" applyAlignment="1" applyProtection="1">
      <alignment horizontal="right" vertical="center"/>
    </xf>
    <xf numFmtId="181" fontId="70" fillId="18" borderId="0" xfId="9" applyNumberFormat="1" applyFont="1" applyFill="1" applyBorder="1" applyAlignment="1" applyProtection="1">
      <alignment horizontal="right" vertical="center"/>
    </xf>
    <xf numFmtId="177" fontId="69" fillId="16" borderId="0" xfId="7" applyNumberFormat="1" applyFont="1" applyFill="1" applyAlignment="1" applyProtection="1">
      <alignment vertical="center"/>
      <protection locked="0"/>
    </xf>
    <xf numFmtId="0" fontId="69" fillId="16" borderId="0" xfId="7" applyFont="1" applyFill="1" applyAlignment="1">
      <alignment horizontal="left" vertical="center"/>
    </xf>
    <xf numFmtId="177" fontId="69" fillId="16" borderId="0" xfId="7" applyNumberFormat="1" applyFont="1" applyFill="1" applyAlignment="1">
      <alignment horizontal="right" vertical="center"/>
    </xf>
    <xf numFmtId="177" fontId="71" fillId="18" borderId="0" xfId="7" applyNumberFormat="1" applyFont="1" applyFill="1" applyAlignment="1">
      <alignment horizontal="right" vertical="center"/>
    </xf>
    <xf numFmtId="178" fontId="69" fillId="16" borderId="13" xfId="7" applyNumberFormat="1" applyFont="1" applyFill="1" applyBorder="1" applyAlignment="1">
      <alignment horizontal="right" vertical="center"/>
    </xf>
    <xf numFmtId="179" fontId="69" fillId="16" borderId="0" xfId="9" applyNumberFormat="1" applyFont="1" applyFill="1" applyBorder="1" applyAlignment="1" applyProtection="1">
      <alignment horizontal="right" vertical="center"/>
    </xf>
    <xf numFmtId="180" fontId="69" fillId="16" borderId="14" xfId="9" applyNumberFormat="1" applyFont="1" applyFill="1" applyBorder="1" applyAlignment="1" applyProtection="1">
      <alignment horizontal="right" vertical="center"/>
    </xf>
    <xf numFmtId="181" fontId="69" fillId="16" borderId="0" xfId="9" applyNumberFormat="1" applyFont="1" applyFill="1" applyBorder="1" applyAlignment="1" applyProtection="1">
      <alignment horizontal="right" vertical="center"/>
    </xf>
    <xf numFmtId="0" fontId="72" fillId="16" borderId="0" xfId="7" applyFont="1" applyFill="1" applyAlignment="1">
      <alignment horizontal="left" vertical="center" wrapText="1" indent="1"/>
    </xf>
    <xf numFmtId="177" fontId="72" fillId="16" borderId="0" xfId="7" applyNumberFormat="1" applyFont="1" applyFill="1" applyAlignment="1">
      <alignment horizontal="right" vertical="center"/>
    </xf>
    <xf numFmtId="177" fontId="72" fillId="18" borderId="0" xfId="7" applyNumberFormat="1" applyFont="1" applyFill="1" applyAlignment="1">
      <alignment horizontal="right" vertical="center"/>
    </xf>
    <xf numFmtId="178" fontId="72" fillId="16" borderId="13" xfId="7" applyNumberFormat="1" applyFont="1" applyFill="1" applyBorder="1" applyAlignment="1">
      <alignment horizontal="right" vertical="center"/>
    </xf>
    <xf numFmtId="179" fontId="72" fillId="16" borderId="0" xfId="9" applyNumberFormat="1" applyFont="1" applyFill="1" applyBorder="1" applyAlignment="1" applyProtection="1">
      <alignment horizontal="right" vertical="center"/>
    </xf>
    <xf numFmtId="180" fontId="72" fillId="16" borderId="14" xfId="9" applyNumberFormat="1" applyFont="1" applyFill="1" applyBorder="1" applyAlignment="1" applyProtection="1">
      <alignment horizontal="right" vertical="center"/>
    </xf>
    <xf numFmtId="182" fontId="72" fillId="16" borderId="0" xfId="9" applyNumberFormat="1" applyFont="1" applyFill="1" applyBorder="1" applyAlignment="1" applyProtection="1">
      <alignment horizontal="right" vertical="center"/>
    </xf>
    <xf numFmtId="181" fontId="72" fillId="16" borderId="0" xfId="9" applyNumberFormat="1" applyFont="1" applyFill="1" applyBorder="1" applyAlignment="1" applyProtection="1">
      <alignment horizontal="right" vertical="center"/>
    </xf>
    <xf numFmtId="183" fontId="72" fillId="16" borderId="0" xfId="9" applyNumberFormat="1" applyFont="1" applyFill="1" applyBorder="1" applyAlignment="1" applyProtection="1">
      <alignment horizontal="right" vertical="center"/>
    </xf>
    <xf numFmtId="175" fontId="69" fillId="16" borderId="0" xfId="9" applyNumberFormat="1" applyFont="1" applyFill="1" applyBorder="1" applyAlignment="1" applyProtection="1">
      <alignment horizontal="right" vertical="center"/>
    </xf>
    <xf numFmtId="0" fontId="69" fillId="16" borderId="0" xfId="7" applyFont="1" applyFill="1" applyAlignment="1">
      <alignment horizontal="left" vertical="center" wrapText="1"/>
    </xf>
    <xf numFmtId="183" fontId="69" fillId="16" borderId="0" xfId="9" applyNumberFormat="1" applyFont="1" applyFill="1" applyBorder="1" applyAlignment="1" applyProtection="1">
      <alignment horizontal="right" vertical="center"/>
    </xf>
    <xf numFmtId="182" fontId="69" fillId="16" borderId="0" xfId="9" applyNumberFormat="1" applyFont="1" applyFill="1" applyBorder="1" applyAlignment="1" applyProtection="1">
      <alignment horizontal="right" vertical="center"/>
    </xf>
    <xf numFmtId="0" fontId="69" fillId="16" borderId="15" xfId="7" applyFont="1" applyFill="1" applyBorder="1" applyAlignment="1">
      <alignment horizontal="left" vertical="center" wrapText="1"/>
    </xf>
    <xf numFmtId="184" fontId="69" fillId="16" borderId="15" xfId="7" applyNumberFormat="1" applyFont="1" applyFill="1" applyBorder="1" applyAlignment="1">
      <alignment horizontal="right" vertical="center"/>
    </xf>
    <xf numFmtId="184" fontId="71" fillId="18" borderId="15" xfId="7" applyNumberFormat="1" applyFont="1" applyFill="1" applyBorder="1" applyAlignment="1">
      <alignment horizontal="right" vertical="center"/>
    </xf>
    <xf numFmtId="177" fontId="69" fillId="16" borderId="15" xfId="7" applyNumberFormat="1" applyFont="1" applyFill="1" applyBorder="1" applyAlignment="1">
      <alignment horizontal="right" vertical="center"/>
    </xf>
    <xf numFmtId="178" fontId="69" fillId="16" borderId="16" xfId="7" applyNumberFormat="1" applyFont="1" applyFill="1" applyBorder="1" applyAlignment="1">
      <alignment horizontal="right" vertical="center"/>
    </xf>
    <xf numFmtId="183" fontId="69" fillId="16" borderId="15" xfId="9" applyNumberFormat="1" applyFont="1" applyFill="1" applyBorder="1" applyAlignment="1" applyProtection="1">
      <alignment horizontal="right" vertical="center"/>
    </xf>
    <xf numFmtId="179" fontId="69" fillId="16" borderId="15" xfId="9" applyNumberFormat="1" applyFont="1" applyFill="1" applyBorder="1" applyAlignment="1" applyProtection="1">
      <alignment horizontal="right" vertical="center"/>
    </xf>
    <xf numFmtId="180" fontId="69" fillId="16" borderId="17" xfId="9" applyNumberFormat="1" applyFont="1" applyFill="1" applyBorder="1" applyAlignment="1" applyProtection="1">
      <alignment horizontal="right" vertical="center"/>
    </xf>
    <xf numFmtId="182" fontId="69" fillId="16" borderId="15" xfId="9" applyNumberFormat="1" applyFont="1" applyFill="1" applyBorder="1" applyAlignment="1" applyProtection="1">
      <alignment horizontal="right" vertical="center"/>
    </xf>
    <xf numFmtId="0" fontId="73" fillId="16" borderId="0" xfId="7" applyFont="1" applyFill="1" applyAlignment="1" applyProtection="1">
      <alignment vertical="center"/>
      <protection locked="0"/>
    </xf>
    <xf numFmtId="0" fontId="70" fillId="18" borderId="18" xfId="7" applyFont="1" applyFill="1" applyBorder="1" applyAlignment="1">
      <alignment horizontal="left" vertical="center" wrapText="1"/>
    </xf>
    <xf numFmtId="177" fontId="70" fillId="18" borderId="18" xfId="7" applyNumberFormat="1" applyFont="1" applyFill="1" applyBorder="1" applyAlignment="1">
      <alignment horizontal="right" vertical="center"/>
    </xf>
    <xf numFmtId="178" fontId="70" fillId="18" borderId="19" xfId="7" applyNumberFormat="1" applyFont="1" applyFill="1" applyBorder="1" applyAlignment="1">
      <alignment horizontal="right" vertical="center"/>
    </xf>
    <xf numFmtId="179" fontId="70" fillId="18" borderId="18" xfId="9" applyNumberFormat="1" applyFont="1" applyFill="1" applyBorder="1" applyAlignment="1" applyProtection="1">
      <alignment horizontal="right" vertical="center"/>
    </xf>
    <xf numFmtId="180" fontId="70" fillId="18" borderId="20" xfId="9" applyNumberFormat="1" applyFont="1" applyFill="1" applyBorder="1" applyAlignment="1" applyProtection="1">
      <alignment horizontal="right" vertical="center"/>
    </xf>
    <xf numFmtId="181" fontId="70" fillId="18" borderId="18" xfId="9" applyNumberFormat="1" applyFont="1" applyFill="1" applyBorder="1" applyAlignment="1" applyProtection="1">
      <alignment horizontal="right" vertical="center"/>
    </xf>
    <xf numFmtId="184" fontId="69" fillId="16" borderId="0" xfId="7" applyNumberFormat="1" applyFont="1" applyFill="1" applyAlignment="1">
      <alignment horizontal="right" vertical="center"/>
    </xf>
    <xf numFmtId="0" fontId="69" fillId="16" borderId="15" xfId="7" applyFont="1" applyFill="1" applyBorder="1" applyAlignment="1">
      <alignment horizontal="left" vertical="center"/>
    </xf>
    <xf numFmtId="184" fontId="71" fillId="18" borderId="0" xfId="7" applyNumberFormat="1" applyFont="1" applyFill="1" applyAlignment="1">
      <alignment horizontal="right" vertical="center"/>
    </xf>
    <xf numFmtId="184" fontId="69" fillId="16" borderId="0" xfId="9" applyNumberFormat="1" applyFont="1" applyFill="1" applyBorder="1" applyAlignment="1" applyProtection="1">
      <alignment horizontal="right" vertical="center"/>
    </xf>
    <xf numFmtId="0" fontId="69" fillId="16" borderId="21" xfId="7" applyFont="1" applyFill="1" applyBorder="1" applyAlignment="1">
      <alignment horizontal="left" vertical="center"/>
    </xf>
    <xf numFmtId="177" fontId="69" fillId="16" borderId="21" xfId="7" applyNumberFormat="1" applyFont="1" applyFill="1" applyBorder="1" applyAlignment="1">
      <alignment horizontal="right" vertical="center"/>
    </xf>
    <xf numFmtId="177" fontId="71" fillId="18" borderId="21" xfId="7" applyNumberFormat="1" applyFont="1" applyFill="1" applyBorder="1" applyAlignment="1">
      <alignment horizontal="right" vertical="center"/>
    </xf>
    <xf numFmtId="178" fontId="69" fillId="16" borderId="22" xfId="7" applyNumberFormat="1" applyFont="1" applyFill="1" applyBorder="1" applyAlignment="1">
      <alignment horizontal="right" vertical="center"/>
    </xf>
    <xf numFmtId="179" fontId="69" fillId="16" borderId="21" xfId="9" applyNumberFormat="1" applyFont="1" applyFill="1" applyBorder="1" applyAlignment="1" applyProtection="1">
      <alignment horizontal="right" vertical="center"/>
    </xf>
    <xf numFmtId="180" fontId="69" fillId="16" borderId="23" xfId="9" applyNumberFormat="1" applyFont="1" applyFill="1" applyBorder="1" applyAlignment="1" applyProtection="1">
      <alignment horizontal="right" vertical="center"/>
    </xf>
    <xf numFmtId="181" fontId="69" fillId="16" borderId="21" xfId="9" applyNumberFormat="1" applyFont="1" applyFill="1" applyBorder="1" applyAlignment="1" applyProtection="1">
      <alignment horizontal="right" vertical="center"/>
    </xf>
    <xf numFmtId="0" fontId="72" fillId="16" borderId="0" xfId="7" applyFont="1" applyFill="1" applyAlignment="1" applyProtection="1">
      <alignment vertical="center"/>
      <protection locked="0"/>
    </xf>
    <xf numFmtId="178" fontId="66" fillId="16" borderId="0" xfId="7" applyNumberFormat="1" applyFont="1" applyFill="1" applyAlignment="1">
      <alignment vertical="center"/>
    </xf>
    <xf numFmtId="0" fontId="68" fillId="17" borderId="0" xfId="7" applyFont="1" applyFill="1" applyAlignment="1">
      <alignment horizontal="center" vertical="center"/>
    </xf>
    <xf numFmtId="176" fontId="68" fillId="17" borderId="0" xfId="7" applyNumberFormat="1" applyFont="1" applyFill="1" applyAlignment="1">
      <alignment horizontal="center" vertical="center"/>
    </xf>
    <xf numFmtId="180" fontId="70" fillId="18" borderId="24" xfId="9" applyNumberFormat="1" applyFont="1" applyFill="1" applyBorder="1" applyAlignment="1" applyProtection="1">
      <alignment horizontal="right" vertical="center"/>
    </xf>
    <xf numFmtId="181" fontId="70" fillId="18" borderId="13" xfId="9" applyNumberFormat="1" applyFont="1" applyFill="1" applyBorder="1" applyAlignment="1" applyProtection="1">
      <alignment horizontal="right" vertical="center"/>
    </xf>
    <xf numFmtId="180" fontId="69" fillId="16" borderId="24" xfId="9" applyNumberFormat="1" applyFont="1" applyFill="1" applyBorder="1" applyAlignment="1" applyProtection="1">
      <alignment horizontal="right" vertical="center"/>
    </xf>
    <xf numFmtId="181" fontId="69" fillId="16" borderId="13" xfId="9" applyNumberFormat="1" applyFont="1" applyFill="1" applyBorder="1" applyAlignment="1" applyProtection="1">
      <alignment horizontal="right" vertical="center"/>
    </xf>
    <xf numFmtId="182" fontId="69" fillId="16" borderId="13" xfId="9" applyNumberFormat="1" applyFont="1" applyFill="1" applyBorder="1" applyAlignment="1" applyProtection="1">
      <alignment horizontal="right" vertical="center"/>
    </xf>
    <xf numFmtId="180" fontId="72" fillId="16" borderId="24" xfId="9" applyNumberFormat="1" applyFont="1" applyFill="1" applyBorder="1" applyAlignment="1" applyProtection="1">
      <alignment horizontal="right" vertical="center"/>
    </xf>
    <xf numFmtId="182" fontId="72" fillId="16" borderId="13" xfId="9" applyNumberFormat="1" applyFont="1" applyFill="1" applyBorder="1" applyAlignment="1" applyProtection="1">
      <alignment horizontal="right" vertical="center"/>
    </xf>
    <xf numFmtId="0" fontId="72" fillId="16" borderId="0" xfId="7" applyFont="1" applyFill="1" applyAlignment="1">
      <alignment horizontal="left" vertical="center" indent="1"/>
    </xf>
    <xf numFmtId="175" fontId="72" fillId="16" borderId="13" xfId="9" applyNumberFormat="1" applyFont="1" applyFill="1" applyBorder="1" applyAlignment="1" applyProtection="1">
      <alignment horizontal="right" vertical="center"/>
    </xf>
    <xf numFmtId="175" fontId="72" fillId="16" borderId="0" xfId="9" applyNumberFormat="1" applyFont="1" applyFill="1" applyBorder="1" applyAlignment="1" applyProtection="1">
      <alignment horizontal="right" vertical="center"/>
    </xf>
    <xf numFmtId="181" fontId="72" fillId="16" borderId="13" xfId="9" applyNumberFormat="1" applyFont="1" applyFill="1" applyBorder="1" applyAlignment="1" applyProtection="1">
      <alignment horizontal="right" vertical="center"/>
    </xf>
    <xf numFmtId="183" fontId="72" fillId="16" borderId="0" xfId="7" applyNumberFormat="1" applyFont="1" applyFill="1" applyAlignment="1">
      <alignment horizontal="right" vertical="center"/>
    </xf>
    <xf numFmtId="184" fontId="72" fillId="16" borderId="0" xfId="7" applyNumberFormat="1" applyFont="1" applyFill="1" applyAlignment="1">
      <alignment horizontal="right" vertical="center"/>
    </xf>
    <xf numFmtId="184" fontId="72" fillId="18" borderId="0" xfId="7" applyNumberFormat="1" applyFont="1" applyFill="1" applyAlignment="1">
      <alignment horizontal="right" vertical="center"/>
    </xf>
    <xf numFmtId="184" fontId="72" fillId="16" borderId="0" xfId="9" applyNumberFormat="1" applyFont="1" applyFill="1" applyBorder="1" applyAlignment="1" applyProtection="1">
      <alignment horizontal="right" vertical="center"/>
    </xf>
    <xf numFmtId="0" fontId="74" fillId="16" borderId="25" xfId="7" applyFont="1" applyFill="1" applyBorder="1" applyAlignment="1">
      <alignment horizontal="left" vertical="center"/>
    </xf>
    <xf numFmtId="177" fontId="74" fillId="16" borderId="25" xfId="7" applyNumberFormat="1" applyFont="1" applyFill="1" applyBorder="1" applyAlignment="1">
      <alignment horizontal="right" vertical="center"/>
    </xf>
    <xf numFmtId="177" fontId="74" fillId="18" borderId="25" xfId="7" applyNumberFormat="1" applyFont="1" applyFill="1" applyBorder="1" applyAlignment="1">
      <alignment horizontal="right" vertical="center"/>
    </xf>
    <xf numFmtId="178" fontId="74" fillId="16" borderId="26" xfId="7" applyNumberFormat="1" applyFont="1" applyFill="1" applyBorder="1" applyAlignment="1">
      <alignment horizontal="right" vertical="center"/>
    </xf>
    <xf numFmtId="179" fontId="74" fillId="16" borderId="25" xfId="9" applyNumberFormat="1" applyFont="1" applyFill="1" applyBorder="1" applyAlignment="1" applyProtection="1">
      <alignment horizontal="right" vertical="center"/>
    </xf>
    <xf numFmtId="180" fontId="74" fillId="16" borderId="27" xfId="9" applyNumberFormat="1" applyFont="1" applyFill="1" applyBorder="1" applyAlignment="1" applyProtection="1">
      <alignment horizontal="right" vertical="center"/>
    </xf>
    <xf numFmtId="181" fontId="74" fillId="16" borderId="26" xfId="9" applyNumberFormat="1" applyFont="1" applyFill="1" applyBorder="1" applyAlignment="1" applyProtection="1">
      <alignment horizontal="right" vertical="center"/>
    </xf>
    <xf numFmtId="181" fontId="74" fillId="16" borderId="25" xfId="9" applyNumberFormat="1" applyFont="1" applyFill="1" applyBorder="1" applyAlignment="1" applyProtection="1">
      <alignment horizontal="right" vertical="center"/>
    </xf>
    <xf numFmtId="178" fontId="69" fillId="16" borderId="13" xfId="7" applyNumberFormat="1" applyFont="1" applyFill="1" applyBorder="1" applyAlignment="1" applyProtection="1">
      <alignment vertical="center"/>
      <protection locked="0"/>
    </xf>
    <xf numFmtId="0" fontId="74" fillId="16" borderId="0" xfId="7" applyFont="1" applyFill="1" applyAlignment="1">
      <alignment horizontal="left" vertical="center"/>
    </xf>
    <xf numFmtId="177" fontId="74" fillId="16" borderId="0" xfId="7" applyNumberFormat="1" applyFont="1" applyFill="1" applyAlignment="1">
      <alignment horizontal="right" vertical="center"/>
    </xf>
    <xf numFmtId="177" fontId="74" fillId="18" borderId="0" xfId="7" applyNumberFormat="1" applyFont="1" applyFill="1" applyAlignment="1">
      <alignment horizontal="right" vertical="center"/>
    </xf>
    <xf numFmtId="178" fontId="74" fillId="16" borderId="13" xfId="7" applyNumberFormat="1" applyFont="1" applyFill="1" applyBorder="1" applyAlignment="1">
      <alignment horizontal="right" vertical="center"/>
    </xf>
    <xf numFmtId="179" fontId="74" fillId="16" borderId="0" xfId="9" applyNumberFormat="1" applyFont="1" applyFill="1" applyBorder="1" applyAlignment="1" applyProtection="1">
      <alignment horizontal="right" vertical="center"/>
    </xf>
    <xf numFmtId="180" fontId="74" fillId="16" borderId="24" xfId="9" applyNumberFormat="1" applyFont="1" applyFill="1" applyBorder="1" applyAlignment="1" applyProtection="1">
      <alignment horizontal="right" vertical="center"/>
    </xf>
    <xf numFmtId="181" fontId="74" fillId="16" borderId="13" xfId="9" applyNumberFormat="1" applyFont="1" applyFill="1" applyBorder="1" applyAlignment="1" applyProtection="1">
      <alignment horizontal="right" vertical="center"/>
    </xf>
    <xf numFmtId="181" fontId="74" fillId="16" borderId="0" xfId="9" applyNumberFormat="1" applyFont="1" applyFill="1" applyBorder="1" applyAlignment="1" applyProtection="1">
      <alignment horizontal="right" vertical="center"/>
    </xf>
    <xf numFmtId="0" fontId="74" fillId="16" borderId="15" xfId="7" applyFont="1" applyFill="1" applyBorder="1" applyAlignment="1">
      <alignment horizontal="left" vertical="center"/>
    </xf>
    <xf numFmtId="177" fontId="74" fillId="16" borderId="15" xfId="7" applyNumberFormat="1" applyFont="1" applyFill="1" applyBorder="1" applyAlignment="1">
      <alignment horizontal="right" vertical="center"/>
    </xf>
    <xf numFmtId="177" fontId="74" fillId="18" borderId="15" xfId="7" applyNumberFormat="1" applyFont="1" applyFill="1" applyBorder="1" applyAlignment="1">
      <alignment horizontal="right" vertical="center"/>
    </xf>
    <xf numFmtId="178" fontId="74" fillId="16" borderId="16" xfId="7" applyNumberFormat="1" applyFont="1" applyFill="1" applyBorder="1" applyAlignment="1">
      <alignment horizontal="right" vertical="center"/>
    </xf>
    <xf numFmtId="179" fontId="74" fillId="16" borderId="15" xfId="9" applyNumberFormat="1" applyFont="1" applyFill="1" applyBorder="1" applyAlignment="1" applyProtection="1">
      <alignment horizontal="right" vertical="center"/>
    </xf>
    <xf numFmtId="180" fontId="74" fillId="16" borderId="28" xfId="9" applyNumberFormat="1" applyFont="1" applyFill="1" applyBorder="1" applyAlignment="1" applyProtection="1">
      <alignment horizontal="right" vertical="center"/>
    </xf>
    <xf numFmtId="181" fontId="74" fillId="16" borderId="16" xfId="9" applyNumberFormat="1" applyFont="1" applyFill="1" applyBorder="1" applyAlignment="1" applyProtection="1">
      <alignment horizontal="right" vertical="center"/>
    </xf>
    <xf numFmtId="181" fontId="74" fillId="16" borderId="15" xfId="9" applyNumberFormat="1" applyFont="1" applyFill="1" applyBorder="1" applyAlignment="1" applyProtection="1">
      <alignment horizontal="right" vertical="center"/>
    </xf>
    <xf numFmtId="177" fontId="71" fillId="18" borderId="15" xfId="7" applyNumberFormat="1" applyFont="1" applyFill="1" applyBorder="1" applyAlignment="1">
      <alignment horizontal="right" vertical="center"/>
    </xf>
    <xf numFmtId="180" fontId="69" fillId="16" borderId="28" xfId="9" applyNumberFormat="1" applyFont="1" applyFill="1" applyBorder="1" applyAlignment="1" applyProtection="1">
      <alignment horizontal="right" vertical="center"/>
    </xf>
    <xf numFmtId="181" fontId="69" fillId="16" borderId="16" xfId="9" applyNumberFormat="1" applyFont="1" applyFill="1" applyBorder="1" applyAlignment="1" applyProtection="1">
      <alignment horizontal="right" vertical="center"/>
    </xf>
    <xf numFmtId="181" fontId="69" fillId="16" borderId="15" xfId="9" applyNumberFormat="1" applyFont="1" applyFill="1" applyBorder="1" applyAlignment="1" applyProtection="1">
      <alignment horizontal="right" vertical="center"/>
    </xf>
    <xf numFmtId="0" fontId="72" fillId="3" borderId="0" xfId="7" applyFont="1" applyFill="1" applyAlignment="1">
      <alignment horizontal="left" vertical="center" indent="1"/>
    </xf>
    <xf numFmtId="0" fontId="70" fillId="18" borderId="21" xfId="7" applyFont="1" applyFill="1" applyBorder="1" applyAlignment="1">
      <alignment horizontal="left" vertical="center"/>
    </xf>
    <xf numFmtId="177" fontId="70" fillId="18" borderId="21" xfId="7" applyNumberFormat="1" applyFont="1" applyFill="1" applyBorder="1" applyAlignment="1">
      <alignment horizontal="right" vertical="center"/>
    </xf>
    <xf numFmtId="178" fontId="70" fillId="18" borderId="22" xfId="7" applyNumberFormat="1" applyFont="1" applyFill="1" applyBorder="1" applyAlignment="1">
      <alignment horizontal="right" vertical="center"/>
    </xf>
    <xf numFmtId="179" fontId="70" fillId="18" borderId="21" xfId="9" applyNumberFormat="1" applyFont="1" applyFill="1" applyBorder="1" applyAlignment="1" applyProtection="1">
      <alignment horizontal="right" vertical="center"/>
    </xf>
    <xf numFmtId="180" fontId="70" fillId="18" borderId="29" xfId="9" applyNumberFormat="1" applyFont="1" applyFill="1" applyBorder="1" applyAlignment="1" applyProtection="1">
      <alignment horizontal="right" vertical="center"/>
    </xf>
    <xf numFmtId="181" fontId="70" fillId="18" borderId="22" xfId="9" applyNumberFormat="1" applyFont="1" applyFill="1" applyBorder="1" applyAlignment="1" applyProtection="1">
      <alignment horizontal="right" vertical="center"/>
    </xf>
    <xf numFmtId="181" fontId="70" fillId="18" borderId="21" xfId="9" applyNumberFormat="1" applyFont="1" applyFill="1" applyBorder="1" applyAlignment="1" applyProtection="1">
      <alignment horizontal="right" vertical="center"/>
    </xf>
    <xf numFmtId="0" fontId="74" fillId="16" borderId="21" xfId="7" applyFont="1" applyFill="1" applyBorder="1" applyAlignment="1">
      <alignment horizontal="left" vertical="center"/>
    </xf>
    <xf numFmtId="177" fontId="74" fillId="16" borderId="21" xfId="7" applyNumberFormat="1" applyFont="1" applyFill="1" applyBorder="1" applyAlignment="1">
      <alignment horizontal="right" vertical="center"/>
    </xf>
    <xf numFmtId="177" fontId="74" fillId="18" borderId="21" xfId="7" applyNumberFormat="1" applyFont="1" applyFill="1" applyBorder="1" applyAlignment="1">
      <alignment horizontal="right" vertical="center"/>
    </xf>
    <xf numFmtId="178" fontId="74" fillId="16" borderId="22" xfId="7" applyNumberFormat="1" applyFont="1" applyFill="1" applyBorder="1" applyAlignment="1">
      <alignment horizontal="right" vertical="center"/>
    </xf>
    <xf numFmtId="179" fontId="74" fillId="16" borderId="21" xfId="9" applyNumberFormat="1" applyFont="1" applyFill="1" applyBorder="1" applyAlignment="1" applyProtection="1">
      <alignment horizontal="right" vertical="center"/>
    </xf>
    <xf numFmtId="180" fontId="74" fillId="16" borderId="29" xfId="9" applyNumberFormat="1" applyFont="1" applyFill="1" applyBorder="1" applyAlignment="1" applyProtection="1">
      <alignment horizontal="right" vertical="center"/>
    </xf>
    <xf numFmtId="181" fontId="74" fillId="16" borderId="22" xfId="9" applyNumberFormat="1" applyFont="1" applyFill="1" applyBorder="1" applyAlignment="1" applyProtection="1">
      <alignment horizontal="right" vertical="center"/>
    </xf>
    <xf numFmtId="181" fontId="74" fillId="16" borderId="21" xfId="9" applyNumberFormat="1" applyFont="1" applyFill="1" applyBorder="1" applyAlignment="1" applyProtection="1">
      <alignment horizontal="right" vertical="center"/>
    </xf>
    <xf numFmtId="173" fontId="63" fillId="3" borderId="0" xfId="7" applyNumberFormat="1" applyFont="1" applyFill="1" applyAlignment="1">
      <alignment vertical="center"/>
    </xf>
    <xf numFmtId="185" fontId="68" fillId="17" borderId="0" xfId="7" applyNumberFormat="1" applyFont="1" applyFill="1" applyAlignment="1">
      <alignment horizontal="center" vertical="center"/>
    </xf>
    <xf numFmtId="178" fontId="70" fillId="18" borderId="0" xfId="7" applyNumberFormat="1" applyFont="1" applyFill="1" applyAlignment="1">
      <alignment horizontal="right" vertical="center"/>
    </xf>
    <xf numFmtId="178" fontId="69" fillId="16" borderId="0" xfId="7" applyNumberFormat="1" applyFont="1" applyFill="1" applyAlignment="1" applyProtection="1">
      <alignment vertical="center"/>
      <protection locked="0"/>
    </xf>
    <xf numFmtId="178" fontId="69" fillId="16" borderId="0" xfId="7" applyNumberFormat="1" applyFont="1" applyFill="1" applyAlignment="1">
      <alignment horizontal="right" vertical="center"/>
    </xf>
    <xf numFmtId="178" fontId="71" fillId="18" borderId="0" xfId="7" applyNumberFormat="1" applyFont="1" applyFill="1" applyAlignment="1">
      <alignment horizontal="right" vertical="center"/>
    </xf>
    <xf numFmtId="178" fontId="72" fillId="16" borderId="0" xfId="7" applyNumberFormat="1" applyFont="1" applyFill="1" applyAlignment="1">
      <alignment horizontal="right" vertical="center"/>
    </xf>
    <xf numFmtId="178" fontId="72"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78" fontId="75" fillId="16" borderId="0" xfId="7" applyNumberFormat="1" applyFont="1" applyFill="1" applyAlignment="1">
      <alignment horizontal="right" vertical="center"/>
    </xf>
    <xf numFmtId="178" fontId="75" fillId="18" borderId="0" xfId="7" applyNumberFormat="1" applyFont="1" applyFill="1" applyAlignment="1">
      <alignment horizontal="right" vertical="center"/>
    </xf>
    <xf numFmtId="178" fontId="75" fillId="16" borderId="13" xfId="7" applyNumberFormat="1" applyFont="1" applyFill="1" applyBorder="1" applyAlignment="1">
      <alignment horizontal="right" vertical="center"/>
    </xf>
    <xf numFmtId="179" fontId="75" fillId="16" borderId="0" xfId="9" applyNumberFormat="1" applyFont="1" applyFill="1" applyBorder="1" applyAlignment="1" applyProtection="1">
      <alignment horizontal="right" vertical="center"/>
    </xf>
    <xf numFmtId="184" fontId="75" fillId="16" borderId="0" xfId="9" applyNumberFormat="1" applyFont="1" applyFill="1" applyBorder="1" applyAlignment="1" applyProtection="1">
      <alignment horizontal="right" vertical="center"/>
    </xf>
    <xf numFmtId="180" fontId="75" fillId="16" borderId="24" xfId="9" applyNumberFormat="1" applyFont="1" applyFill="1" applyBorder="1" applyAlignment="1" applyProtection="1">
      <alignment horizontal="right" vertical="center"/>
    </xf>
    <xf numFmtId="175" fontId="75" fillId="16" borderId="0" xfId="9" applyNumberFormat="1" applyFont="1" applyFill="1" applyBorder="1" applyAlignment="1" applyProtection="1">
      <alignment horizontal="right" vertical="center"/>
    </xf>
    <xf numFmtId="0" fontId="75" fillId="16" borderId="0" xfId="7" applyFont="1" applyFill="1" applyAlignment="1" applyProtection="1">
      <alignment vertical="center"/>
      <protection locked="0"/>
    </xf>
    <xf numFmtId="0" fontId="72" fillId="16" borderId="21" xfId="7" applyFont="1" applyFill="1" applyBorder="1" applyAlignment="1">
      <alignment horizontal="left" vertical="center" wrapText="1" indent="1"/>
    </xf>
    <xf numFmtId="178" fontId="72" fillId="16" borderId="21" xfId="7" applyNumberFormat="1" applyFont="1" applyFill="1" applyBorder="1" applyAlignment="1">
      <alignment horizontal="right" vertical="center"/>
    </xf>
    <xf numFmtId="178" fontId="72" fillId="18" borderId="21" xfId="7" applyNumberFormat="1" applyFont="1" applyFill="1" applyBorder="1" applyAlignment="1">
      <alignment horizontal="right" vertical="center"/>
    </xf>
    <xf numFmtId="178" fontId="72" fillId="16" borderId="22" xfId="7" applyNumberFormat="1" applyFont="1" applyFill="1" applyBorder="1" applyAlignment="1">
      <alignment horizontal="right" vertical="center"/>
    </xf>
    <xf numFmtId="179" fontId="72" fillId="16" borderId="21" xfId="9" applyNumberFormat="1" applyFont="1" applyFill="1" applyBorder="1" applyAlignment="1" applyProtection="1">
      <alignment vertical="center"/>
    </xf>
    <xf numFmtId="184" fontId="72" fillId="16" borderId="21" xfId="9" applyNumberFormat="1" applyFont="1" applyFill="1" applyBorder="1" applyAlignment="1" applyProtection="1">
      <alignment vertical="center"/>
    </xf>
    <xf numFmtId="180" fontId="72" fillId="16" borderId="29" xfId="9" applyNumberFormat="1" applyFont="1" applyFill="1" applyBorder="1" applyAlignment="1" applyProtection="1">
      <alignment vertical="center"/>
    </xf>
    <xf numFmtId="182" fontId="72" fillId="16" borderId="21" xfId="9" applyNumberFormat="1" applyFont="1" applyFill="1" applyBorder="1" applyAlignment="1" applyProtection="1">
      <alignment horizontal="right" vertical="center"/>
    </xf>
    <xf numFmtId="179" fontId="72" fillId="16" borderId="0" xfId="9" applyNumberFormat="1" applyFont="1" applyFill="1" applyBorder="1" applyAlignment="1" applyProtection="1">
      <alignment vertical="center"/>
    </xf>
    <xf numFmtId="180" fontId="72" fillId="16" borderId="24" xfId="9" applyNumberFormat="1" applyFont="1" applyFill="1" applyBorder="1" applyAlignment="1" applyProtection="1">
      <alignment vertical="center"/>
    </xf>
    <xf numFmtId="179" fontId="75" fillId="16" borderId="0" xfId="9" applyNumberFormat="1" applyFont="1" applyFill="1" applyBorder="1" applyAlignment="1" applyProtection="1">
      <alignment vertical="center"/>
    </xf>
    <xf numFmtId="183" fontId="75" fillId="16" borderId="0" xfId="9" applyNumberFormat="1" applyFont="1" applyFill="1" applyBorder="1" applyAlignment="1" applyProtection="1">
      <alignment vertical="center"/>
    </xf>
    <xf numFmtId="180" fontId="75" fillId="16" borderId="24" xfId="9" applyNumberFormat="1" applyFont="1" applyFill="1" applyBorder="1" applyAlignment="1" applyProtection="1">
      <alignment vertical="center"/>
    </xf>
    <xf numFmtId="183" fontId="72" fillId="16" borderId="0" xfId="9" applyNumberFormat="1" applyFont="1" applyFill="1" applyBorder="1" applyAlignment="1" applyProtection="1">
      <alignment vertical="center"/>
    </xf>
    <xf numFmtId="183" fontId="69" fillId="16" borderId="0" xfId="7" applyNumberFormat="1" applyFont="1" applyFill="1" applyAlignment="1">
      <alignment horizontal="right" vertical="center"/>
    </xf>
    <xf numFmtId="178" fontId="69" fillId="18" borderId="0" xfId="7" applyNumberFormat="1" applyFont="1" applyFill="1" applyAlignment="1">
      <alignment horizontal="right" vertical="center"/>
    </xf>
    <xf numFmtId="0" fontId="71" fillId="16" borderId="21" xfId="7" applyFont="1" applyFill="1" applyBorder="1" applyAlignment="1" applyProtection="1">
      <alignment vertical="center"/>
      <protection locked="0"/>
    </xf>
    <xf numFmtId="178" fontId="71" fillId="16" borderId="21" xfId="7" applyNumberFormat="1" applyFont="1" applyFill="1" applyBorder="1" applyAlignment="1">
      <alignment horizontal="right" vertical="center"/>
    </xf>
    <xf numFmtId="178" fontId="71" fillId="18" borderId="21" xfId="7" applyNumberFormat="1" applyFont="1" applyFill="1" applyBorder="1" applyAlignment="1">
      <alignment horizontal="right" vertical="center"/>
    </xf>
    <xf numFmtId="178" fontId="71" fillId="16" borderId="22" xfId="7" applyNumberFormat="1" applyFont="1" applyFill="1" applyBorder="1" applyAlignment="1">
      <alignment horizontal="right" vertical="center"/>
    </xf>
    <xf numFmtId="183" fontId="71" fillId="16" borderId="21" xfId="9" applyNumberFormat="1" applyFont="1" applyFill="1" applyBorder="1" applyAlignment="1" applyProtection="1">
      <alignment horizontal="right" vertical="center"/>
    </xf>
    <xf numFmtId="179" fontId="71" fillId="16" borderId="21" xfId="9" applyNumberFormat="1" applyFont="1" applyFill="1" applyBorder="1" applyAlignment="1" applyProtection="1">
      <alignment horizontal="right" vertical="center"/>
    </xf>
    <xf numFmtId="180" fontId="71" fillId="16" borderId="29" xfId="9" applyNumberFormat="1" applyFont="1" applyFill="1" applyBorder="1" applyAlignment="1" applyProtection="1">
      <alignment horizontal="right" vertical="center"/>
    </xf>
    <xf numFmtId="182" fontId="71" fillId="16" borderId="21" xfId="9" applyNumberFormat="1" applyFont="1" applyFill="1" applyBorder="1" applyAlignment="1" applyProtection="1">
      <alignment horizontal="right" vertical="center"/>
    </xf>
    <xf numFmtId="1" fontId="63" fillId="16" borderId="0" xfId="7" applyNumberFormat="1" applyFont="1" applyFill="1" applyAlignment="1">
      <alignment vertical="center"/>
    </xf>
    <xf numFmtId="0" fontId="63" fillId="16" borderId="0" xfId="7" applyFont="1" applyFill="1" applyAlignment="1" applyProtection="1">
      <alignment vertical="center"/>
      <protection locked="0"/>
    </xf>
    <xf numFmtId="186" fontId="68" fillId="17" borderId="12" xfId="7" applyNumberFormat="1" applyFont="1" applyFill="1" applyBorder="1" applyAlignment="1">
      <alignment horizontal="right" vertical="center"/>
    </xf>
    <xf numFmtId="187" fontId="70" fillId="18" borderId="0" xfId="7" applyNumberFormat="1" applyFont="1" applyFill="1" applyAlignment="1">
      <alignment horizontal="right" vertical="center"/>
    </xf>
    <xf numFmtId="1" fontId="70" fillId="18" borderId="0" xfId="7" applyNumberFormat="1" applyFont="1" applyFill="1" applyAlignment="1">
      <alignment horizontal="right" vertical="center"/>
    </xf>
    <xf numFmtId="177" fontId="70" fillId="18" borderId="0" xfId="9" applyNumberFormat="1" applyFont="1" applyFill="1" applyBorder="1" applyAlignment="1" applyProtection="1">
      <alignment horizontal="right" vertical="center"/>
    </xf>
    <xf numFmtId="187" fontId="69" fillId="16" borderId="0" xfId="7" applyNumberFormat="1" applyFont="1" applyFill="1" applyAlignment="1" applyProtection="1">
      <alignment vertical="center"/>
      <protection locked="0"/>
    </xf>
    <xf numFmtId="0" fontId="70" fillId="16" borderId="18" xfId="7" applyFont="1" applyFill="1" applyBorder="1" applyAlignment="1">
      <alignment horizontal="left" vertical="center"/>
    </xf>
    <xf numFmtId="187" fontId="70" fillId="16" borderId="18" xfId="7" applyNumberFormat="1" applyFont="1" applyFill="1" applyBorder="1" applyAlignment="1">
      <alignment horizontal="right" vertical="center"/>
    </xf>
    <xf numFmtId="187" fontId="70" fillId="18" borderId="18" xfId="7" applyNumberFormat="1" applyFont="1" applyFill="1" applyBorder="1" applyAlignment="1">
      <alignment horizontal="right" vertical="center"/>
    </xf>
    <xf numFmtId="178" fontId="70" fillId="16" borderId="19" xfId="7" applyNumberFormat="1" applyFont="1" applyFill="1" applyBorder="1" applyAlignment="1">
      <alignment horizontal="right" vertical="center"/>
    </xf>
    <xf numFmtId="181" fontId="70" fillId="16" borderId="18" xfId="9" applyNumberFormat="1" applyFont="1" applyFill="1" applyBorder="1" applyAlignment="1" applyProtection="1">
      <alignment horizontal="right" vertical="center"/>
    </xf>
    <xf numFmtId="182" fontId="70" fillId="16" borderId="18" xfId="9" applyNumberFormat="1" applyFont="1" applyFill="1" applyBorder="1" applyAlignment="1" applyProtection="1">
      <alignment horizontal="right" vertical="center"/>
    </xf>
    <xf numFmtId="0" fontId="69" fillId="16" borderId="0" xfId="7" applyFont="1" applyFill="1" applyAlignment="1">
      <alignment horizontal="left" vertical="center" indent="1"/>
    </xf>
    <xf numFmtId="187" fontId="69" fillId="16" borderId="0" xfId="7" applyNumberFormat="1" applyFont="1" applyFill="1" applyAlignment="1">
      <alignment horizontal="right" vertical="center"/>
    </xf>
    <xf numFmtId="187" fontId="71" fillId="18" borderId="0" xfId="7" applyNumberFormat="1" applyFont="1" applyFill="1" applyAlignment="1">
      <alignment horizontal="right" vertical="center"/>
    </xf>
    <xf numFmtId="0" fontId="71" fillId="16" borderId="0" xfId="7" applyFont="1" applyFill="1" applyAlignment="1">
      <alignment horizontal="left" vertical="center" wrapText="1" indent="1"/>
    </xf>
    <xf numFmtId="187" fontId="71" fillId="16" borderId="0" xfId="7" applyNumberFormat="1" applyFont="1" applyFill="1" applyAlignment="1">
      <alignment horizontal="right" vertical="top"/>
    </xf>
    <xf numFmtId="187" fontId="71" fillId="18" borderId="0" xfId="7" applyNumberFormat="1" applyFont="1" applyFill="1" applyAlignment="1">
      <alignment horizontal="right" vertical="top"/>
    </xf>
    <xf numFmtId="178" fontId="71" fillId="16" borderId="13" xfId="7" applyNumberFormat="1" applyFont="1" applyFill="1" applyBorder="1" applyAlignment="1">
      <alignment horizontal="right" vertical="top"/>
    </xf>
    <xf numFmtId="175" fontId="71" fillId="16" borderId="0" xfId="9" applyNumberFormat="1" applyFont="1" applyFill="1" applyBorder="1" applyAlignment="1" applyProtection="1">
      <alignment horizontal="right" vertical="top"/>
    </xf>
    <xf numFmtId="0" fontId="70" fillId="16" borderId="0" xfId="7" applyFont="1" applyFill="1" applyAlignment="1">
      <alignment horizontal="left" vertical="center"/>
    </xf>
    <xf numFmtId="187" fontId="70" fillId="16" borderId="0" xfId="7" applyNumberFormat="1" applyFont="1" applyFill="1" applyAlignment="1">
      <alignment horizontal="right" vertical="center"/>
    </xf>
    <xf numFmtId="178" fontId="70" fillId="16" borderId="13" xfId="7" applyNumberFormat="1" applyFont="1" applyFill="1" applyBorder="1" applyAlignment="1">
      <alignment horizontal="right" vertical="center"/>
    </xf>
    <xf numFmtId="182" fontId="70" fillId="16" borderId="0" xfId="9" applyNumberFormat="1" applyFont="1" applyFill="1" applyBorder="1" applyAlignment="1" applyProtection="1">
      <alignment horizontal="right" vertical="center"/>
    </xf>
    <xf numFmtId="0" fontId="71" fillId="16" borderId="0" xfId="7" applyFont="1" applyFill="1" applyAlignment="1">
      <alignment horizontal="left" vertical="center" indent="1"/>
    </xf>
    <xf numFmtId="187" fontId="71" fillId="16" borderId="0" xfId="7" applyNumberFormat="1" applyFont="1" applyFill="1" applyAlignment="1">
      <alignment horizontal="right" vertical="center"/>
    </xf>
    <xf numFmtId="178" fontId="71" fillId="16" borderId="13" xfId="7" applyNumberFormat="1" applyFont="1" applyFill="1" applyBorder="1" applyAlignment="1">
      <alignment horizontal="right" vertical="center"/>
    </xf>
    <xf numFmtId="182" fontId="71" fillId="16" borderId="0" xfId="9" applyNumberFormat="1" applyFont="1" applyFill="1" applyBorder="1" applyAlignment="1" applyProtection="1">
      <alignment horizontal="right" vertical="center"/>
    </xf>
    <xf numFmtId="0" fontId="71" fillId="16" borderId="15" xfId="7" applyFont="1" applyFill="1" applyBorder="1" applyAlignment="1">
      <alignment horizontal="left" vertical="center" indent="1"/>
    </xf>
    <xf numFmtId="187" fontId="71" fillId="16" borderId="15" xfId="7" applyNumberFormat="1" applyFont="1" applyFill="1" applyBorder="1" applyAlignment="1">
      <alignment horizontal="right" vertical="center"/>
    </xf>
    <xf numFmtId="187" fontId="71" fillId="18" borderId="15" xfId="7" applyNumberFormat="1" applyFont="1" applyFill="1" applyBorder="1" applyAlignment="1">
      <alignment horizontal="right" vertical="center"/>
    </xf>
    <xf numFmtId="178" fontId="71" fillId="16" borderId="16" xfId="7" applyNumberFormat="1" applyFont="1" applyFill="1" applyBorder="1" applyAlignment="1">
      <alignment horizontal="right" vertical="center"/>
    </xf>
    <xf numFmtId="174" fontId="71" fillId="16" borderId="15" xfId="9" applyNumberFormat="1" applyFont="1" applyFill="1" applyBorder="1" applyAlignment="1" applyProtection="1">
      <alignment horizontal="right" vertical="center"/>
    </xf>
    <xf numFmtId="0" fontId="80" fillId="16" borderId="0" xfId="7" applyFont="1" applyFill="1" applyAlignment="1">
      <alignment vertical="center"/>
    </xf>
    <xf numFmtId="187" fontId="69" fillId="16" borderId="0" xfId="7" applyNumberFormat="1" applyFont="1" applyFill="1" applyAlignment="1">
      <alignment vertical="center"/>
    </xf>
    <xf numFmtId="187" fontId="71" fillId="18" borderId="0" xfId="7" applyNumberFormat="1" applyFont="1" applyFill="1" applyAlignment="1">
      <alignment vertical="center"/>
    </xf>
    <xf numFmtId="0" fontId="69" fillId="16" borderId="0" xfId="7" applyFont="1" applyFill="1" applyAlignment="1">
      <alignment vertical="center"/>
    </xf>
    <xf numFmtId="175" fontId="81" fillId="16" borderId="0" xfId="7" applyNumberFormat="1" applyFont="1" applyFill="1" applyAlignment="1">
      <alignment horizontal="right" vertical="center"/>
    </xf>
    <xf numFmtId="175" fontId="70" fillId="18" borderId="18" xfId="9" applyNumberFormat="1" applyFont="1" applyFill="1" applyBorder="1" applyAlignment="1" applyProtection="1">
      <alignment horizontal="right" vertical="center"/>
    </xf>
    <xf numFmtId="0" fontId="70" fillId="18" borderId="30" xfId="7" applyFont="1" applyFill="1" applyBorder="1" applyAlignment="1">
      <alignment horizontal="left" vertical="center" wrapText="1"/>
    </xf>
    <xf numFmtId="187" fontId="70" fillId="18" borderId="30" xfId="7" applyNumberFormat="1" applyFont="1" applyFill="1" applyBorder="1" applyAlignment="1">
      <alignment horizontal="right" vertical="center"/>
    </xf>
    <xf numFmtId="178" fontId="70" fillId="18" borderId="31" xfId="7" applyNumberFormat="1" applyFont="1" applyFill="1" applyBorder="1" applyAlignment="1">
      <alignment horizontal="right" vertical="center"/>
    </xf>
    <xf numFmtId="181" fontId="70" fillId="18" borderId="30" xfId="9" applyNumberFormat="1" applyFont="1" applyFill="1" applyBorder="1" applyAlignment="1" applyProtection="1">
      <alignment horizontal="right" vertical="center"/>
    </xf>
    <xf numFmtId="0" fontId="70" fillId="18" borderId="0" xfId="7" applyFont="1" applyFill="1" applyAlignment="1">
      <alignment horizontal="left" vertical="center" wrapText="1"/>
    </xf>
    <xf numFmtId="187" fontId="74" fillId="16" borderId="25" xfId="7" applyNumberFormat="1" applyFont="1" applyFill="1" applyBorder="1" applyAlignment="1">
      <alignment horizontal="right" vertical="center"/>
    </xf>
    <xf numFmtId="187" fontId="74" fillId="18" borderId="25" xfId="7" applyNumberFormat="1" applyFont="1" applyFill="1" applyBorder="1" applyAlignment="1">
      <alignment horizontal="right" vertical="center"/>
    </xf>
    <xf numFmtId="181" fontId="71" fillId="16" borderId="0" xfId="9" applyNumberFormat="1" applyFont="1" applyFill="1" applyBorder="1" applyAlignment="1" applyProtection="1">
      <alignment horizontal="right" vertical="center"/>
    </xf>
    <xf numFmtId="187" fontId="74" fillId="16" borderId="0" xfId="7" applyNumberFormat="1" applyFont="1" applyFill="1" applyAlignment="1">
      <alignment horizontal="right" vertical="center"/>
    </xf>
    <xf numFmtId="187" fontId="74" fillId="18" borderId="0" xfId="7" applyNumberFormat="1" applyFont="1" applyFill="1" applyAlignment="1">
      <alignment horizontal="right" vertical="center"/>
    </xf>
    <xf numFmtId="0" fontId="72" fillId="16" borderId="0" xfId="7" applyFont="1" applyFill="1" applyAlignment="1">
      <alignment horizontal="left" vertical="center" indent="2"/>
    </xf>
    <xf numFmtId="187" fontId="72" fillId="16" borderId="0" xfId="7" applyNumberFormat="1" applyFont="1" applyFill="1" applyAlignment="1">
      <alignment horizontal="right" vertical="center"/>
    </xf>
    <xf numFmtId="187" fontId="72" fillId="18" borderId="0" xfId="7" applyNumberFormat="1" applyFont="1" applyFill="1" applyAlignment="1">
      <alignment horizontal="right" vertical="center"/>
    </xf>
    <xf numFmtId="182" fontId="74" fillId="16" borderId="0" xfId="9" applyNumberFormat="1" applyFont="1" applyFill="1" applyBorder="1" applyAlignment="1" applyProtection="1">
      <alignment horizontal="right" vertical="center"/>
    </xf>
    <xf numFmtId="0" fontId="71" fillId="16" borderId="0" xfId="7" applyFont="1" applyFill="1" applyAlignment="1" applyProtection="1">
      <alignment horizontal="left" vertical="center" indent="1"/>
      <protection locked="0"/>
    </xf>
    <xf numFmtId="0" fontId="80" fillId="16" borderId="30" xfId="7" applyFont="1" applyFill="1" applyBorder="1" applyAlignment="1">
      <alignment vertical="center"/>
    </xf>
    <xf numFmtId="187" fontId="69" fillId="16" borderId="30" xfId="7" applyNumberFormat="1" applyFont="1" applyFill="1" applyBorder="1" applyAlignment="1">
      <alignment vertical="center"/>
    </xf>
    <xf numFmtId="187" fontId="69" fillId="18" borderId="30" xfId="7" applyNumberFormat="1" applyFont="1" applyFill="1" applyBorder="1" applyAlignment="1">
      <alignment vertical="center"/>
    </xf>
    <xf numFmtId="0" fontId="69" fillId="16" borderId="30" xfId="7" applyFont="1" applyFill="1" applyBorder="1" applyAlignment="1">
      <alignment vertical="center"/>
    </xf>
    <xf numFmtId="175" fontId="81" fillId="16" borderId="30" xfId="7" applyNumberFormat="1" applyFont="1" applyFill="1" applyBorder="1" applyAlignment="1">
      <alignment horizontal="right" vertical="center"/>
    </xf>
    <xf numFmtId="0" fontId="70" fillId="18" borderId="30" xfId="7" applyFont="1" applyFill="1" applyBorder="1" applyAlignment="1">
      <alignment horizontal="left" vertical="center"/>
    </xf>
    <xf numFmtId="182" fontId="70" fillId="18" borderId="30" xfId="9" applyNumberFormat="1" applyFont="1" applyFill="1" applyBorder="1" applyAlignment="1" applyProtection="1">
      <alignment horizontal="right" vertical="center"/>
    </xf>
    <xf numFmtId="0" fontId="70" fillId="18" borderId="21" xfId="7" applyFont="1" applyFill="1" applyBorder="1" applyAlignment="1">
      <alignment horizontal="left" vertical="center" wrapText="1"/>
    </xf>
    <xf numFmtId="187" fontId="70" fillId="18" borderId="21" xfId="7" applyNumberFormat="1" applyFont="1" applyFill="1" applyBorder="1" applyAlignment="1">
      <alignment horizontal="right" vertical="center"/>
    </xf>
    <xf numFmtId="182" fontId="70" fillId="18" borderId="21" xfId="9" applyNumberFormat="1" applyFont="1" applyFill="1" applyBorder="1" applyAlignment="1" applyProtection="1">
      <alignment horizontal="right" vertical="center"/>
    </xf>
    <xf numFmtId="0" fontId="81" fillId="16" borderId="0" xfId="7" applyFont="1" applyFill="1" applyAlignment="1">
      <alignment horizontal="right" vertical="center"/>
    </xf>
    <xf numFmtId="0" fontId="68" fillId="17" borderId="0" xfId="7" applyFont="1" applyFill="1" applyAlignment="1">
      <alignment horizontal="center" vertical="center" wrapText="1"/>
    </xf>
    <xf numFmtId="185" fontId="68" fillId="17" borderId="12" xfId="7" applyNumberFormat="1" applyFont="1" applyFill="1" applyBorder="1" applyAlignment="1">
      <alignment horizontal="right" vertical="center"/>
    </xf>
    <xf numFmtId="185" fontId="68" fillId="17" borderId="0" xfId="7" applyNumberFormat="1" applyFont="1" applyFill="1" applyAlignment="1">
      <alignment horizontal="right" vertical="center"/>
    </xf>
    <xf numFmtId="188" fontId="69" fillId="3" borderId="0" xfId="7" applyNumberFormat="1" applyFont="1" applyFill="1" applyAlignment="1">
      <alignment horizontal="right" vertical="center"/>
    </xf>
    <xf numFmtId="188" fontId="71" fillId="18" borderId="0" xfId="7" applyNumberFormat="1" applyFont="1" applyFill="1" applyAlignment="1">
      <alignment horizontal="right" vertical="center"/>
    </xf>
    <xf numFmtId="188" fontId="69" fillId="16" borderId="0" xfId="7" applyNumberFormat="1" applyFont="1" applyFill="1" applyAlignment="1">
      <alignment horizontal="right" vertical="center"/>
    </xf>
    <xf numFmtId="189" fontId="69" fillId="16" borderId="0" xfId="9" applyNumberFormat="1" applyFont="1" applyFill="1" applyBorder="1" applyAlignment="1" applyProtection="1">
      <alignment horizontal="right" vertical="center"/>
    </xf>
    <xf numFmtId="0" fontId="69" fillId="3" borderId="0" xfId="7" applyFont="1" applyFill="1" applyAlignment="1" applyProtection="1">
      <alignment vertical="center"/>
      <protection locked="0"/>
    </xf>
    <xf numFmtId="190" fontId="69" fillId="16" borderId="0" xfId="7" applyNumberFormat="1" applyFont="1" applyFill="1" applyAlignment="1">
      <alignment horizontal="right" vertical="center"/>
    </xf>
    <xf numFmtId="168" fontId="71" fillId="18" borderId="0" xfId="7" applyNumberFormat="1" applyFont="1" applyFill="1" applyAlignment="1">
      <alignment horizontal="right" vertical="center"/>
    </xf>
    <xf numFmtId="191" fontId="69" fillId="16" borderId="0" xfId="7" applyNumberFormat="1" applyFont="1" applyFill="1" applyAlignment="1" applyProtection="1">
      <alignment vertical="center"/>
      <protection locked="0"/>
    </xf>
    <xf numFmtId="190" fontId="71" fillId="18" borderId="0" xfId="7" applyNumberFormat="1" applyFont="1" applyFill="1" applyAlignment="1">
      <alignment horizontal="right" vertical="center"/>
    </xf>
    <xf numFmtId="192" fontId="69" fillId="0" borderId="0" xfId="7" applyNumberFormat="1" applyFont="1" applyAlignment="1">
      <alignment horizontal="right" vertical="center"/>
    </xf>
    <xf numFmtId="192" fontId="71" fillId="18" borderId="0" xfId="7" applyNumberFormat="1" applyFont="1" applyFill="1" applyAlignment="1">
      <alignment horizontal="right" vertical="center"/>
    </xf>
    <xf numFmtId="0" fontId="69" fillId="16" borderId="21" xfId="7" applyFont="1" applyFill="1" applyBorder="1" applyAlignment="1">
      <alignment horizontal="left" vertical="top" wrapText="1"/>
    </xf>
    <xf numFmtId="190" fontId="69" fillId="16" borderId="21" xfId="7" applyNumberFormat="1" applyFont="1" applyFill="1" applyBorder="1" applyAlignment="1">
      <alignment horizontal="right" vertical="top"/>
    </xf>
    <xf numFmtId="190" fontId="71" fillId="18" borderId="21" xfId="7" applyNumberFormat="1" applyFont="1" applyFill="1" applyBorder="1" applyAlignment="1">
      <alignment horizontal="right" vertical="top"/>
    </xf>
    <xf numFmtId="180" fontId="69" fillId="16" borderId="32" xfId="9" applyNumberFormat="1" applyFont="1" applyFill="1" applyBorder="1" applyAlignment="1" applyProtection="1">
      <alignment horizontal="right" vertical="top"/>
    </xf>
    <xf numFmtId="174" fontId="69" fillId="16" borderId="21" xfId="9" applyNumberFormat="1" applyFont="1" applyFill="1" applyBorder="1" applyAlignment="1" applyProtection="1">
      <alignment horizontal="right" vertical="top"/>
    </xf>
    <xf numFmtId="175" fontId="69" fillId="16" borderId="21" xfId="9" applyNumberFormat="1" applyFont="1" applyFill="1" applyBorder="1" applyAlignment="1" applyProtection="1">
      <alignment horizontal="right" vertical="top"/>
    </xf>
    <xf numFmtId="178" fontId="83" fillId="18" borderId="0" xfId="7" applyNumberFormat="1" applyFont="1" applyFill="1" applyAlignment="1">
      <alignment horizontal="right" vertical="center"/>
    </xf>
    <xf numFmtId="180" fontId="83" fillId="18" borderId="0" xfId="9" applyNumberFormat="1" applyFont="1" applyFill="1" applyBorder="1" applyAlignment="1" applyProtection="1">
      <alignment horizontal="right" vertical="center"/>
    </xf>
    <xf numFmtId="193" fontId="83" fillId="18" borderId="0" xfId="9" applyNumberFormat="1" applyFont="1" applyFill="1" applyBorder="1" applyAlignment="1" applyProtection="1">
      <alignment horizontal="center" vertical="center"/>
    </xf>
    <xf numFmtId="188" fontId="71" fillId="16" borderId="0" xfId="7" applyNumberFormat="1" applyFont="1" applyFill="1" applyAlignment="1">
      <alignment horizontal="right" vertical="center"/>
    </xf>
    <xf numFmtId="188" fontId="69" fillId="18" borderId="0" xfId="7" applyNumberFormat="1" applyFont="1" applyFill="1" applyAlignment="1">
      <alignment horizontal="right" vertical="center"/>
    </xf>
    <xf numFmtId="188" fontId="69" fillId="16" borderId="15" xfId="7" applyNumberFormat="1" applyFont="1" applyFill="1" applyBorder="1" applyAlignment="1">
      <alignment horizontal="right" vertical="center"/>
    </xf>
    <xf numFmtId="188" fontId="69" fillId="18" borderId="15" xfId="7" applyNumberFormat="1" applyFont="1" applyFill="1" applyBorder="1" applyAlignment="1">
      <alignment horizontal="right" vertical="center"/>
    </xf>
    <xf numFmtId="188" fontId="83" fillId="18" borderId="0" xfId="7" applyNumberFormat="1" applyFont="1" applyFill="1" applyAlignment="1">
      <alignment horizontal="right" vertical="center"/>
    </xf>
    <xf numFmtId="175" fontId="83" fillId="18" borderId="0" xfId="9" applyNumberFormat="1" applyFont="1" applyFill="1" applyBorder="1" applyAlignment="1" applyProtection="1">
      <alignment horizontal="right" vertical="center"/>
    </xf>
    <xf numFmtId="188" fontId="69" fillId="16" borderId="21" xfId="7" applyNumberFormat="1" applyFont="1" applyFill="1" applyBorder="1" applyAlignment="1">
      <alignment horizontal="right" vertical="center"/>
    </xf>
    <xf numFmtId="188" fontId="69" fillId="18" borderId="21" xfId="7" applyNumberFormat="1" applyFont="1" applyFill="1" applyBorder="1" applyAlignment="1">
      <alignment horizontal="right" vertical="center"/>
    </xf>
    <xf numFmtId="180" fontId="69"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3" fontId="28" fillId="0" borderId="0" xfId="0" applyNumberFormat="1" applyFont="1"/>
    <xf numFmtId="0" fontId="85" fillId="0" borderId="0" xfId="0" applyFont="1"/>
    <xf numFmtId="4" fontId="85" fillId="0" borderId="0" xfId="0" applyNumberFormat="1" applyFont="1"/>
    <xf numFmtId="171" fontId="0" fillId="0" borderId="0" xfId="0" applyNumberFormat="1"/>
    <xf numFmtId="171" fontId="0" fillId="8" borderId="0" xfId="0" applyNumberFormat="1" applyFill="1"/>
    <xf numFmtId="3" fontId="85" fillId="0" borderId="0" xfId="0" applyNumberFormat="1" applyFont="1"/>
    <xf numFmtId="0" fontId="0" fillId="19" borderId="0" xfId="0" applyFill="1"/>
    <xf numFmtId="0" fontId="28" fillId="0" borderId="0" xfId="0" applyFont="1" applyAlignment="1">
      <alignment horizontal="left" indent="1"/>
    </xf>
    <xf numFmtId="4" fontId="28" fillId="0" borderId="0" xfId="0" applyNumberFormat="1" applyFont="1"/>
    <xf numFmtId="164" fontId="0" fillId="19" borderId="0" xfId="0" applyNumberFormat="1" applyFill="1"/>
    <xf numFmtId="3" fontId="60" fillId="0" borderId="0" xfId="0" applyNumberFormat="1" applyFont="1"/>
    <xf numFmtId="0" fontId="60" fillId="0" borderId="0" xfId="0" applyFont="1"/>
    <xf numFmtId="0" fontId="86" fillId="0" borderId="0" xfId="0" applyFont="1"/>
    <xf numFmtId="171" fontId="28" fillId="0" borderId="0" xfId="0" applyNumberFormat="1" applyFont="1" applyAlignment="1">
      <alignment horizontal="center"/>
    </xf>
    <xf numFmtId="0" fontId="87" fillId="20" borderId="0" xfId="0" applyFont="1" applyFill="1" applyAlignment="1">
      <alignment vertical="center"/>
    </xf>
    <xf numFmtId="0" fontId="88" fillId="3" borderId="0" xfId="0" applyFont="1" applyFill="1"/>
    <xf numFmtId="0" fontId="0" fillId="3" borderId="0" xfId="0" applyFill="1" applyAlignment="1">
      <alignment horizontal="left"/>
    </xf>
    <xf numFmtId="0" fontId="89" fillId="0" borderId="0" xfId="0" applyFont="1" applyAlignment="1">
      <alignment horizontal="left" vertical="center"/>
    </xf>
    <xf numFmtId="0" fontId="89"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3" fontId="52" fillId="0" borderId="0" xfId="0" applyNumberFormat="1" applyFont="1"/>
    <xf numFmtId="0" fontId="52" fillId="0" borderId="0" xfId="0" applyFont="1" applyAlignment="1">
      <alignment horizontal="right"/>
    </xf>
    <xf numFmtId="167" fontId="52" fillId="8" borderId="0" xfId="0" applyNumberFormat="1" applyFont="1" applyFill="1"/>
    <xf numFmtId="0" fontId="27" fillId="0" borderId="0" xfId="0" applyFont="1"/>
    <xf numFmtId="0" fontId="52"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2" fontId="0" fillId="0" borderId="0" xfId="0" applyNumberFormat="1" applyAlignment="1">
      <alignment vertical="center"/>
    </xf>
    <xf numFmtId="4" fontId="52"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2" fillId="0" borderId="0" xfId="0" applyFont="1" applyAlignment="1">
      <alignment horizontal="center" vertical="center"/>
    </xf>
    <xf numFmtId="2" fontId="0" fillId="0" borderId="0" xfId="0" applyNumberFormat="1" applyAlignment="1">
      <alignment horizontal="center"/>
    </xf>
    <xf numFmtId="0" fontId="41" fillId="0" borderId="0" xfId="0" applyFont="1" applyAlignment="1">
      <alignment horizontal="center"/>
    </xf>
    <xf numFmtId="0" fontId="38" fillId="0" borderId="0" xfId="0" applyFont="1" applyAlignment="1">
      <alignment horizontal="center"/>
    </xf>
    <xf numFmtId="2" fontId="5" fillId="0" borderId="0" xfId="0" applyNumberFormat="1" applyFont="1" applyAlignment="1">
      <alignment horizontal="center"/>
    </xf>
    <xf numFmtId="166" fontId="38" fillId="0" borderId="0" xfId="2" applyNumberFormat="1" applyFont="1" applyAlignment="1">
      <alignment horizontal="center"/>
    </xf>
    <xf numFmtId="1" fontId="5" fillId="0" borderId="0" xfId="0" applyNumberFormat="1" applyFont="1" applyAlignment="1">
      <alignment horizontal="center"/>
    </xf>
    <xf numFmtId="0" fontId="0" fillId="14" borderId="0" xfId="0" applyFill="1"/>
    <xf numFmtId="194" fontId="0" fillId="0" borderId="0" xfId="0" applyNumberFormat="1"/>
    <xf numFmtId="0" fontId="38" fillId="11" borderId="7" xfId="0" applyFont="1" applyFill="1" applyBorder="1" applyAlignment="1">
      <alignment horizontal="left" vertical="center" indent="2"/>
    </xf>
    <xf numFmtId="0" fontId="38" fillId="11" borderId="4" xfId="0" applyFont="1" applyFill="1" applyBorder="1" applyAlignment="1">
      <alignment horizontal="left" vertical="center" indent="2"/>
    </xf>
    <xf numFmtId="0" fontId="6" fillId="23" borderId="0" xfId="0" applyFont="1" applyFill="1"/>
    <xf numFmtId="0" fontId="6" fillId="24" borderId="0" xfId="0" applyFont="1" applyFill="1"/>
    <xf numFmtId="0" fontId="6" fillId="25" borderId="0" xfId="0" applyFont="1" applyFill="1"/>
    <xf numFmtId="0" fontId="28" fillId="23" borderId="0" xfId="0" applyFont="1" applyFill="1"/>
    <xf numFmtId="2" fontId="28" fillId="23" borderId="0" xfId="0" applyNumberFormat="1" applyFont="1" applyFill="1"/>
    <xf numFmtId="3" fontId="28" fillId="23" borderId="0" xfId="0" applyNumberFormat="1" applyFont="1" applyFill="1"/>
    <xf numFmtId="0" fontId="28" fillId="24" borderId="0" xfId="0" applyFont="1" applyFill="1"/>
    <xf numFmtId="2" fontId="28" fillId="24" borderId="0" xfId="0" applyNumberFormat="1" applyFont="1" applyFill="1"/>
    <xf numFmtId="3" fontId="28" fillId="24" borderId="0" xfId="0" applyNumberFormat="1" applyFont="1" applyFill="1"/>
    <xf numFmtId="0" fontId="28" fillId="25" borderId="0" xfId="0" applyFont="1" applyFill="1"/>
    <xf numFmtId="2" fontId="28" fillId="25" borderId="0" xfId="0" applyNumberFormat="1" applyFont="1" applyFill="1"/>
    <xf numFmtId="3" fontId="28" fillId="25" borderId="0" xfId="0" applyNumberFormat="1" applyFont="1" applyFill="1"/>
    <xf numFmtId="3" fontId="26" fillId="23" borderId="0" xfId="0" applyNumberFormat="1" applyFont="1" applyFill="1"/>
    <xf numFmtId="0" fontId="26" fillId="23" borderId="0" xfId="0" applyFont="1" applyFill="1"/>
    <xf numFmtId="0" fontId="26" fillId="24" borderId="0" xfId="0" applyFont="1" applyFill="1"/>
    <xf numFmtId="0" fontId="26" fillId="25" borderId="0" xfId="0" applyFont="1" applyFill="1"/>
    <xf numFmtId="3" fontId="26" fillId="24" borderId="0" xfId="0" applyNumberFormat="1" applyFont="1" applyFill="1"/>
    <xf numFmtId="3" fontId="26" fillId="25" borderId="0" xfId="0" applyNumberFormat="1" applyFont="1" applyFill="1"/>
    <xf numFmtId="173" fontId="6" fillId="23" borderId="0" xfId="0" applyNumberFormat="1" applyFont="1" applyFill="1"/>
    <xf numFmtId="173" fontId="6" fillId="24" borderId="0" xfId="0" applyNumberFormat="1" applyFont="1" applyFill="1"/>
    <xf numFmtId="173" fontId="6" fillId="25" borderId="0" xfId="0" applyNumberFormat="1" applyFont="1" applyFill="1"/>
    <xf numFmtId="3" fontId="94" fillId="23" borderId="0" xfId="0" applyNumberFormat="1" applyFont="1" applyFill="1"/>
    <xf numFmtId="0" fontId="94" fillId="23" borderId="0" xfId="0" applyFont="1" applyFill="1"/>
    <xf numFmtId="0" fontId="94" fillId="24" borderId="0" xfId="0" applyFont="1" applyFill="1"/>
    <xf numFmtId="0" fontId="94" fillId="25" borderId="0" xfId="0" applyFont="1" applyFill="1"/>
    <xf numFmtId="0" fontId="52" fillId="19" borderId="0" xfId="0" applyFont="1" applyFill="1"/>
    <xf numFmtId="3" fontId="52" fillId="19" borderId="0" xfId="0" applyNumberFormat="1" applyFont="1" applyFill="1"/>
    <xf numFmtId="3" fontId="0" fillId="19" borderId="0" xfId="0" applyNumberFormat="1" applyFill="1"/>
    <xf numFmtId="3" fontId="6" fillId="23" borderId="0" xfId="0" applyNumberFormat="1" applyFont="1" applyFill="1"/>
    <xf numFmtId="167" fontId="0" fillId="0" borderId="0" xfId="0" applyNumberFormat="1"/>
    <xf numFmtId="1" fontId="5" fillId="9" borderId="3" xfId="4" applyNumberFormat="1" applyFont="1" applyFill="1" applyBorder="1" applyAlignment="1" applyProtection="1">
      <alignment horizontal="center" vertical="center"/>
      <protection locked="0"/>
    </xf>
    <xf numFmtId="3" fontId="0" fillId="22" borderId="0" xfId="0" applyNumberFormat="1" applyFill="1"/>
    <xf numFmtId="0" fontId="100" fillId="22" borderId="0" xfId="0" applyFont="1" applyFill="1"/>
    <xf numFmtId="0" fontId="38" fillId="22" borderId="0" xfId="0" applyFont="1" applyFill="1"/>
    <xf numFmtId="10" fontId="43" fillId="3" borderId="0" xfId="2" applyNumberFormat="1" applyFont="1" applyFill="1"/>
    <xf numFmtId="0" fontId="3" fillId="21" borderId="0" xfId="0" applyFont="1" applyFill="1"/>
    <xf numFmtId="0" fontId="0" fillId="21" borderId="0" xfId="0" applyFill="1"/>
    <xf numFmtId="3" fontId="0" fillId="21" borderId="0" xfId="0" applyNumberFormat="1" applyFill="1"/>
    <xf numFmtId="0" fontId="101" fillId="3" borderId="0" xfId="0" applyFont="1" applyFill="1" applyAlignment="1" applyProtection="1">
      <alignment vertical="center"/>
      <protection hidden="1"/>
    </xf>
    <xf numFmtId="0" fontId="33" fillId="14" borderId="0" xfId="0" applyFont="1" applyFill="1" applyAlignment="1" applyProtection="1">
      <alignment vertical="center"/>
      <protection hidden="1"/>
    </xf>
    <xf numFmtId="0" fontId="25" fillId="14" borderId="0" xfId="0" applyFont="1" applyFill="1" applyAlignment="1">
      <alignment horizontal="left" vertical="top" wrapText="1"/>
    </xf>
    <xf numFmtId="0" fontId="46" fillId="14" borderId="0" xfId="0" applyFont="1" applyFill="1" applyAlignment="1">
      <alignment horizontal="center" vertical="top"/>
    </xf>
    <xf numFmtId="0" fontId="50" fillId="14" borderId="0" xfId="0" applyFont="1" applyFill="1"/>
    <xf numFmtId="0" fontId="50" fillId="14" borderId="0" xfId="0" applyFont="1" applyFill="1" applyAlignment="1">
      <alignment horizontal="left" vertical="top" wrapText="1"/>
    </xf>
    <xf numFmtId="0" fontId="104" fillId="3" borderId="0" xfId="0" applyFont="1" applyFill="1" applyAlignment="1" applyProtection="1">
      <alignment vertical="center"/>
      <protection hidden="1"/>
    </xf>
    <xf numFmtId="0" fontId="33" fillId="21" borderId="0" xfId="0" applyFont="1" applyFill="1" applyAlignment="1" applyProtection="1">
      <alignment vertical="center"/>
      <protection hidden="1"/>
    </xf>
    <xf numFmtId="0" fontId="25" fillId="21" borderId="0" xfId="0" applyFont="1" applyFill="1" applyAlignment="1">
      <alignment horizontal="left" vertical="top" wrapText="1"/>
    </xf>
    <xf numFmtId="0" fontId="46" fillId="21" borderId="0" xfId="0" applyFont="1" applyFill="1" applyAlignment="1">
      <alignment horizontal="center" vertical="top"/>
    </xf>
    <xf numFmtId="0" fontId="50" fillId="21" borderId="0" xfId="0" applyFont="1" applyFill="1"/>
    <xf numFmtId="0" fontId="50" fillId="21" borderId="0" xfId="0" applyFont="1" applyFill="1" applyAlignment="1">
      <alignment horizontal="left" vertical="top" wrapText="1"/>
    </xf>
    <xf numFmtId="0" fontId="105" fillId="3" borderId="0" xfId="0" applyFont="1" applyFill="1" applyAlignment="1" applyProtection="1">
      <alignment vertical="center"/>
      <protection hidden="1"/>
    </xf>
    <xf numFmtId="0" fontId="33" fillId="22" borderId="0" xfId="0" applyFont="1" applyFill="1" applyAlignment="1" applyProtection="1">
      <alignment vertical="center"/>
      <protection hidden="1"/>
    </xf>
    <xf numFmtId="0" fontId="25" fillId="22" borderId="0" xfId="0" applyFont="1" applyFill="1" applyAlignment="1">
      <alignment horizontal="left" vertical="top" wrapText="1"/>
    </xf>
    <xf numFmtId="0" fontId="0" fillId="22" borderId="0" xfId="0" applyFill="1"/>
    <xf numFmtId="0" fontId="46" fillId="22" borderId="0" xfId="0" applyFont="1" applyFill="1" applyAlignment="1">
      <alignment horizontal="center" vertical="top"/>
    </xf>
    <xf numFmtId="0" fontId="50" fillId="22" borderId="0" xfId="0" applyFont="1" applyFill="1"/>
    <xf numFmtId="0" fontId="50" fillId="22" borderId="0" xfId="0" applyFont="1" applyFill="1" applyAlignment="1">
      <alignment horizontal="left" vertical="top" wrapText="1"/>
    </xf>
    <xf numFmtId="0" fontId="52" fillId="27" borderId="0" xfId="0" applyFont="1" applyFill="1"/>
    <xf numFmtId="3" fontId="0" fillId="27" borderId="0" xfId="0" applyNumberFormat="1" applyFill="1"/>
    <xf numFmtId="0" fontId="0" fillId="27" borderId="0" xfId="0" applyFill="1"/>
    <xf numFmtId="9" fontId="0" fillId="0" borderId="0" xfId="2" applyFont="1"/>
    <xf numFmtId="4" fontId="52" fillId="27" borderId="0" xfId="0" applyNumberFormat="1" applyFont="1" applyFill="1"/>
    <xf numFmtId="170" fontId="0" fillId="0" borderId="0" xfId="0" applyNumberFormat="1"/>
    <xf numFmtId="168" fontId="0" fillId="0" borderId="0" xfId="2" applyNumberFormat="1" applyFont="1"/>
    <xf numFmtId="0" fontId="26" fillId="0" borderId="0" xfId="0" applyFont="1"/>
    <xf numFmtId="1" fontId="6" fillId="0" borderId="0" xfId="0" applyNumberFormat="1" applyFont="1"/>
    <xf numFmtId="3" fontId="26" fillId="0" borderId="0" xfId="0" applyNumberFormat="1" applyFont="1"/>
    <xf numFmtId="0" fontId="42" fillId="11" borderId="0" xfId="6" applyFont="1" applyFill="1" applyBorder="1" applyAlignment="1" applyProtection="1">
      <alignment horizontal="left" vertical="center" wrapText="1" indent="2"/>
      <protection hidden="1"/>
    </xf>
    <xf numFmtId="0" fontId="106" fillId="0" borderId="0" xfId="0" applyFont="1"/>
    <xf numFmtId="0" fontId="38" fillId="3" borderId="0" xfId="0" applyFont="1" applyFill="1" applyAlignment="1" applyProtection="1">
      <alignment vertical="center"/>
      <protection hidden="1"/>
    </xf>
    <xf numFmtId="0" fontId="32" fillId="0" borderId="0" xfId="0" applyFont="1" applyFill="1" applyAlignment="1" applyProtection="1">
      <alignment vertical="center"/>
      <protection hidden="1"/>
    </xf>
    <xf numFmtId="0" fontId="0" fillId="0" borderId="0" xfId="0" applyFill="1"/>
    <xf numFmtId="170" fontId="85" fillId="0" borderId="0" xfId="0" applyNumberFormat="1" applyFont="1"/>
    <xf numFmtId="2" fontId="52" fillId="0" borderId="0" xfId="0" applyNumberFormat="1" applyFont="1" applyAlignment="1">
      <alignment horizontal="left" vertical="center"/>
    </xf>
    <xf numFmtId="0" fontId="52" fillId="0" borderId="0" xfId="0" applyFont="1" applyAlignment="1">
      <alignment horizontal="left" vertical="center"/>
    </xf>
    <xf numFmtId="170" fontId="52" fillId="19" borderId="0" xfId="0" applyNumberFormat="1" applyFont="1" applyFill="1"/>
    <xf numFmtId="170" fontId="0" fillId="27" borderId="0" xfId="0" applyNumberFormat="1" applyFill="1"/>
    <xf numFmtId="0" fontId="2" fillId="0" borderId="0" xfId="0" applyFont="1" applyAlignment="1">
      <alignment horizontal="center" wrapText="1"/>
    </xf>
    <xf numFmtId="0" fontId="38" fillId="11" borderId="8" xfId="0" quotePrefix="1" applyFont="1" applyFill="1" applyBorder="1" applyAlignment="1">
      <alignment horizontal="center" vertical="center" wrapText="1"/>
    </xf>
    <xf numFmtId="0" fontId="60" fillId="3" borderId="0" xfId="0" applyFont="1" applyFill="1" applyAlignment="1">
      <alignment vertical="center"/>
    </xf>
    <xf numFmtId="0" fontId="0" fillId="0" borderId="0" xfId="0" applyProtection="1"/>
    <xf numFmtId="0" fontId="3" fillId="0" borderId="0" xfId="0" applyFont="1" applyProtection="1"/>
    <xf numFmtId="0" fontId="56"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right" vertical="center"/>
    </xf>
    <xf numFmtId="0" fontId="60" fillId="0" borderId="0" xfId="0" applyFont="1" applyAlignment="1" applyProtection="1">
      <alignment vertical="center"/>
    </xf>
    <xf numFmtId="0" fontId="23" fillId="13" borderId="0" xfId="4" applyFont="1" applyFill="1" applyProtection="1"/>
    <xf numFmtId="0" fontId="29" fillId="0" borderId="0" xfId="0" applyFont="1" applyProtection="1"/>
    <xf numFmtId="0" fontId="57" fillId="0" borderId="0" xfId="0" applyFont="1" applyProtection="1"/>
    <xf numFmtId="0" fontId="58" fillId="0" borderId="0" xfId="0" applyFont="1" applyProtection="1"/>
    <xf numFmtId="0" fontId="2" fillId="0" borderId="0" xfId="0" applyFont="1" applyProtection="1"/>
    <xf numFmtId="0" fontId="0" fillId="0" borderId="0" xfId="0" applyAlignment="1" applyProtection="1">
      <alignment vertical="top" wrapText="1"/>
    </xf>
    <xf numFmtId="0" fontId="38" fillId="11" borderId="4" xfId="4" applyFont="1" applyFill="1" applyBorder="1" applyAlignment="1" applyProtection="1">
      <alignment horizontal="left" vertical="center" indent="2"/>
    </xf>
    <xf numFmtId="0" fontId="5" fillId="0" borderId="0" xfId="0" applyFont="1" applyProtection="1"/>
    <xf numFmtId="0" fontId="5" fillId="26" borderId="3" xfId="4" applyFont="1" applyFill="1" applyBorder="1" applyAlignment="1" applyProtection="1">
      <alignment horizontal="center" vertical="center"/>
    </xf>
    <xf numFmtId="0" fontId="7" fillId="0" borderId="0" xfId="0" applyFont="1" applyAlignment="1" applyProtection="1">
      <alignment vertical="center"/>
    </xf>
    <xf numFmtId="0" fontId="38" fillId="11" borderId="5" xfId="4" applyFont="1" applyFill="1" applyBorder="1" applyAlignment="1" applyProtection="1">
      <alignment horizontal="left" vertical="center" indent="2"/>
    </xf>
    <xf numFmtId="0" fontId="38" fillId="13" borderId="5" xfId="4" applyFont="1" applyFill="1" applyBorder="1" applyAlignment="1" applyProtection="1">
      <alignment horizontal="left" vertical="center" indent="5"/>
    </xf>
    <xf numFmtId="0" fontId="38" fillId="13" borderId="5" xfId="4" applyFont="1" applyFill="1" applyBorder="1" applyAlignment="1" applyProtection="1">
      <alignment horizontal="left" vertical="center" wrapText="1" indent="5"/>
    </xf>
    <xf numFmtId="0" fontId="38" fillId="13" borderId="3" xfId="4" applyFont="1" applyFill="1" applyBorder="1" applyAlignment="1" applyProtection="1">
      <alignment horizontal="left" vertical="center" wrapText="1" indent="5"/>
    </xf>
    <xf numFmtId="0" fontId="0" fillId="0" borderId="0" xfId="0" applyAlignment="1" applyProtection="1">
      <alignment vertical="center" wrapText="1"/>
    </xf>
    <xf numFmtId="0" fontId="60" fillId="0" borderId="0" xfId="0" applyFont="1" applyAlignment="1" applyProtection="1">
      <alignment vertical="top" wrapText="1"/>
    </xf>
    <xf numFmtId="0" fontId="2" fillId="0" borderId="0" xfId="0" applyFont="1" applyAlignment="1" applyProtection="1">
      <alignment vertical="center"/>
    </xf>
    <xf numFmtId="10" fontId="0" fillId="0" borderId="0" xfId="0" applyNumberFormat="1" applyProtection="1"/>
    <xf numFmtId="0" fontId="38" fillId="0" borderId="5" xfId="4" applyFont="1" applyBorder="1" applyAlignment="1" applyProtection="1">
      <alignment horizontal="left" vertical="center" indent="2"/>
    </xf>
    <xf numFmtId="0" fontId="5" fillId="0" borderId="3" xfId="4" applyFont="1" applyBorder="1" applyAlignment="1" applyProtection="1">
      <alignment horizontal="center" vertical="center"/>
    </xf>
    <xf numFmtId="3" fontId="0" fillId="0" borderId="0" xfId="0" applyNumberFormat="1" applyAlignment="1" applyProtection="1">
      <alignment horizontal="center"/>
    </xf>
    <xf numFmtId="0" fontId="6" fillId="0" borderId="0" xfId="0" applyFont="1" applyProtection="1"/>
    <xf numFmtId="0" fontId="85" fillId="0" borderId="0" xfId="0" applyFont="1" applyProtection="1"/>
    <xf numFmtId="0" fontId="59" fillId="0" borderId="0" xfId="0" applyFont="1" applyAlignment="1" applyProtection="1">
      <alignment horizontal="left"/>
    </xf>
    <xf numFmtId="0" fontId="38" fillId="0" borderId="0" xfId="0" applyFont="1" applyProtection="1"/>
    <xf numFmtId="0" fontId="2" fillId="0" borderId="0" xfId="0" applyFont="1" applyAlignment="1" applyProtection="1">
      <alignment horizontal="center" vertical="center"/>
    </xf>
    <xf numFmtId="4" fontId="5" fillId="8" borderId="4" xfId="4" applyNumberFormat="1" applyFont="1" applyFill="1" applyBorder="1" applyAlignment="1" applyProtection="1">
      <alignment horizontal="center" vertical="center"/>
    </xf>
    <xf numFmtId="4" fontId="2" fillId="0" borderId="0" xfId="0" applyNumberFormat="1" applyFont="1" applyProtection="1"/>
    <xf numFmtId="4" fontId="5" fillId="8" borderId="5" xfId="4" applyNumberFormat="1" applyFont="1" applyFill="1" applyBorder="1" applyAlignment="1" applyProtection="1">
      <alignment horizontal="center" vertical="center"/>
    </xf>
    <xf numFmtId="4" fontId="5" fillId="8" borderId="3" xfId="4" applyNumberFormat="1" applyFont="1" applyFill="1" applyBorder="1" applyAlignment="1" applyProtection="1">
      <alignment horizontal="center" vertical="center"/>
    </xf>
    <xf numFmtId="0" fontId="2" fillId="0" borderId="0" xfId="0" applyFont="1" applyAlignment="1" applyProtection="1">
      <alignment horizontal="left" vertical="top" indent="2"/>
    </xf>
    <xf numFmtId="167" fontId="0" fillId="0" borderId="0" xfId="0" applyNumberFormat="1" applyProtection="1"/>
    <xf numFmtId="170" fontId="5" fillId="8" borderId="4" xfId="4" applyNumberFormat="1" applyFont="1" applyFill="1" applyBorder="1" applyAlignment="1" applyProtection="1">
      <alignment horizontal="center" vertical="center"/>
    </xf>
    <xf numFmtId="167" fontId="2" fillId="0" borderId="0" xfId="0" applyNumberFormat="1" applyFont="1" applyProtection="1"/>
    <xf numFmtId="170" fontId="5" fillId="8" borderId="5" xfId="4" applyNumberFormat="1" applyFont="1" applyFill="1" applyBorder="1" applyAlignment="1" applyProtection="1">
      <alignment horizontal="center" vertical="center"/>
    </xf>
    <xf numFmtId="170" fontId="2" fillId="0" borderId="0" xfId="0" applyNumberFormat="1" applyFont="1" applyProtection="1"/>
    <xf numFmtId="170" fontId="5" fillId="8" borderId="3" xfId="4" applyNumberFormat="1" applyFont="1" applyFill="1" applyBorder="1" applyAlignment="1" applyProtection="1">
      <alignment horizontal="center" vertical="center"/>
    </xf>
    <xf numFmtId="167" fontId="6" fillId="8" borderId="4" xfId="4" applyNumberFormat="1" applyFont="1" applyFill="1" applyBorder="1" applyAlignment="1" applyProtection="1">
      <alignment horizontal="center" vertical="center"/>
    </xf>
    <xf numFmtId="3" fontId="0" fillId="0" borderId="0" xfId="0" applyNumberFormat="1" applyAlignment="1" applyProtection="1">
      <alignment vertical="center"/>
    </xf>
    <xf numFmtId="167" fontId="6" fillId="0" borderId="0" xfId="0" applyNumberFormat="1" applyFont="1" applyAlignment="1" applyProtection="1">
      <alignment horizontal="center"/>
    </xf>
    <xf numFmtId="167" fontId="6" fillId="0" borderId="0" xfId="0" applyNumberFormat="1" applyFont="1" applyProtection="1"/>
    <xf numFmtId="0" fontId="56" fillId="0" borderId="0" xfId="0" applyFont="1" applyProtection="1"/>
    <xf numFmtId="0" fontId="23" fillId="0" borderId="0" xfId="4" applyFont="1" applyProtection="1"/>
    <xf numFmtId="0" fontId="0" fillId="26" borderId="3" xfId="4" applyFont="1" applyFill="1" applyBorder="1" applyAlignment="1" applyProtection="1">
      <alignment horizontal="center" vertical="center"/>
    </xf>
    <xf numFmtId="0" fontId="55" fillId="0" borderId="0" xfId="0" applyFont="1" applyAlignment="1" applyProtection="1">
      <alignment vertical="center"/>
    </xf>
    <xf numFmtId="3" fontId="5" fillId="10" borderId="4" xfId="4" applyNumberFormat="1" applyFont="1" applyFill="1" applyBorder="1" applyAlignment="1" applyProtection="1">
      <alignment horizontal="center" vertical="center"/>
    </xf>
    <xf numFmtId="167" fontId="5" fillId="10" borderId="4" xfId="4" applyNumberFormat="1" applyFont="1" applyFill="1" applyBorder="1" applyAlignment="1" applyProtection="1">
      <alignment horizontal="center" vertical="center"/>
    </xf>
    <xf numFmtId="4" fontId="5" fillId="10" borderId="4" xfId="4" applyNumberFormat="1" applyFont="1" applyFill="1" applyBorder="1" applyAlignment="1" applyProtection="1">
      <alignment horizontal="center" vertical="center"/>
    </xf>
    <xf numFmtId="173" fontId="5" fillId="10" borderId="4" xfId="2" applyNumberFormat="1" applyFont="1" applyFill="1" applyBorder="1" applyAlignment="1" applyProtection="1">
      <alignment horizontal="center" vertical="center"/>
    </xf>
    <xf numFmtId="166" fontId="5" fillId="10" borderId="4" xfId="2" applyNumberFormat="1" applyFont="1" applyFill="1" applyBorder="1" applyAlignment="1" applyProtection="1">
      <alignment horizontal="center" vertical="center"/>
    </xf>
    <xf numFmtId="0" fontId="2" fillId="0" borderId="0" xfId="0" applyFont="1" applyAlignment="1" applyProtection="1">
      <alignment vertical="top"/>
    </xf>
    <xf numFmtId="0" fontId="6" fillId="0" borderId="0" xfId="0" applyFont="1" applyAlignment="1" applyProtection="1">
      <alignment horizontal="center" wrapText="1"/>
    </xf>
    <xf numFmtId="0" fontId="7" fillId="0" borderId="0" xfId="0" applyFont="1" applyProtection="1"/>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3" fontId="5" fillId="8" borderId="4" xfId="4" applyNumberFormat="1" applyFont="1" applyFill="1" applyBorder="1" applyAlignment="1" applyProtection="1">
      <alignment horizontal="center" vertical="center"/>
    </xf>
    <xf numFmtId="0" fontId="60" fillId="0" borderId="0" xfId="0" applyFont="1" applyProtection="1"/>
    <xf numFmtId="0" fontId="0" fillId="0" borderId="0" xfId="0" applyFill="1" applyProtection="1"/>
    <xf numFmtId="1" fontId="5" fillId="10" borderId="4" xfId="2" applyNumberFormat="1" applyFont="1" applyFill="1" applyBorder="1" applyAlignment="1" applyProtection="1">
      <alignment horizontal="center" vertical="center"/>
    </xf>
    <xf numFmtId="1" fontId="5" fillId="26" borderId="4" xfId="4" applyNumberFormat="1" applyFont="1" applyFill="1" applyBorder="1" applyAlignment="1" applyProtection="1">
      <alignment horizontal="center" vertical="center"/>
    </xf>
    <xf numFmtId="0" fontId="0" fillId="10" borderId="0" xfId="0" applyFill="1" applyProtection="1"/>
    <xf numFmtId="9" fontId="0" fillId="10" borderId="0" xfId="0" applyNumberFormat="1" applyFill="1" applyProtection="1"/>
    <xf numFmtId="1" fontId="0" fillId="26" borderId="0" xfId="0" applyNumberFormat="1" applyFill="1" applyAlignment="1" applyProtection="1">
      <alignment horizontal="center" vertical="center"/>
    </xf>
    <xf numFmtId="0" fontId="55" fillId="0" borderId="0" xfId="0" applyFont="1"/>
    <xf numFmtId="3" fontId="55" fillId="0" borderId="0" xfId="0" applyNumberFormat="1" applyFont="1"/>
    <xf numFmtId="0" fontId="55" fillId="0" borderId="0" xfId="0" applyFont="1" applyFill="1"/>
    <xf numFmtId="165" fontId="55" fillId="0" borderId="0" xfId="0" applyNumberFormat="1" applyFont="1"/>
    <xf numFmtId="173" fontId="2" fillId="10" borderId="4" xfId="2" applyNumberFormat="1" applyFont="1" applyFill="1" applyBorder="1" applyAlignment="1" applyProtection="1">
      <alignment horizontal="center" vertical="center"/>
    </xf>
    <xf numFmtId="0" fontId="42" fillId="11" borderId="0" xfId="6" applyFont="1" applyFill="1" applyBorder="1" applyAlignment="1" applyProtection="1">
      <alignment horizontal="left" vertical="center" wrapText="1" indent="2"/>
      <protection hidden="1"/>
    </xf>
    <xf numFmtId="0" fontId="38" fillId="11" borderId="1" xfId="6" applyFont="1" applyFill="1" applyBorder="1" applyAlignment="1" applyProtection="1">
      <alignment horizontal="left" vertical="center" wrapText="1"/>
      <protection hidden="1"/>
    </xf>
    <xf numFmtId="169" fontId="38" fillId="11" borderId="10" xfId="0" quotePrefix="1" applyNumberFormat="1" applyFont="1" applyFill="1" applyBorder="1" applyAlignment="1">
      <alignment horizontal="center" vertical="center"/>
    </xf>
    <xf numFmtId="169" fontId="38" fillId="11" borderId="8" xfId="0" quotePrefix="1" applyNumberFormat="1" applyFont="1" applyFill="1" applyBorder="1" applyAlignment="1">
      <alignment horizontal="center" vertical="center"/>
    </xf>
    <xf numFmtId="0" fontId="38" fillId="11" borderId="9" xfId="0" applyFont="1" applyFill="1" applyBorder="1" applyAlignment="1">
      <alignment horizontal="left" vertical="center" wrapText="1" indent="2"/>
    </xf>
    <xf numFmtId="0" fontId="38" fillId="11" borderId="10" xfId="0" applyFont="1" applyFill="1" applyBorder="1" applyAlignment="1">
      <alignment horizontal="left" vertical="center" wrapText="1" indent="2"/>
    </xf>
    <xf numFmtId="0" fontId="38" fillId="11" borderId="7" xfId="0" applyFont="1" applyFill="1" applyBorder="1" applyAlignment="1">
      <alignment horizontal="left" vertical="center" indent="2"/>
    </xf>
    <xf numFmtId="0" fontId="38" fillId="11" borderId="4" xfId="0" applyFont="1" applyFill="1" applyBorder="1" applyAlignment="1">
      <alignment horizontal="left" vertical="center" indent="2"/>
    </xf>
    <xf numFmtId="0" fontId="40" fillId="3" borderId="0" xfId="0" applyFont="1" applyFill="1" applyAlignment="1" applyProtection="1">
      <alignment horizontal="left" vertical="center"/>
      <protection hidden="1"/>
    </xf>
    <xf numFmtId="0" fontId="41" fillId="11" borderId="7" xfId="0" applyFont="1" applyFill="1" applyBorder="1" applyAlignment="1">
      <alignment horizontal="center" vertical="center"/>
    </xf>
    <xf numFmtId="0" fontId="41" fillId="11" borderId="4" xfId="0" applyFont="1" applyFill="1" applyBorder="1" applyAlignment="1">
      <alignment horizontal="center" vertical="center"/>
    </xf>
    <xf numFmtId="0" fontId="41" fillId="11" borderId="6" xfId="0" applyFont="1" applyFill="1" applyBorder="1" applyAlignment="1">
      <alignment horizontal="center" vertical="center"/>
    </xf>
    <xf numFmtId="0" fontId="38" fillId="11" borderId="2" xfId="0" applyFont="1" applyFill="1" applyBorder="1" applyAlignment="1">
      <alignment horizontal="left" vertical="center" wrapText="1"/>
    </xf>
    <xf numFmtId="0" fontId="38" fillId="11" borderId="0" xfId="0" applyFont="1" applyFill="1" applyAlignment="1">
      <alignment horizontal="left" vertical="center" wrapText="1"/>
    </xf>
    <xf numFmtId="0" fontId="38" fillId="11" borderId="2" xfId="0" applyFont="1" applyFill="1" applyBorder="1" applyAlignment="1" applyProtection="1">
      <alignment horizontal="left" vertical="center" wrapText="1"/>
      <protection hidden="1"/>
    </xf>
    <xf numFmtId="0" fontId="38" fillId="11" borderId="2" xfId="0" applyFont="1" applyFill="1" applyBorder="1" applyAlignment="1" applyProtection="1">
      <alignment horizontal="left" vertical="center"/>
      <protection hidden="1"/>
    </xf>
    <xf numFmtId="0" fontId="90" fillId="3" borderId="0" xfId="4" applyFont="1" applyFill="1" applyAlignment="1">
      <alignment horizontal="left" vertical="top" wrapText="1"/>
    </xf>
    <xf numFmtId="0" fontId="39" fillId="11" borderId="2" xfId="0" applyFont="1" applyFill="1" applyBorder="1" applyAlignment="1">
      <alignment horizontal="left" vertical="center" wrapText="1"/>
    </xf>
    <xf numFmtId="0" fontId="39" fillId="11" borderId="0" xfId="0" applyFont="1" applyFill="1" applyAlignment="1">
      <alignment horizontal="left" vertical="center" wrapText="1"/>
    </xf>
    <xf numFmtId="0" fontId="46" fillId="12" borderId="0" xfId="0" applyFont="1" applyFill="1" applyAlignment="1">
      <alignment horizontal="center" vertical="center" wrapText="1"/>
    </xf>
    <xf numFmtId="0" fontId="39" fillId="12" borderId="0" xfId="0" applyFont="1" applyFill="1" applyAlignment="1">
      <alignment horizontal="center" vertical="center" wrapText="1"/>
    </xf>
    <xf numFmtId="0" fontId="50" fillId="22" borderId="0" xfId="0" applyFont="1" applyFill="1" applyAlignment="1">
      <alignment horizontal="left" vertical="top" wrapText="1"/>
    </xf>
    <xf numFmtId="0" fontId="50" fillId="21" borderId="0" xfId="0" applyFont="1" applyFill="1" applyAlignment="1">
      <alignment horizontal="left" vertical="top" wrapText="1"/>
    </xf>
    <xf numFmtId="0" fontId="50" fillId="11" borderId="0" xfId="0" applyFont="1" applyFill="1" applyAlignment="1">
      <alignment horizontal="left" vertical="top" wrapText="1"/>
    </xf>
    <xf numFmtId="0" fontId="50" fillId="14" borderId="0" xfId="0" applyFont="1" applyFill="1" applyAlignment="1">
      <alignment horizontal="left" vertical="top" wrapText="1"/>
    </xf>
    <xf numFmtId="0" fontId="46" fillId="22" borderId="0" xfId="0" applyFont="1" applyFill="1" applyAlignment="1">
      <alignment horizontal="center" vertical="center" wrapText="1"/>
    </xf>
    <xf numFmtId="0" fontId="46" fillId="4" borderId="0" xfId="0" applyFont="1" applyFill="1" applyAlignment="1">
      <alignment horizontal="center" vertical="center" wrapText="1"/>
    </xf>
    <xf numFmtId="0" fontId="39" fillId="4" borderId="0" xfId="0" applyFont="1" applyFill="1" applyAlignment="1">
      <alignment horizontal="center" vertical="center" wrapText="1"/>
    </xf>
    <xf numFmtId="0" fontId="49" fillId="4" borderId="0" xfId="6" applyFont="1" applyFill="1" applyBorder="1" applyAlignment="1" applyProtection="1">
      <alignment horizontal="center" vertical="center" wrapText="1"/>
    </xf>
    <xf numFmtId="0" fontId="39" fillId="22" borderId="0" xfId="6" applyFont="1" applyFill="1" applyBorder="1" applyAlignment="1" applyProtection="1">
      <alignment horizontal="center" vertical="center" wrapText="1"/>
    </xf>
    <xf numFmtId="0" fontId="46" fillId="11" borderId="0" xfId="0" applyFont="1" applyFill="1" applyAlignment="1">
      <alignment horizontal="center" vertical="center" wrapText="1"/>
    </xf>
    <xf numFmtId="0" fontId="39" fillId="11" borderId="0" xfId="0" applyFont="1" applyFill="1" applyAlignment="1">
      <alignment horizontal="center" vertical="center" wrapText="1"/>
    </xf>
    <xf numFmtId="0" fontId="46" fillId="14" borderId="0" xfId="0" applyFont="1" applyFill="1" applyAlignment="1">
      <alignment horizontal="center" vertical="center" wrapText="1"/>
    </xf>
    <xf numFmtId="0" fontId="39" fillId="14" borderId="0" xfId="0" applyFont="1" applyFill="1" applyAlignment="1">
      <alignment horizontal="center" vertical="center" wrapText="1"/>
    </xf>
    <xf numFmtId="0" fontId="46" fillId="21" borderId="0" xfId="0" applyFont="1" applyFill="1" applyAlignment="1">
      <alignment horizontal="center" vertical="center" wrapText="1"/>
    </xf>
    <xf numFmtId="0" fontId="39" fillId="21" borderId="0" xfId="0" applyFont="1" applyFill="1" applyAlignment="1">
      <alignment horizontal="center" vertical="center" wrapText="1"/>
    </xf>
    <xf numFmtId="0" fontId="48" fillId="11" borderId="11" xfId="6" applyFont="1" applyFill="1" applyBorder="1" applyAlignment="1" applyProtection="1">
      <alignment horizontal="left" vertical="center" indent="9"/>
    </xf>
    <xf numFmtId="0" fontId="59" fillId="0" borderId="37" xfId="0" applyFont="1" applyBorder="1" applyAlignment="1">
      <alignment horizontal="center" vertical="center"/>
    </xf>
    <xf numFmtId="0" fontId="59" fillId="0" borderId="41" xfId="0" applyFont="1" applyBorder="1" applyAlignment="1">
      <alignment horizontal="center" vertical="center"/>
    </xf>
    <xf numFmtId="0" fontId="107" fillId="3" borderId="38" xfId="0" applyFont="1" applyFill="1" applyBorder="1" applyAlignment="1" applyProtection="1">
      <alignment horizontal="left" vertical="center" wrapText="1"/>
      <protection hidden="1"/>
    </xf>
    <xf numFmtId="0" fontId="107" fillId="3" borderId="39" xfId="0" applyFont="1" applyFill="1" applyBorder="1" applyAlignment="1" applyProtection="1">
      <alignment horizontal="left" vertical="center" wrapText="1"/>
      <protection hidden="1"/>
    </xf>
    <xf numFmtId="0" fontId="107" fillId="3" borderId="40" xfId="0" applyFont="1" applyFill="1" applyBorder="1" applyAlignment="1" applyProtection="1">
      <alignment horizontal="left" vertical="center" wrapText="1"/>
      <protection hidden="1"/>
    </xf>
    <xf numFmtId="0" fontId="107" fillId="3" borderId="42" xfId="0" applyFont="1" applyFill="1" applyBorder="1" applyAlignment="1" applyProtection="1">
      <alignment horizontal="left" vertical="center" wrapText="1"/>
      <protection hidden="1"/>
    </xf>
    <xf numFmtId="0" fontId="107" fillId="3" borderId="43" xfId="0" applyFont="1" applyFill="1" applyBorder="1" applyAlignment="1" applyProtection="1">
      <alignment horizontal="left" vertical="center" wrapText="1"/>
      <protection hidden="1"/>
    </xf>
    <xf numFmtId="0" fontId="107" fillId="3" borderId="44" xfId="0" applyFont="1" applyFill="1" applyBorder="1" applyAlignment="1" applyProtection="1">
      <alignment horizontal="left" vertical="center" wrapText="1"/>
      <protection hidden="1"/>
    </xf>
    <xf numFmtId="0" fontId="111" fillId="3" borderId="34" xfId="0" applyFont="1" applyFill="1" applyBorder="1" applyAlignment="1" applyProtection="1">
      <alignment horizontal="left" vertical="center" wrapText="1"/>
      <protection hidden="1"/>
    </xf>
    <xf numFmtId="0" fontId="111" fillId="3" borderId="35" xfId="0" applyFont="1" applyFill="1" applyBorder="1" applyAlignment="1" applyProtection="1">
      <alignment horizontal="left" vertical="center" wrapText="1"/>
      <protection hidden="1"/>
    </xf>
    <xf numFmtId="0" fontId="111" fillId="3" borderId="36" xfId="0" applyFont="1" applyFill="1" applyBorder="1" applyAlignment="1" applyProtection="1">
      <alignment horizontal="left" vertical="center" wrapText="1"/>
      <protection hidden="1"/>
    </xf>
    <xf numFmtId="0" fontId="0" fillId="0" borderId="0" xfId="0" applyAlignment="1" applyProtection="1">
      <alignment horizontal="left" vertical="center" wrapText="1"/>
    </xf>
    <xf numFmtId="0" fontId="38" fillId="11" borderId="4" xfId="4" applyFont="1" applyFill="1" applyBorder="1" applyAlignment="1" applyProtection="1">
      <alignment horizontal="left" vertical="center" indent="2"/>
    </xf>
    <xf numFmtId="0" fontId="41" fillId="11" borderId="0" xfId="0" applyFont="1" applyFill="1" applyAlignment="1" applyProtection="1">
      <alignment horizontal="center" vertical="center" wrapText="1"/>
    </xf>
    <xf numFmtId="0" fontId="60" fillId="0" borderId="0" xfId="0" applyFont="1" applyAlignment="1" applyProtection="1">
      <alignment horizontal="left" vertical="center" wrapText="1"/>
    </xf>
    <xf numFmtId="0" fontId="60" fillId="0" borderId="0" xfId="0" applyFont="1" applyAlignment="1" applyProtection="1">
      <alignment horizontal="left" vertical="top" wrapText="1"/>
    </xf>
    <xf numFmtId="0" fontId="0" fillId="0" borderId="0" xfId="0" applyAlignment="1" applyProtection="1">
      <alignment horizontal="left" vertical="top" wrapText="1"/>
    </xf>
    <xf numFmtId="0" fontId="69" fillId="16" borderId="33" xfId="7" applyFont="1" applyFill="1" applyBorder="1" applyAlignment="1">
      <alignment horizontal="left" vertical="top" wrapText="1"/>
    </xf>
    <xf numFmtId="0" fontId="61" fillId="15" borderId="0" xfId="7" applyFont="1" applyFill="1" applyAlignment="1">
      <alignment horizontal="center" vertical="center" wrapText="1"/>
    </xf>
    <xf numFmtId="0" fontId="68" fillId="17" borderId="0" xfId="7" applyFont="1" applyFill="1" applyAlignment="1">
      <alignment horizontal="center" vertical="center"/>
    </xf>
  </cellXfs>
  <cellStyles count="10">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155">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patternType="none">
          <bgColor auto="1"/>
        </patternFill>
      </fill>
      <border>
        <left/>
        <right/>
        <top/>
        <bottom/>
      </border>
    </dxf>
    <dxf>
      <fill>
        <patternFill>
          <bgColor theme="7" tint="0.39994506668294322"/>
        </patternFill>
      </fill>
    </dxf>
    <dxf>
      <fill>
        <patternFill>
          <bgColor theme="2" tint="-9.9948118533890809E-2"/>
        </patternFill>
      </fill>
    </dxf>
    <dxf>
      <numFmt numFmtId="2" formatCode="0.00"/>
    </dxf>
    <dxf>
      <numFmt numFmtId="173" formatCode="0.0"/>
    </dxf>
    <dxf>
      <numFmt numFmtId="2" formatCode="0.00"/>
    </dxf>
    <dxf>
      <numFmt numFmtId="173" formatCode="0.0"/>
    </dxf>
    <dxf>
      <font>
        <b val="0"/>
        <i/>
      </font>
    </dxf>
    <dxf>
      <numFmt numFmtId="2" formatCode="0.00"/>
    </dxf>
    <dxf>
      <numFmt numFmtId="173" formatCode="0.0"/>
    </dxf>
    <dxf>
      <numFmt numFmtId="2" formatCode="0.00"/>
    </dxf>
    <dxf>
      <numFmt numFmtId="173" formatCode="0.0"/>
    </dxf>
    <dxf>
      <font>
        <color theme="0" tint="-0.24994659260841701"/>
      </font>
      <fill>
        <patternFill>
          <bgColor theme="0" tint="-0.24994659260841701"/>
        </patternFill>
      </fill>
      <border>
        <left/>
        <right/>
        <top/>
        <bottom/>
        <vertical/>
        <horizontal/>
      </border>
    </dxf>
    <dxf>
      <font>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patternFill>
      </fill>
    </dxf>
    <dxf>
      <font>
        <b val="0"/>
        <i/>
      </font>
    </dxf>
    <dxf>
      <font>
        <b val="0"/>
        <i/>
      </font>
    </dxf>
    <dxf>
      <font>
        <color theme="0" tint="-0.24994659260841701"/>
      </font>
      <fill>
        <patternFill>
          <bgColor theme="0" tint="-0.24994659260841701"/>
        </patternFill>
      </fill>
    </dxf>
    <dxf>
      <font>
        <b val="0"/>
        <i/>
      </font>
    </dxf>
    <dxf>
      <font>
        <b val="0"/>
        <i/>
      </font>
    </dxf>
  </dxfs>
  <tableStyles count="0" defaultTableStyle="TableStyleMedium2" defaultPivotStyle="PivotStyleLight16"/>
  <colors>
    <mruColors>
      <color rgb="FF00546E"/>
      <color rgb="FFCCFF00"/>
      <color rgb="FF00B050"/>
      <color rgb="FFFFD966"/>
      <color rgb="FFF7D379"/>
      <color rgb="FF00E266"/>
      <color rgb="FF00759A"/>
      <color rgb="FF00A3D6"/>
      <color rgb="FFF5A81C"/>
      <color rgb="FFF6B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Calculations!$B$48</c:f>
              <c:strCache>
                <c:ptCount val="1"/>
                <c:pt idx="0">
                  <c:v>Company | Heat and process-related emissions (tCO2/)</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Calculations!$D$97:$AX$97</c:f>
              <c:numCache>
                <c:formatCode>General</c:formatCode>
                <c:ptCount val="47"/>
                <c:pt idx="0">
                  <c:v>#N/A</c:v>
                </c:pt>
                <c:pt idx="1">
                  <c:v>#N/A</c:v>
                </c:pt>
                <c:pt idx="2">
                  <c:v>#N/A</c:v>
                </c:pt>
                <c:pt idx="3">
                  <c:v>#N/A</c:v>
                </c:pt>
                <c:pt idx="4">
                  <c:v>#N/A</c:v>
                </c:pt>
                <c:pt idx="5">
                  <c:v>#N/A</c:v>
                </c:pt>
                <c:pt idx="6">
                  <c:v>200</c:v>
                </c:pt>
                <c:pt idx="7">
                  <c:v>198.02903103504303</c:v>
                </c:pt>
                <c:pt idx="8">
                  <c:v>196.05806207008609</c:v>
                </c:pt>
                <c:pt idx="9">
                  <c:v>194.08709310512916</c:v>
                </c:pt>
                <c:pt idx="10">
                  <c:v>192.11612414017225</c:v>
                </c:pt>
                <c:pt idx="11">
                  <c:v>190.14515517521528</c:v>
                </c:pt>
                <c:pt idx="12">
                  <c:v>188.17418621025834</c:v>
                </c:pt>
                <c:pt idx="13">
                  <c:v>186.2032172453014</c:v>
                </c:pt>
                <c:pt idx="14">
                  <c:v>184.23224828034449</c:v>
                </c:pt>
                <c:pt idx="15">
                  <c:v>182.26127931538753</c:v>
                </c:pt>
                <c:pt idx="16">
                  <c:v>180.29031035043059</c:v>
                </c:pt>
                <c:pt idx="17">
                  <c:v>175.88122190326601</c:v>
                </c:pt>
                <c:pt idx="18">
                  <c:v>171.4721334561014</c:v>
                </c:pt>
                <c:pt idx="19">
                  <c:v>167.0630450089368</c:v>
                </c:pt>
                <c:pt idx="20">
                  <c:v>162.65395656177216</c:v>
                </c:pt>
                <c:pt idx="21">
                  <c:v>158.24486811460758</c:v>
                </c:pt>
                <c:pt idx="22">
                  <c:v>153.83577966744298</c:v>
                </c:pt>
                <c:pt idx="23">
                  <c:v>149.42669122027843</c:v>
                </c:pt>
                <c:pt idx="24">
                  <c:v>145.01760277311379</c:v>
                </c:pt>
                <c:pt idx="25">
                  <c:v>140.60851432594919</c:v>
                </c:pt>
                <c:pt idx="26">
                  <c:v>136.19942587878461</c:v>
                </c:pt>
                <c:pt idx="27">
                  <c:v>133.39029410171693</c:v>
                </c:pt>
                <c:pt idx="28">
                  <c:v>130.58116232464931</c:v>
                </c:pt>
                <c:pt idx="29">
                  <c:v>127.77203054758165</c:v>
                </c:pt>
                <c:pt idx="30">
                  <c:v>124.962898770514</c:v>
                </c:pt>
                <c:pt idx="31">
                  <c:v>122.15376699344635</c:v>
                </c:pt>
                <c:pt idx="32">
                  <c:v>119.34463521637871</c:v>
                </c:pt>
                <c:pt idx="33">
                  <c:v>116.53550343931104</c:v>
                </c:pt>
                <c:pt idx="34">
                  <c:v>113.72637166224341</c:v>
                </c:pt>
                <c:pt idx="35">
                  <c:v>110.91723988517576</c:v>
                </c:pt>
                <c:pt idx="36">
                  <c:v>108.1081081081081</c:v>
                </c:pt>
              </c:numCache>
            </c:numRef>
          </c:yVal>
          <c:smooth val="1"/>
          <c:extLst>
            <c:ext xmlns:c16="http://schemas.microsoft.com/office/drawing/2014/chart" uri="{C3380CC4-5D6E-409C-BE32-E72D297353CC}">
              <c16:uniqueId val="{00000003-D0A5-40C9-A551-E595A2F775E6}"/>
            </c:ext>
          </c:extLst>
        </c:ser>
        <c:ser>
          <c:idx val="2"/>
          <c:order val="3"/>
          <c:tx>
            <c:strRef>
              <c:f>Calculations!$B$49</c:f>
              <c:strCache>
                <c:ptCount val="1"/>
                <c:pt idx="0">
                  <c:v>Heat and process-related emissions target</c:v>
                </c:pt>
              </c:strCache>
            </c:strRef>
          </c:tx>
          <c:spPr>
            <a:ln w="19050" cap="rnd">
              <a:solidFill>
                <a:schemeClr val="accent3"/>
              </a:solidFill>
              <a:round/>
            </a:ln>
            <a:effectLst/>
          </c:spPr>
          <c:marker>
            <c:symbol val="none"/>
          </c:marker>
          <c:dLbls>
            <c:dLbl>
              <c:idx val="0"/>
              <c:layout>
                <c:manualLayout>
                  <c:x val="2.4207259890667052E-2"/>
                  <c:y val="-3.027876971875076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C8C-4787-B136-4603AD6B94A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2030</c:v>
                </c:pt>
              </c:numCache>
            </c:numRef>
          </c:xVal>
          <c:yVal>
            <c:numRef>
              <c:f>Calculations!$D$99</c:f>
              <c:numCache>
                <c:formatCode>#,##0</c:formatCode>
                <c:ptCount val="1"/>
                <c:pt idx="0">
                  <c:v>180.29031035043059</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Calculations!$B$55</c:f>
              <c:strCache>
                <c:ptCount val="1"/>
                <c:pt idx="0">
                  <c:v>Company | Electricity-related emissions (tCO2)</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Calculations!$D$98:$AX$98</c:f>
              <c:numCache>
                <c:formatCode>General</c:formatCode>
                <c:ptCount val="47"/>
                <c:pt idx="0">
                  <c:v>#N/A</c:v>
                </c:pt>
                <c:pt idx="1">
                  <c:v>#N/A</c:v>
                </c:pt>
                <c:pt idx="2">
                  <c:v>#N/A</c:v>
                </c:pt>
                <c:pt idx="3">
                  <c:v>#N/A</c:v>
                </c:pt>
                <c:pt idx="4">
                  <c:v>#N/A</c:v>
                </c:pt>
                <c:pt idx="5">
                  <c:v>#N/A</c:v>
                </c:pt>
                <c:pt idx="6">
                  <c:v>100</c:v>
                </c:pt>
                <c:pt idx="7">
                  <c:v>100.01311153682828</c:v>
                </c:pt>
                <c:pt idx="8">
                  <c:v>100.02622307365652</c:v>
                </c:pt>
                <c:pt idx="9">
                  <c:v>100.03933461048484</c:v>
                </c:pt>
                <c:pt idx="10">
                  <c:v>100.05244614731309</c:v>
                </c:pt>
                <c:pt idx="11">
                  <c:v>100.06555768414135</c:v>
                </c:pt>
                <c:pt idx="12">
                  <c:v>98.088215464321294</c:v>
                </c:pt>
                <c:pt idx="13">
                  <c:v>91.109392813194816</c:v>
                </c:pt>
                <c:pt idx="14">
                  <c:v>82.435801342173221</c:v>
                </c:pt>
                <c:pt idx="15">
                  <c:v>72.13601946244718</c:v>
                </c:pt>
                <c:pt idx="16">
                  <c:v>60.274974815902162</c:v>
                </c:pt>
                <c:pt idx="17">
                  <c:v>60.284808468523352</c:v>
                </c:pt>
                <c:pt idx="18">
                  <c:v>60.294642121144562</c:v>
                </c:pt>
                <c:pt idx="19">
                  <c:v>60.304475773765752</c:v>
                </c:pt>
                <c:pt idx="20">
                  <c:v>60.314309426386956</c:v>
                </c:pt>
                <c:pt idx="21">
                  <c:v>60.324143079008152</c:v>
                </c:pt>
                <c:pt idx="22">
                  <c:v>60.333976731629377</c:v>
                </c:pt>
                <c:pt idx="23">
                  <c:v>60.343810384250581</c:v>
                </c:pt>
                <c:pt idx="24">
                  <c:v>57.812874244547722</c:v>
                </c:pt>
                <c:pt idx="25">
                  <c:v>49.313148551961532</c:v>
                </c:pt>
                <c:pt idx="26">
                  <c:v>39.369110187302347</c:v>
                </c:pt>
                <c:pt idx="27">
                  <c:v>37.564912081655137</c:v>
                </c:pt>
                <c:pt idx="28">
                  <c:v>35.309972612242476</c:v>
                </c:pt>
                <c:pt idx="29">
                  <c:v>32.625263796683541</c:v>
                </c:pt>
                <c:pt idx="30">
                  <c:v>29.530476479369334</c:v>
                </c:pt>
                <c:pt idx="31">
                  <c:v>26.044116692823145</c:v>
                </c:pt>
                <c:pt idx="32">
                  <c:v>22.183593450755517</c:v>
                </c:pt>
                <c:pt idx="33">
                  <c:v>17.96529884869468</c:v>
                </c:pt>
                <c:pt idx="34">
                  <c:v>13.404681247219138</c:v>
                </c:pt>
                <c:pt idx="35">
                  <c:v>8.5163122248448211</c:v>
                </c:pt>
                <c:pt idx="36">
                  <c:v>3.3139479107227912</c:v>
                </c:pt>
              </c:numCache>
            </c:numRef>
          </c:yVal>
          <c:smooth val="1"/>
          <c:extLst>
            <c:ext xmlns:c16="http://schemas.microsoft.com/office/drawing/2014/chart" uri="{C3380CC4-5D6E-409C-BE32-E72D297353CC}">
              <c16:uniqueId val="{00000000-7860-4468-9D47-147623ECE803}"/>
            </c:ext>
          </c:extLst>
        </c:ser>
        <c:ser>
          <c:idx val="3"/>
          <c:order val="2"/>
          <c:tx>
            <c:strRef>
              <c:f>Calculations!$B$56</c:f>
              <c:strCache>
                <c:ptCount val="1"/>
                <c:pt idx="0">
                  <c:v>Electricity-related emissions target</c:v>
                </c:pt>
              </c:strCache>
            </c:strRef>
          </c:tx>
          <c:spPr>
            <a:ln w="19050" cap="rnd">
              <a:solidFill>
                <a:schemeClr val="accent4"/>
              </a:solidFill>
              <a:round/>
            </a:ln>
            <a:effectLst/>
          </c:spPr>
          <c:marker>
            <c:symbol val="none"/>
          </c:marker>
          <c:dLbls>
            <c:dLbl>
              <c:idx val="0"/>
              <c:layout>
                <c:manualLayout>
                  <c:x val="1.9805939910545772E-2"/>
                  <c:y val="-3.330664669062583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C8C-4787-B136-4603AD6B94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'SDA Tool'!$D$20</c:f>
              <c:numCache>
                <c:formatCode>General</c:formatCode>
                <c:ptCount val="1"/>
                <c:pt idx="0">
                  <c:v>2030</c:v>
                </c:pt>
              </c:numCache>
            </c:numRef>
          </c:xVal>
          <c:yVal>
            <c:numRef>
              <c:f>Calculations!$D$100</c:f>
              <c:numCache>
                <c:formatCode>#,##0</c:formatCode>
                <c:ptCount val="1"/>
                <c:pt idx="0">
                  <c:v>60.274974815902162</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Calculations!$B$47</c:f>
              <c:strCache>
                <c:ptCount val="1"/>
                <c:pt idx="0">
                  <c:v>Company | Heat and process-related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Calculations!$D$102:$AX$102</c:f>
              <c:numCache>
                <c:formatCode>General</c:formatCode>
                <c:ptCount val="47"/>
                <c:pt idx="0">
                  <c:v>#N/A</c:v>
                </c:pt>
                <c:pt idx="1">
                  <c:v>#N/A</c:v>
                </c:pt>
                <c:pt idx="2">
                  <c:v>#N/A</c:v>
                </c:pt>
                <c:pt idx="3">
                  <c:v>#N/A</c:v>
                </c:pt>
                <c:pt idx="4">
                  <c:v>#N/A</c:v>
                </c:pt>
                <c:pt idx="5">
                  <c:v>#N/A</c:v>
                </c:pt>
                <c:pt idx="6">
                  <c:v>0.2</c:v>
                </c:pt>
                <c:pt idx="7">
                  <c:v>0.19591107348386613</c:v>
                </c:pt>
                <c:pt idx="8">
                  <c:v>0.19190868509505782</c:v>
                </c:pt>
                <c:pt idx="9">
                  <c:v>0.18799011635837121</c:v>
                </c:pt>
                <c:pt idx="10">
                  <c:v>0.18415276148151224</c:v>
                </c:pt>
                <c:pt idx="11">
                  <c:v>0.18039412157648632</c:v>
                </c:pt>
                <c:pt idx="12">
                  <c:v>0.17671179923298375</c:v>
                </c:pt>
                <c:pt idx="13">
                  <c:v>0.17310349341899881</c:v>
                </c:pt>
                <c:pt idx="14">
                  <c:v>0.16956699468588921</c:v>
                </c:pt>
                <c:pt idx="15">
                  <c:v>0.16610018065688026</c:v>
                </c:pt>
                <c:pt idx="16">
                  <c:v>0.16270101177965687</c:v>
                </c:pt>
                <c:pt idx="17">
                  <c:v>0.15756913342423345</c:v>
                </c:pt>
                <c:pt idx="18">
                  <c:v>0.15251127254509017</c:v>
                </c:pt>
                <c:pt idx="19">
                  <c:v>0.14752583926803486</c:v>
                </c:pt>
                <c:pt idx="20">
                  <c:v>0.14261128892856803</c:v>
                </c:pt>
                <c:pt idx="21">
                  <c:v>0.13776612047624659</c:v>
                </c:pt>
                <c:pt idx="22">
                  <c:v>0.132988874946154</c:v>
                </c:pt>
                <c:pt idx="23">
                  <c:v>0.12827813399420651</c:v>
                </c:pt>
                <c:pt idx="24">
                  <c:v>0.12363251849320761</c:v>
                </c:pt>
                <c:pt idx="25">
                  <c:v>0.11905068718673044</c:v>
                </c:pt>
                <c:pt idx="26">
                  <c:v>0.11453133539806887</c:v>
                </c:pt>
                <c:pt idx="27">
                  <c:v>0.11166155841093953</c:v>
                </c:pt>
                <c:pt idx="28">
                  <c:v>0.10881763527054109</c:v>
                </c:pt>
                <c:pt idx="29">
                  <c:v>0.10599921816727625</c:v>
                </c:pt>
                <c:pt idx="30">
                  <c:v>0.10320596550243344</c:v>
                </c:pt>
                <c:pt idx="31">
                  <c:v>0.100437541750167</c:v>
                </c:pt>
                <c:pt idx="32">
                  <c:v>9.7693617323141857E-2</c:v>
                </c:pt>
                <c:pt idx="33">
                  <c:v>9.4973868441729281E-2</c:v>
                </c:pt>
                <c:pt idx="34">
                  <c:v>9.2277977006644862E-2</c:v>
                </c:pt>
                <c:pt idx="35">
                  <c:v>8.9605630474923648E-2</c:v>
                </c:pt>
                <c:pt idx="36">
                  <c:v>8.6956521739130432E-2</c:v>
                </c:pt>
              </c:numCache>
            </c:numRef>
          </c:yVal>
          <c:smooth val="1"/>
          <c:extLst>
            <c:ext xmlns:c16="http://schemas.microsoft.com/office/drawing/2014/chart" uri="{C3380CC4-5D6E-409C-BE32-E72D297353CC}">
              <c16:uniqueId val="{00000003-ADC5-4EB8-B870-A166F89CA534}"/>
            </c:ext>
          </c:extLst>
        </c:ser>
        <c:ser>
          <c:idx val="2"/>
          <c:order val="1"/>
          <c:tx>
            <c:strRef>
              <c:f>Calculations!$B$54</c:f>
              <c:strCache>
                <c:ptCount val="1"/>
                <c:pt idx="0">
                  <c:v>Company | Electricity-related emissions intensity (tCO2/t)</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Calculations!$D$103:$AX$103</c:f>
              <c:numCache>
                <c:formatCode>General</c:formatCode>
                <c:ptCount val="47"/>
                <c:pt idx="0">
                  <c:v>#N/A</c:v>
                </c:pt>
                <c:pt idx="1">
                  <c:v>#N/A</c:v>
                </c:pt>
                <c:pt idx="2">
                  <c:v>#N/A</c:v>
                </c:pt>
                <c:pt idx="3">
                  <c:v>#N/A</c:v>
                </c:pt>
                <c:pt idx="4">
                  <c:v>#N/A</c:v>
                </c:pt>
                <c:pt idx="5">
                  <c:v>#N/A</c:v>
                </c:pt>
                <c:pt idx="6">
                  <c:v>0.1</c:v>
                </c:pt>
                <c:pt idx="7">
                  <c:v>9.894345258991033E-2</c:v>
                </c:pt>
                <c:pt idx="8">
                  <c:v>9.7909265971568557E-2</c:v>
                </c:pt>
                <c:pt idx="9">
                  <c:v>9.6896737711726175E-2</c:v>
                </c:pt>
                <c:pt idx="10">
                  <c:v>9.5905194493538445E-2</c:v>
                </c:pt>
                <c:pt idx="11">
                  <c:v>9.4933990623416162E-2</c:v>
                </c:pt>
                <c:pt idx="12">
                  <c:v>9.2113298786291584E-2</c:v>
                </c:pt>
                <c:pt idx="13">
                  <c:v>8.4699686786135889E-2</c:v>
                </c:pt>
                <c:pt idx="14">
                  <c:v>7.5873747503990285E-2</c:v>
                </c:pt>
                <c:pt idx="15">
                  <c:v>6.5739722170210485E-2</c:v>
                </c:pt>
                <c:pt idx="16">
                  <c:v>5.4394489468009267E-2</c:v>
                </c:pt>
                <c:pt idx="17">
                  <c:v>5.4008181920953122E-2</c:v>
                </c:pt>
                <c:pt idx="18">
                  <c:v>5.3627446117364148E-2</c:v>
                </c:pt>
                <c:pt idx="19">
                  <c:v>5.3252162377788369E-2</c:v>
                </c:pt>
                <c:pt idx="20">
                  <c:v>5.2882214425979089E-2</c:v>
                </c:pt>
                <c:pt idx="21">
                  <c:v>5.2517489268783565E-2</c:v>
                </c:pt>
                <c:pt idx="22">
                  <c:v>5.2157877081081473E-2</c:v>
                </c:pt>
                <c:pt idx="23">
                  <c:v>5.1803271095528333E-2</c:v>
                </c:pt>
                <c:pt idx="24">
                  <c:v>4.9287473434291837E-2</c:v>
                </c:pt>
                <c:pt idx="25">
                  <c:v>4.1752551405550953E-2</c:v>
                </c:pt>
                <c:pt idx="26">
                  <c:v>3.3105842657504249E-2</c:v>
                </c:pt>
                <c:pt idx="27">
                  <c:v>3.1445740882833487E-2</c:v>
                </c:pt>
                <c:pt idx="28">
                  <c:v>2.9424977176868729E-2</c:v>
                </c:pt>
                <c:pt idx="29">
                  <c:v>2.7065801804423566E-2</c:v>
                </c:pt>
                <c:pt idx="30">
                  <c:v>2.438900959233628E-2</c:v>
                </c:pt>
                <c:pt idx="31">
                  <c:v>2.1414051502987919E-2</c:v>
                </c:pt>
                <c:pt idx="32">
                  <c:v>1.8159136231813144E-2</c:v>
                </c:pt>
                <c:pt idx="33">
                  <c:v>1.4641322850257781E-2</c:v>
                </c:pt>
                <c:pt idx="34">
                  <c:v>1.0876605397962896E-2</c:v>
                </c:pt>
                <c:pt idx="35">
                  <c:v>6.8799902253113172E-3</c:v>
                </c:pt>
                <c:pt idx="36">
                  <c:v>2.6655667977552888E-3</c:v>
                </c:pt>
              </c:numCache>
            </c:numRef>
          </c:yVal>
          <c:smooth val="1"/>
          <c:extLst>
            <c:ext xmlns:c16="http://schemas.microsoft.com/office/drawing/2014/chart" uri="{C3380CC4-5D6E-409C-BE32-E72D297353CC}">
              <c16:uniqueId val="{00000000-A6D5-40FB-9D52-6D75C8EAF28D}"/>
            </c:ext>
          </c:extLst>
        </c:ser>
        <c:ser>
          <c:idx val="1"/>
          <c:order val="2"/>
          <c:tx>
            <c:strRef>
              <c:f>Calculations!$B$14</c:f>
              <c:strCache>
                <c:ptCount val="1"/>
                <c:pt idx="0">
                  <c:v>Chemical | Heat and process-related emissions intensity (tCO2/t)</c:v>
                </c:pt>
              </c:strCache>
            </c:strRef>
          </c:tx>
          <c:spPr>
            <a:ln w="19050" cap="rnd">
              <a:solidFill>
                <a:srgbClr val="00546E"/>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Calculations!$D$104:$AX$104</c:f>
              <c:numCache>
                <c:formatCode>General</c:formatCode>
                <c:ptCount val="47"/>
                <c:pt idx="0">
                  <c:v>#N/A</c:v>
                </c:pt>
                <c:pt idx="1">
                  <c:v>#N/A</c:v>
                </c:pt>
                <c:pt idx="2">
                  <c:v>#N/A</c:v>
                </c:pt>
                <c:pt idx="3">
                  <c:v>#N/A</c:v>
                </c:pt>
                <c:pt idx="4">
                  <c:v>#N/A</c:v>
                </c:pt>
                <c:pt idx="5">
                  <c:v>#N/A</c:v>
                </c:pt>
                <c:pt idx="6">
                  <c:v>2.4324324324324325</c:v>
                </c:pt>
                <c:pt idx="7">
                  <c:v>2.3475935828877006</c:v>
                </c:pt>
                <c:pt idx="8">
                  <c:v>2.2645502645502646</c:v>
                </c:pt>
                <c:pt idx="9">
                  <c:v>2.1832460732984291</c:v>
                </c:pt>
                <c:pt idx="10">
                  <c:v>2.1036269430051813</c:v>
                </c:pt>
                <c:pt idx="11">
                  <c:v>2.0256410256410255</c:v>
                </c:pt>
                <c:pt idx="12">
                  <c:v>1.9492385786802031</c:v>
                </c:pt>
                <c:pt idx="13">
                  <c:v>1.8743718592964824</c:v>
                </c:pt>
                <c:pt idx="14">
                  <c:v>1.8009950248756219</c:v>
                </c:pt>
                <c:pt idx="15">
                  <c:v>1.729064039408867</c:v>
                </c:pt>
                <c:pt idx="16">
                  <c:v>1.6585365853658536</c:v>
                </c:pt>
                <c:pt idx="17">
                  <c:v>1.5520581113801453</c:v>
                </c:pt>
                <c:pt idx="18">
                  <c:v>1.4471153846153846</c:v>
                </c:pt>
                <c:pt idx="19">
                  <c:v>1.3436754176610979</c:v>
                </c:pt>
                <c:pt idx="20">
                  <c:v>1.2417061611374407</c:v>
                </c:pt>
                <c:pt idx="21">
                  <c:v>1.1411764705882352</c:v>
                </c:pt>
                <c:pt idx="22">
                  <c:v>1.0420560747663552</c:v>
                </c:pt>
                <c:pt idx="23">
                  <c:v>0.94431554524361949</c:v>
                </c:pt>
                <c:pt idx="24">
                  <c:v>0.84792626728110598</c:v>
                </c:pt>
                <c:pt idx="25">
                  <c:v>0.75286041189931352</c:v>
                </c:pt>
                <c:pt idx="26">
                  <c:v>0.65909090909090906</c:v>
                </c:pt>
                <c:pt idx="27">
                  <c:v>0.59954751131221717</c:v>
                </c:pt>
                <c:pt idx="28">
                  <c:v>0.54054054054054057</c:v>
                </c:pt>
                <c:pt idx="29">
                  <c:v>0.4820627802690583</c:v>
                </c:pt>
                <c:pt idx="30">
                  <c:v>0.42410714285714285</c:v>
                </c:pt>
                <c:pt idx="31">
                  <c:v>0.36666666666666664</c:v>
                </c:pt>
                <c:pt idx="32">
                  <c:v>0.30973451327433627</c:v>
                </c:pt>
                <c:pt idx="33">
                  <c:v>0.25330396475770928</c:v>
                </c:pt>
                <c:pt idx="34">
                  <c:v>0.19736842105263158</c:v>
                </c:pt>
                <c:pt idx="35">
                  <c:v>0.14192139737991266</c:v>
                </c:pt>
                <c:pt idx="36">
                  <c:v>8.6956521739130432E-2</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Calculations!$B$15</c:f>
              <c:strCache>
                <c:ptCount val="1"/>
                <c:pt idx="0">
                  <c:v>Chemical | Electricity-related emissions intensity (tCO2/t)</c:v>
                </c:pt>
              </c:strCache>
            </c:strRef>
          </c:tx>
          <c:spPr>
            <a:ln w="19050" cap="rnd">
              <a:solidFill>
                <a:srgbClr val="F5A81C"/>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Calculations!$D$105:$AX$105</c:f>
              <c:numCache>
                <c:formatCode>General</c:formatCode>
                <c:ptCount val="47"/>
                <c:pt idx="0">
                  <c:v>#N/A</c:v>
                </c:pt>
                <c:pt idx="1">
                  <c:v>#N/A</c:v>
                </c:pt>
                <c:pt idx="2">
                  <c:v>#N/A</c:v>
                </c:pt>
                <c:pt idx="3">
                  <c:v>#N/A</c:v>
                </c:pt>
                <c:pt idx="4">
                  <c:v>#N/A</c:v>
                </c:pt>
                <c:pt idx="5">
                  <c:v>#N/A</c:v>
                </c:pt>
                <c:pt idx="6">
                  <c:v>0.18125892251084372</c:v>
                </c:pt>
                <c:pt idx="7">
                  <c:v>0.17932032440912346</c:v>
                </c:pt>
                <c:pt idx="8">
                  <c:v>0.17742275483865655</c:v>
                </c:pt>
                <c:pt idx="9">
                  <c:v>0.17556492494505807</c:v>
                </c:pt>
                <c:pt idx="10">
                  <c:v>0.17374559929795902</c:v>
                </c:pt>
                <c:pt idx="11">
                  <c:v>0.17196359315131327</c:v>
                </c:pt>
                <c:pt idx="12">
                  <c:v>0.16678806786132805</c:v>
                </c:pt>
                <c:pt idx="13">
                  <c:v>0.1531852574117975</c:v>
                </c:pt>
                <c:pt idx="14">
                  <c:v>0.13699104882742988</c:v>
                </c:pt>
                <c:pt idx="15">
                  <c:v>0.11839670834896242</c:v>
                </c:pt>
                <c:pt idx="16">
                  <c:v>9.7579993102653695E-2</c:v>
                </c:pt>
                <c:pt idx="17">
                  <c:v>9.6871179593433443E-2</c:v>
                </c:pt>
                <c:pt idx="18">
                  <c:v>9.6172589355980803E-2</c:v>
                </c:pt>
                <c:pt idx="19">
                  <c:v>9.548400279734609E-2</c:v>
                </c:pt>
                <c:pt idx="20">
                  <c:v>9.4805206568928935E-2</c:v>
                </c:pt>
                <c:pt idx="21">
                  <c:v>9.4135993346089436E-2</c:v>
                </c:pt>
                <c:pt idx="22">
                  <c:v>9.347616161702807E-2</c:v>
                </c:pt>
                <c:pt idx="23">
                  <c:v>9.2825515480482623E-2</c:v>
                </c:pt>
                <c:pt idx="24">
                  <c:v>8.8209422985427097E-2</c:v>
                </c:pt>
                <c:pt idx="25">
                  <c:v>7.4384027738575526E-2</c:v>
                </c:pt>
                <c:pt idx="26">
                  <c:v>5.8518678957238335E-2</c:v>
                </c:pt>
                <c:pt idx="27">
                  <c:v>5.5472653650370185E-2</c:v>
                </c:pt>
                <c:pt idx="28">
                  <c:v>5.176487050027382E-2</c:v>
                </c:pt>
                <c:pt idx="29">
                  <c:v>4.7436155238684968E-2</c:v>
                </c:pt>
                <c:pt idx="30">
                  <c:v>4.2524663097871805E-2</c:v>
                </c:pt>
                <c:pt idx="31">
                  <c:v>3.7066083530468835E-2</c:v>
                </c:pt>
                <c:pt idx="32">
                  <c:v>3.1093826624908789E-2</c:v>
                </c:pt>
                <c:pt idx="33">
                  <c:v>2.4639193090659251E-2</c:v>
                </c:pt>
                <c:pt idx="34">
                  <c:v>1.7731529471558156E-2</c:v>
                </c:pt>
                <c:pt idx="35">
                  <c:v>1.0398370057205812E-2</c:v>
                </c:pt>
                <c:pt idx="36">
                  <c:v>2.6655667977552888E-3</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A6D5-40FB-9D52-6D75C8EAF28D}"/>
            </c:ext>
          </c:extLst>
        </c:ser>
        <c:ser>
          <c:idx val="4"/>
          <c:order val="4"/>
          <c:tx>
            <c:strRef>
              <c:f>Calculations!$B$50</c:f>
              <c:strCache>
                <c:ptCount val="1"/>
                <c:pt idx="0">
                  <c:v>Heat and process-related emissions target</c:v>
                </c:pt>
              </c:strCache>
            </c:strRef>
          </c:tx>
          <c:spPr>
            <a:ln w="19050" cap="rnd">
              <a:solidFill>
                <a:schemeClr val="accent5"/>
              </a:solidFill>
              <a:round/>
            </a:ln>
            <a:effectLst/>
          </c:spPr>
          <c:marker>
            <c:symbol val="none"/>
          </c:marker>
          <c:dLbls>
            <c:dLbl>
              <c:idx val="0"/>
              <c:layout>
                <c:manualLayout>
                  <c:x val="3.309692671394799E-2"/>
                  <c:y val="-1.368288249851589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3F-4243-91B6-672B82133D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2030</c:v>
                </c:pt>
              </c:numCache>
            </c:numRef>
          </c:xVal>
          <c:yVal>
            <c:numRef>
              <c:f>Calculations!$D$106</c:f>
              <c:numCache>
                <c:formatCode>#,##0.0</c:formatCode>
                <c:ptCount val="1"/>
                <c:pt idx="0">
                  <c:v>0.16270101177965687</c:v>
                </c:pt>
              </c:numCache>
            </c:numRef>
          </c:yVal>
          <c:smooth val="1"/>
          <c:extLst>
            <c:ext xmlns:c16="http://schemas.microsoft.com/office/drawing/2014/chart" uri="{C3380CC4-5D6E-409C-BE32-E72D297353CC}">
              <c16:uniqueId val="{00000002-A6D5-40FB-9D52-6D75C8EAF28D}"/>
            </c:ext>
          </c:extLst>
        </c:ser>
        <c:ser>
          <c:idx val="5"/>
          <c:order val="5"/>
          <c:tx>
            <c:strRef>
              <c:f>Calculations!$B$57</c:f>
              <c:strCache>
                <c:ptCount val="1"/>
                <c:pt idx="0">
                  <c:v>Electricity-related emissions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2030</c:v>
                </c:pt>
              </c:numCache>
            </c:numRef>
          </c:xVal>
          <c:yVal>
            <c:numRef>
              <c:f>Calculations!$D$107</c:f>
              <c:numCache>
                <c:formatCode>#,##0.0</c:formatCode>
                <c:ptCount val="1"/>
                <c:pt idx="0">
                  <c:v>5.4394489468009267E-2</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Calculations!$C$50</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Calculations!$B$20</c:f>
              <c:strCache>
                <c:ptCount val="1"/>
                <c:pt idx="0">
                  <c:v>Sector activity</c:v>
                </c:pt>
              </c:strCache>
            </c:strRef>
          </c:tx>
          <c:spPr>
            <a:ln w="19050" cap="rnd">
              <a:solidFill>
                <a:srgbClr val="B42D33"/>
              </a:solidFill>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Calculations!$D$20:$AN$20</c:f>
              <c:numCache>
                <c:formatCode>#,##0.000</c:formatCode>
                <c:ptCount val="37"/>
                <c:pt idx="0">
                  <c:v>1</c:v>
                </c:pt>
                <c:pt idx="1">
                  <c:v>1</c:v>
                </c:pt>
                <c:pt idx="2">
                  <c:v>1</c:v>
                </c:pt>
                <c:pt idx="3">
                  <c:v>1</c:v>
                </c:pt>
                <c:pt idx="4">
                  <c:v>1</c:v>
                </c:pt>
                <c:pt idx="5">
                  <c:v>1</c:v>
                </c:pt>
                <c:pt idx="6">
                  <c:v>1</c:v>
                </c:pt>
                <c:pt idx="7">
                  <c:v>1.0108108108108107</c:v>
                </c:pt>
                <c:pt idx="8">
                  <c:v>1.0216216216216216</c:v>
                </c:pt>
                <c:pt idx="9">
                  <c:v>1.0324324324324323</c:v>
                </c:pt>
                <c:pt idx="10">
                  <c:v>1.0432432432432432</c:v>
                </c:pt>
                <c:pt idx="11">
                  <c:v>1.0540540540540539</c:v>
                </c:pt>
                <c:pt idx="12">
                  <c:v>1.0648648648648649</c:v>
                </c:pt>
                <c:pt idx="13">
                  <c:v>1.0756756756756756</c:v>
                </c:pt>
                <c:pt idx="14">
                  <c:v>1.0864864864864865</c:v>
                </c:pt>
                <c:pt idx="15">
                  <c:v>1.0972972972972972</c:v>
                </c:pt>
                <c:pt idx="16">
                  <c:v>1.1081081081081081</c:v>
                </c:pt>
                <c:pt idx="17">
                  <c:v>1.1162162162162161</c:v>
                </c:pt>
                <c:pt idx="18">
                  <c:v>1.1243243243243244</c:v>
                </c:pt>
                <c:pt idx="19">
                  <c:v>1.1324324324324324</c:v>
                </c:pt>
                <c:pt idx="20">
                  <c:v>1.1405405405405404</c:v>
                </c:pt>
                <c:pt idx="21">
                  <c:v>1.1486486486486487</c:v>
                </c:pt>
                <c:pt idx="22">
                  <c:v>1.1567567567567567</c:v>
                </c:pt>
                <c:pt idx="23">
                  <c:v>1.164864864864865</c:v>
                </c:pt>
                <c:pt idx="24">
                  <c:v>1.172972972972973</c:v>
                </c:pt>
                <c:pt idx="25">
                  <c:v>1.181081081081081</c:v>
                </c:pt>
                <c:pt idx="26">
                  <c:v>1.1891891891891893</c:v>
                </c:pt>
                <c:pt idx="27">
                  <c:v>1.1945945945945946</c:v>
                </c:pt>
                <c:pt idx="28">
                  <c:v>1.2</c:v>
                </c:pt>
                <c:pt idx="29">
                  <c:v>1.2054054054054053</c:v>
                </c:pt>
                <c:pt idx="30">
                  <c:v>1.2108108108108109</c:v>
                </c:pt>
                <c:pt idx="31">
                  <c:v>1.2162162162162162</c:v>
                </c:pt>
                <c:pt idx="32">
                  <c:v>1.2216216216216216</c:v>
                </c:pt>
                <c:pt idx="33">
                  <c:v>1.2270270270270269</c:v>
                </c:pt>
                <c:pt idx="34">
                  <c:v>1.2324324324324325</c:v>
                </c:pt>
                <c:pt idx="35">
                  <c:v>1.2378378378378379</c:v>
                </c:pt>
                <c:pt idx="36">
                  <c:v>1.2432432432432432</c:v>
                </c:pt>
              </c:numCache>
            </c:numRef>
          </c:yVal>
          <c:smooth val="1"/>
          <c:extLst>
            <c:ext xmlns:c16="http://schemas.microsoft.com/office/drawing/2014/chart" uri="{C3380CC4-5D6E-409C-BE32-E72D297353CC}">
              <c16:uniqueId val="{00000003-ADC5-4EB8-B870-A166F89CA534}"/>
            </c:ext>
          </c:extLst>
        </c:ser>
        <c:ser>
          <c:idx val="1"/>
          <c:order val="2"/>
          <c:tx>
            <c:strRef>
              <c:f>Calculations!$B$22</c:f>
              <c:strCache>
                <c:ptCount val="1"/>
                <c:pt idx="0">
                  <c:v>Sector electricity-related emissions intensity</c:v>
                </c:pt>
              </c:strCache>
            </c:strRef>
          </c:tx>
          <c:spPr>
            <a:ln w="19050" cap="flat">
              <a:solidFill>
                <a:srgbClr val="F5A81C">
                  <a:alpha val="74902"/>
                </a:srgbClr>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Calculations!$D$22:$AN$22</c:f>
              <c:numCache>
                <c:formatCode>#,##0.000</c:formatCode>
                <c:ptCount val="37"/>
                <c:pt idx="0">
                  <c:v>1</c:v>
                </c:pt>
                <c:pt idx="1">
                  <c:v>0.98138872052947901</c:v>
                </c:pt>
                <c:pt idx="2">
                  <c:v>0.96338626375448622</c:v>
                </c:pt>
                <c:pt idx="3">
                  <c:v>0.9459632362144772</c:v>
                </c:pt>
                <c:pt idx="4">
                  <c:v>0.92909210660400932</c:v>
                </c:pt>
                <c:pt idx="5">
                  <c:v>0.91274706060627087</c:v>
                </c:pt>
                <c:pt idx="6">
                  <c:v>0.89690386909798581</c:v>
                </c:pt>
                <c:pt idx="7">
                  <c:v>0.8873113143482747</c:v>
                </c:pt>
                <c:pt idx="8">
                  <c:v>0.87792177663030357</c:v>
                </c:pt>
                <c:pt idx="9">
                  <c:v>0.86872887844569313</c:v>
                </c:pt>
                <c:pt idx="10">
                  <c:v>0.85972650664832839</c:v>
                </c:pt>
                <c:pt idx="11">
                  <c:v>0.85090879888783266</c:v>
                </c:pt>
                <c:pt idx="12">
                  <c:v>0.82529930837061682</c:v>
                </c:pt>
                <c:pt idx="13">
                  <c:v>0.75798999662040167</c:v>
                </c:pt>
                <c:pt idx="14">
                  <c:v>0.67785795051144282</c:v>
                </c:pt>
                <c:pt idx="15">
                  <c:v>0.58584959204034437</c:v>
                </c:pt>
                <c:pt idx="16">
                  <c:v>0.48284449751757208</c:v>
                </c:pt>
                <c:pt idx="17">
                  <c:v>0.47933715249928455</c:v>
                </c:pt>
                <c:pt idx="18">
                  <c:v>0.47588039418799166</c:v>
                </c:pt>
                <c:pt idx="19">
                  <c:v>0.47247313599571489</c:v>
                </c:pt>
                <c:pt idx="20">
                  <c:v>0.46911432223271216</c:v>
                </c:pt>
                <c:pt idx="21">
                  <c:v>0.46580292701695181</c:v>
                </c:pt>
                <c:pt idx="22">
                  <c:v>0.46253795322944985</c:v>
                </c:pt>
                <c:pt idx="23">
                  <c:v>0.45931843151323554</c:v>
                </c:pt>
                <c:pt idx="24">
                  <c:v>0.43647712162581859</c:v>
                </c:pt>
                <c:pt idx="25">
                  <c:v>0.36806641766188958</c:v>
                </c:pt>
                <c:pt idx="26">
                  <c:v>0.28956163285208775</c:v>
                </c:pt>
                <c:pt idx="27">
                  <c:v>0.27448931616137706</c:v>
                </c:pt>
                <c:pt idx="28">
                  <c:v>0.25614249490131574</c:v>
                </c:pt>
                <c:pt idx="29">
                  <c:v>0.23472318261278399</c:v>
                </c:pt>
                <c:pt idx="30">
                  <c:v>0.21042017869375684</c:v>
                </c:pt>
                <c:pt idx="31">
                  <c:v>0.18341008139225687</c:v>
                </c:pt>
                <c:pt idx="32">
                  <c:v>0.15385821022561944</c:v>
                </c:pt>
                <c:pt idx="33">
                  <c:v>0.12191944710000459</c:v>
                </c:pt>
                <c:pt idx="34">
                  <c:v>8.7739004335712398E-2</c:v>
                </c:pt>
                <c:pt idx="35">
                  <c:v>5.1453126871934228E-2</c:v>
                </c:pt>
                <c:pt idx="36">
                  <c:v>1.3189735110020974E-2</c:v>
                </c:pt>
              </c:numCache>
            </c:numRef>
          </c:yVal>
          <c:smooth val="1"/>
          <c:extLst>
            <c:ext xmlns:c16="http://schemas.microsoft.com/office/drawing/2014/chart" uri="{C3380CC4-5D6E-409C-BE32-E72D297353CC}">
              <c16:uniqueId val="{00000004-ADC5-4EB8-B870-A166F89CA534}"/>
            </c:ext>
          </c:extLst>
        </c:ser>
        <c:ser>
          <c:idx val="3"/>
          <c:order val="3"/>
          <c:tx>
            <c:strRef>
              <c:f>Calculations!$B$23</c:f>
              <c:strCache>
                <c:ptCount val="1"/>
                <c:pt idx="0">
                  <c:v>Sector heat and process emissions intensity</c:v>
                </c:pt>
              </c:strCache>
            </c:strRef>
          </c:tx>
          <c:spPr>
            <a:ln w="19050" cap="rnd">
              <a:solidFill>
                <a:srgbClr val="00546E"/>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Calculations!$D$23:$AN$23</c:f>
              <c:numCache>
                <c:formatCode>#,##0.000</c:formatCode>
                <c:ptCount val="37"/>
                <c:pt idx="0">
                  <c:v>1</c:v>
                </c:pt>
                <c:pt idx="1">
                  <c:v>1</c:v>
                </c:pt>
                <c:pt idx="2">
                  <c:v>1</c:v>
                </c:pt>
                <c:pt idx="3">
                  <c:v>1</c:v>
                </c:pt>
                <c:pt idx="4">
                  <c:v>1</c:v>
                </c:pt>
                <c:pt idx="5">
                  <c:v>1</c:v>
                </c:pt>
                <c:pt idx="6">
                  <c:v>1</c:v>
                </c:pt>
                <c:pt idx="7">
                  <c:v>0.96512180629827693</c:v>
                </c:pt>
                <c:pt idx="8">
                  <c:v>0.93098177542621985</c:v>
                </c:pt>
                <c:pt idx="9">
                  <c:v>0.89755671902268752</c:v>
                </c:pt>
                <c:pt idx="10">
                  <c:v>0.86482440990213005</c:v>
                </c:pt>
                <c:pt idx="11">
                  <c:v>0.83276353276353277</c:v>
                </c:pt>
                <c:pt idx="12">
                  <c:v>0.80135363790186132</c:v>
                </c:pt>
                <c:pt idx="13">
                  <c:v>0.77057509771077615</c:v>
                </c:pt>
                <c:pt idx="14">
                  <c:v>0.74040906578220012</c:v>
                </c:pt>
                <c:pt idx="15">
                  <c:v>0.71083743842364533</c:v>
                </c:pt>
                <c:pt idx="16">
                  <c:v>0.68184281842818428</c:v>
                </c:pt>
                <c:pt idx="17">
                  <c:v>0.63806833467850421</c:v>
                </c:pt>
                <c:pt idx="18">
                  <c:v>0.59492521367521367</c:v>
                </c:pt>
                <c:pt idx="19">
                  <c:v>0.55239989392734024</c:v>
                </c:pt>
                <c:pt idx="20">
                  <c:v>0.51047919957872556</c:v>
                </c:pt>
                <c:pt idx="21">
                  <c:v>0.46915032679738561</c:v>
                </c:pt>
                <c:pt idx="22">
                  <c:v>0.42840083073727936</c:v>
                </c:pt>
                <c:pt idx="23">
                  <c:v>0.38821861304459915</c:v>
                </c:pt>
                <c:pt idx="24">
                  <c:v>0.34859190988223243</c:v>
                </c:pt>
                <c:pt idx="25">
                  <c:v>0.30950928044749554</c:v>
                </c:pt>
                <c:pt idx="26">
                  <c:v>0.27095959595959596</c:v>
                </c:pt>
                <c:pt idx="27">
                  <c:v>0.24648064353946705</c:v>
                </c:pt>
                <c:pt idx="28">
                  <c:v>0.22222222222222224</c:v>
                </c:pt>
                <c:pt idx="29">
                  <c:v>0.19818136522172397</c:v>
                </c:pt>
                <c:pt idx="30">
                  <c:v>0.17435515873015872</c:v>
                </c:pt>
                <c:pt idx="31">
                  <c:v>0.15074074074074073</c:v>
                </c:pt>
                <c:pt idx="32">
                  <c:v>0.12733529990167158</c:v>
                </c:pt>
                <c:pt idx="33">
                  <c:v>0.10413607440039159</c:v>
                </c:pt>
                <c:pt idx="34">
                  <c:v>8.1140350877192985E-2</c:v>
                </c:pt>
                <c:pt idx="35">
                  <c:v>5.8345463367297429E-2</c:v>
                </c:pt>
                <c:pt idx="36">
                  <c:v>3.5748792270531397E-2</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scatterChart>
        <c:scatterStyle val="lineMarker"/>
        <c:varyColors val="0"/>
        <c:ser>
          <c:idx val="2"/>
          <c:order val="1"/>
          <c:tx>
            <c:strRef>
              <c:f>Calculations!$B$21</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Calculations!$D$21:$AN$21</c:f>
              <c:numCache>
                <c:formatCode>#,##0.000</c:formatCode>
                <c:ptCount val="37"/>
                <c:pt idx="0">
                  <c:v>1</c:v>
                </c:pt>
                <c:pt idx="1">
                  <c:v>1</c:v>
                </c:pt>
                <c:pt idx="2">
                  <c:v>1</c:v>
                </c:pt>
                <c:pt idx="3">
                  <c:v>1</c:v>
                </c:pt>
                <c:pt idx="4">
                  <c:v>1</c:v>
                </c:pt>
                <c:pt idx="5">
                  <c:v>1</c:v>
                </c:pt>
                <c:pt idx="6">
                  <c:v>1</c:v>
                </c:pt>
                <c:pt idx="7">
                  <c:v>1.094463890734356</c:v>
                </c:pt>
                <c:pt idx="8">
                  <c:v>1.204892126030219</c:v>
                </c:pt>
                <c:pt idx="9">
                  <c:v>1.3357051828710591</c:v>
                </c:pt>
                <c:pt idx="10">
                  <c:v>1.4931215108690483</c:v>
                </c:pt>
                <c:pt idx="11">
                  <c:v>1.6861751344873901</c:v>
                </c:pt>
                <c:pt idx="12">
                  <c:v>1.8896551724137931</c:v>
                </c:pt>
                <c:pt idx="13">
                  <c:v>2.0379310344827588</c:v>
                </c:pt>
                <c:pt idx="14">
                  <c:v>2.1862068965517243</c:v>
                </c:pt>
                <c:pt idx="15">
                  <c:v>2.3344827586206898</c:v>
                </c:pt>
                <c:pt idx="16">
                  <c:v>2.4827586206896552</c:v>
                </c:pt>
                <c:pt idx="17">
                  <c:v>2.7594005511748585</c:v>
                </c:pt>
                <c:pt idx="18">
                  <c:v>3.086264045286466</c:v>
                </c:pt>
                <c:pt idx="19">
                  <c:v>3.4783902150282939</c:v>
                </c:pt>
                <c:pt idx="20">
                  <c:v>3.9574926124676324</c:v>
                </c:pt>
                <c:pt idx="21">
                  <c:v>4.5561187351737642</c:v>
                </c:pt>
                <c:pt idx="22">
                  <c:v>5.3253699663277754</c:v>
                </c:pt>
                <c:pt idx="23">
                  <c:v>6.3503198245946777</c:v>
                </c:pt>
                <c:pt idx="24">
                  <c:v>7.4482758620689635</c:v>
                </c:pt>
                <c:pt idx="25">
                  <c:v>8.068965517241379</c:v>
                </c:pt>
                <c:pt idx="26">
                  <c:v>8.6896551724137936</c:v>
                </c:pt>
                <c:pt idx="27">
                  <c:v>9.3103448275862064</c:v>
                </c:pt>
                <c:pt idx="28">
                  <c:v>9.931034482758621</c:v>
                </c:pt>
                <c:pt idx="29">
                  <c:v>10.551724137931036</c:v>
                </c:pt>
                <c:pt idx="30">
                  <c:v>11.172413793103447</c:v>
                </c:pt>
                <c:pt idx="31">
                  <c:v>11.793103448275861</c:v>
                </c:pt>
                <c:pt idx="32">
                  <c:v>12.413793103448278</c:v>
                </c:pt>
                <c:pt idx="33">
                  <c:v>13.03448275862069</c:v>
                </c:pt>
                <c:pt idx="34">
                  <c:v>13.655172413793105</c:v>
                </c:pt>
                <c:pt idx="35">
                  <c:v>14.275862068965518</c:v>
                </c:pt>
                <c:pt idx="36">
                  <c:v>14.896551724137931</c:v>
                </c:pt>
              </c:numCache>
            </c:numRef>
          </c:yVal>
          <c:smooth val="1"/>
          <c:extLst>
            <c:ext xmlns:c16="http://schemas.microsoft.com/office/drawing/2014/chart" uri="{C3380CC4-5D6E-409C-BE32-E72D297353CC}">
              <c16:uniqueId val="{00000000-77AD-4EB1-A7C2-CCA2035D0BBB}"/>
            </c:ext>
          </c:extLst>
        </c:ser>
        <c:dLbls>
          <c:showLegendKey val="0"/>
          <c:showVal val="0"/>
          <c:showCatName val="0"/>
          <c:showSerName val="0"/>
          <c:showPercent val="0"/>
          <c:showBubbleSize val="0"/>
        </c:dLbls>
        <c:axId val="814950880"/>
        <c:axId val="8149398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valAx>
        <c:axId val="814939840"/>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a:t>
                </a:r>
                <a:r>
                  <a:rPr lang="en-US" baseline="0"/>
                  <a:t> Power Consumption (2014 Base Year)</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4950880"/>
        <c:crosses val="max"/>
        <c:crossBetween val="midCat"/>
      </c:valAx>
      <c:valAx>
        <c:axId val="814950880"/>
        <c:scaling>
          <c:orientation val="minMax"/>
        </c:scaling>
        <c:delete val="1"/>
        <c:axPos val="b"/>
        <c:numFmt formatCode="General" sourceLinked="1"/>
        <c:majorTickMark val="out"/>
        <c:minorTickMark val="none"/>
        <c:tickLblPos val="nextTo"/>
        <c:crossAx val="814939840"/>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Calculations!$B$61</c:f>
              <c:strCache>
                <c:ptCount val="1"/>
                <c:pt idx="0">
                  <c:v>Company | Total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Calculations!$D$115:$AN$115</c:f>
              <c:numCache>
                <c:formatCode>General</c:formatCode>
                <c:ptCount val="37"/>
                <c:pt idx="0">
                  <c:v>#N/A</c:v>
                </c:pt>
                <c:pt idx="1">
                  <c:v>#N/A</c:v>
                </c:pt>
                <c:pt idx="2">
                  <c:v>#N/A</c:v>
                </c:pt>
                <c:pt idx="3">
                  <c:v>#N/A</c:v>
                </c:pt>
                <c:pt idx="4">
                  <c:v>#N/A</c:v>
                </c:pt>
                <c:pt idx="5">
                  <c:v>#N/A</c:v>
                </c:pt>
                <c:pt idx="6">
                  <c:v>0.3</c:v>
                </c:pt>
                <c:pt idx="7">
                  <c:v>0.29276721188244081</c:v>
                </c:pt>
                <c:pt idx="8">
                  <c:v>0.28568749864567655</c:v>
                </c:pt>
                <c:pt idx="9">
                  <c:v>0.27875605165470851</c:v>
                </c:pt>
                <c:pt idx="10">
                  <c:v>0.27196826159619564</c:v>
                </c:pt>
                <c:pt idx="11">
                  <c:v>0.26531970825683182</c:v>
                </c:pt>
                <c:pt idx="12">
                  <c:v>0.25852028969414109</c:v>
                </c:pt>
                <c:pt idx="13">
                  <c:v>0.25114646871301494</c:v>
                </c:pt>
                <c:pt idx="14">
                  <c:v>0.24368083803250623</c:v>
                </c:pt>
                <c:pt idx="15">
                  <c:v>0.23613566910218287</c:v>
                </c:pt>
                <c:pt idx="16">
                  <c:v>0.22852225063733211</c:v>
                </c:pt>
                <c:pt idx="17">
                  <c:v>0.21958832874433887</c:v>
                </c:pt>
                <c:pt idx="18">
                  <c:v>0.21078326149403301</c:v>
                </c:pt>
                <c:pt idx="19">
                  <c:v>0.20210428112559309</c:v>
                </c:pt>
                <c:pt idx="20">
                  <c:v>0.1935486985822969</c:v>
                </c:pt>
                <c:pt idx="21">
                  <c:v>0.1851139007337296</c:v>
                </c:pt>
                <c:pt idx="22">
                  <c:v>0.17679734771481512</c:v>
                </c:pt>
                <c:pt idx="23">
                  <c:v>0.16859657037597831</c:v>
                </c:pt>
                <c:pt idx="24">
                  <c:v>0.16017790327906661</c:v>
                </c:pt>
                <c:pt idx="25">
                  <c:v>0.15110195826093481</c:v>
                </c:pt>
                <c:pt idx="26">
                  <c:v>0.14196403506366201</c:v>
                </c:pt>
                <c:pt idx="27">
                  <c:v>0.1367472875347131</c:v>
                </c:pt>
                <c:pt idx="28">
                  <c:v>0.13152009384253277</c:v>
                </c:pt>
                <c:pt idx="29">
                  <c:v>0.12628525527258391</c:v>
                </c:pt>
                <c:pt idx="30">
                  <c:v>0.12104536126848069</c:v>
                </c:pt>
                <c:pt idx="31">
                  <c:v>0.11580280625643688</c:v>
                </c:pt>
                <c:pt idx="32">
                  <c:v>0.11055980495040285</c:v>
                </c:pt>
                <c:pt idx="33">
                  <c:v>0.10531840629390851</c:v>
                </c:pt>
                <c:pt idx="34">
                  <c:v>0.10008050617663987</c:v>
                </c:pt>
                <c:pt idx="35">
                  <c:v>9.4847859048086985E-2</c:v>
                </c:pt>
                <c:pt idx="36">
                  <c:v>8.9622088536885719E-2</c:v>
                </c:pt>
              </c:numCache>
            </c:numRef>
          </c:yVal>
          <c:smooth val="1"/>
          <c:extLst>
            <c:ext xmlns:c16="http://schemas.microsoft.com/office/drawing/2014/chart" uri="{C3380CC4-5D6E-409C-BE32-E72D297353CC}">
              <c16:uniqueId val="{00000000-72D9-477C-849D-46679D53E0D9}"/>
            </c:ext>
          </c:extLst>
        </c:ser>
        <c:ser>
          <c:idx val="1"/>
          <c:order val="1"/>
          <c:tx>
            <c:strRef>
              <c:f>Calculations!$B$116</c:f>
              <c:strCache>
                <c:ptCount val="1"/>
                <c:pt idx="0">
                  <c:v>Chemical | Total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Calculations!$D$116:$AN$116</c:f>
              <c:numCache>
                <c:formatCode>General</c:formatCode>
                <c:ptCount val="37"/>
                <c:pt idx="0">
                  <c:v>#N/A</c:v>
                </c:pt>
                <c:pt idx="1">
                  <c:v>#N/A</c:v>
                </c:pt>
                <c:pt idx="2">
                  <c:v>#N/A</c:v>
                </c:pt>
                <c:pt idx="3">
                  <c:v>#N/A</c:v>
                </c:pt>
                <c:pt idx="4">
                  <c:v>#N/A</c:v>
                </c:pt>
                <c:pt idx="5">
                  <c:v>#N/A</c:v>
                </c:pt>
                <c:pt idx="6">
                  <c:v>2.6136913549432763</c:v>
                </c:pt>
                <c:pt idx="7">
                  <c:v>2.5269139072968239</c:v>
                </c:pt>
                <c:pt idx="8">
                  <c:v>2.4419730193889211</c:v>
                </c:pt>
                <c:pt idx="9">
                  <c:v>2.3588109982434871</c:v>
                </c:pt>
                <c:pt idx="10">
                  <c:v>2.2773725423031403</c:v>
                </c:pt>
                <c:pt idx="11">
                  <c:v>2.1976046187923388</c:v>
                </c:pt>
                <c:pt idx="12">
                  <c:v>2.1160266465415312</c:v>
                </c:pt>
                <c:pt idx="13">
                  <c:v>2.0275571167082798</c:v>
                </c:pt>
                <c:pt idx="14">
                  <c:v>1.9379860737030519</c:v>
                </c:pt>
                <c:pt idx="15">
                  <c:v>1.8474607477578293</c:v>
                </c:pt>
                <c:pt idx="16">
                  <c:v>1.7561165784685073</c:v>
                </c:pt>
                <c:pt idx="17">
                  <c:v>1.6489292909735787</c:v>
                </c:pt>
                <c:pt idx="18">
                  <c:v>1.5432879739713654</c:v>
                </c:pt>
                <c:pt idx="19">
                  <c:v>1.4391594204584439</c:v>
                </c:pt>
                <c:pt idx="20">
                  <c:v>1.3365113677063696</c:v>
                </c:pt>
                <c:pt idx="21">
                  <c:v>1.2353124639343247</c:v>
                </c:pt>
                <c:pt idx="22">
                  <c:v>1.1355322363833833</c:v>
                </c:pt>
                <c:pt idx="23">
                  <c:v>1.0371410607241021</c:v>
                </c:pt>
                <c:pt idx="24">
                  <c:v>0.93613569026653309</c:v>
                </c:pt>
                <c:pt idx="25">
                  <c:v>0.82724443963788907</c:v>
                </c:pt>
                <c:pt idx="26">
                  <c:v>0.71760958804814745</c:v>
                </c:pt>
                <c:pt idx="27">
                  <c:v>0.6550201649625873</c:v>
                </c:pt>
                <c:pt idx="28">
                  <c:v>0.59230541104081436</c:v>
                </c:pt>
                <c:pt idx="29">
                  <c:v>0.5294989355077433</c:v>
                </c:pt>
                <c:pt idx="30">
                  <c:v>0.46663180595501463</c:v>
                </c:pt>
                <c:pt idx="31">
                  <c:v>0.4037327501971355</c:v>
                </c:pt>
                <c:pt idx="32">
                  <c:v>0.34082833989924505</c:v>
                </c:pt>
                <c:pt idx="33">
                  <c:v>0.27794315784836854</c:v>
                </c:pt>
                <c:pt idx="34">
                  <c:v>0.21509995052418973</c:v>
                </c:pt>
                <c:pt idx="35">
                  <c:v>0.15231976743711848</c:v>
                </c:pt>
                <c:pt idx="36">
                  <c:v>8.9622088536885719E-2</c:v>
                </c:pt>
              </c:numCache>
            </c:numRef>
          </c:yVal>
          <c:smooth val="1"/>
          <c:extLst>
            <c:ext xmlns:c16="http://schemas.microsoft.com/office/drawing/2014/chart" uri="{C3380CC4-5D6E-409C-BE32-E72D297353CC}">
              <c16:uniqueId val="{00000002-72D9-477C-849D-46679D53E0D9}"/>
            </c:ext>
          </c:extLst>
        </c:ser>
        <c:ser>
          <c:idx val="4"/>
          <c:order val="2"/>
          <c:tx>
            <c:strRef>
              <c:f>Calculations!$B$64</c:f>
              <c:strCache>
                <c:ptCount val="1"/>
                <c:pt idx="0">
                  <c:v>Total emissions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'SDA Tool'!$D$20</c:f>
              <c:numCache>
                <c:formatCode>General</c:formatCode>
                <c:ptCount val="1"/>
                <c:pt idx="0">
                  <c:v>2030</c:v>
                </c:pt>
              </c:numCache>
            </c:numRef>
          </c:xVal>
          <c:yVal>
            <c:numRef>
              <c:f>Calculations!$D$117</c:f>
              <c:numCache>
                <c:formatCode>#,##0.0</c:formatCode>
                <c:ptCount val="1"/>
                <c:pt idx="0">
                  <c:v>0.22852225063733211</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Calculations!$C$50</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gif"/><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38475</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428625</xdr:colOff>
      <xdr:row>1</xdr:row>
      <xdr:rowOff>152400</xdr:rowOff>
    </xdr:from>
    <xdr:to>
      <xdr:col>2</xdr:col>
      <xdr:colOff>3001123</xdr:colOff>
      <xdr:row>5</xdr:row>
      <xdr:rowOff>134249</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CF1FE42A-7D91-408A-9E4F-93622EF8A5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914400" y="314325"/>
          <a:ext cx="2572498" cy="11343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484354</xdr:colOff>
      <xdr:row>57</xdr:row>
      <xdr:rowOff>200370</xdr:rowOff>
    </xdr:from>
    <xdr:to>
      <xdr:col>5</xdr:col>
      <xdr:colOff>1012031</xdr:colOff>
      <xdr:row>90</xdr:row>
      <xdr:rowOff>102311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1456871</xdr:colOff>
      <xdr:row>58</xdr:row>
      <xdr:rowOff>76040</xdr:rowOff>
    </xdr:from>
    <xdr:to>
      <xdr:col>11</xdr:col>
      <xdr:colOff>702469</xdr:colOff>
      <xdr:row>90</xdr:row>
      <xdr:rowOff>199943</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22409</xdr:colOff>
      <xdr:row>30</xdr:row>
      <xdr:rowOff>156882</xdr:rowOff>
    </xdr:from>
    <xdr:to>
      <xdr:col>7</xdr:col>
      <xdr:colOff>755273</xdr:colOff>
      <xdr:row>45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886403</xdr:colOff>
      <xdr:row>58</xdr:row>
      <xdr:rowOff>17321</xdr:rowOff>
    </xdr:from>
    <xdr:to>
      <xdr:col>19</xdr:col>
      <xdr:colOff>607218</xdr:colOff>
      <xdr:row>90</xdr:row>
      <xdr:rowOff>141224</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215900</xdr:colOff>
      <xdr:row>0</xdr:row>
      <xdr:rowOff>127000</xdr:rowOff>
    </xdr:from>
    <xdr:to>
      <xdr:col>1</xdr:col>
      <xdr:colOff>2807075</xdr:colOff>
      <xdr:row>4</xdr:row>
      <xdr:rowOff>221841</xdr:rowOff>
    </xdr:to>
    <xdr:pic>
      <xdr:nvPicPr>
        <xdr:cNvPr id="2" name="Imagen 2" descr="C:\Users\Fernando Rangel\Google Drive\SBTi\SBTi - Core team\Communication Team\Branding\Logos and templates\SBTi logos_\Logos_\SBT copy.gif">
          <a:extLst>
            <a:ext uri="{FF2B5EF4-FFF2-40B4-BE49-F238E27FC236}">
              <a16:creationId xmlns:a16="http://schemas.microsoft.com/office/drawing/2014/main" id="{AEEA5F5B-6A37-4BF4-A40F-FA62FC60C30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18622"/>
        <a:stretch/>
      </xdr:blipFill>
      <xdr:spPr bwMode="auto">
        <a:xfrm>
          <a:off x="387350" y="127000"/>
          <a:ext cx="2591175" cy="114259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9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0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DA Tool'!$F$3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14">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Total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4</xdr:row>
      <xdr:rowOff>225764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282548</xdr:colOff>
      <xdr:row>1</xdr:row>
      <xdr:rowOff>66517</xdr:rowOff>
    </xdr:from>
    <xdr:to>
      <xdr:col>1</xdr:col>
      <xdr:colOff>2736637</xdr:colOff>
      <xdr:row>4</xdr:row>
      <xdr:rowOff>226673</xdr:rowOff>
    </xdr:to>
    <xdr:pic>
      <xdr:nvPicPr>
        <xdr:cNvPr id="4" name="Imagen 4" descr="C:\Users\Fernando Rangel\Google Drive\SBTi\SBTi - Core team\Communication Team\Branding\Logos and templates\SBTi logos_\Logos_\SBT copy.gif">
          <a:extLst>
            <a:ext uri="{FF2B5EF4-FFF2-40B4-BE49-F238E27FC236}">
              <a16:creationId xmlns:a16="http://schemas.microsoft.com/office/drawing/2014/main" id="{80011F85-A9CF-43BA-8A95-FFF18D85E6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53998" y="225267"/>
          <a:ext cx="2457264" cy="11729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282548</xdr:colOff>
      <xdr:row>1</xdr:row>
      <xdr:rowOff>66517</xdr:rowOff>
    </xdr:from>
    <xdr:to>
      <xdr:col>1</xdr:col>
      <xdr:colOff>2736637</xdr:colOff>
      <xdr:row>4</xdr:row>
      <xdr:rowOff>226673</xdr:rowOff>
    </xdr:to>
    <xdr:pic>
      <xdr:nvPicPr>
        <xdr:cNvPr id="4" name="Imagen 4" descr="C:\Users\Fernando Rangel\Google Drive\SBTi\SBTi - Core team\Communication Team\Branding\Logos and templates\SBTi logos_\Logos_\SBT copy.gif">
          <a:extLst>
            <a:ext uri="{FF2B5EF4-FFF2-40B4-BE49-F238E27FC236}">
              <a16:creationId xmlns:a16="http://schemas.microsoft.com/office/drawing/2014/main" id="{09AFD7EB-4494-488F-89F5-2C2C3DD1D5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50823" y="231617"/>
          <a:ext cx="2457264" cy="11761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chael Danielson" id="{8D38A3D2-67F7-4EA8-BB53-B82D03271828}" userId="S::Michael.Danielson@wri.org::9fea13d7-5441-465b-875b-8f7ea5e49b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14" totalsRowShown="0" headerRowDxfId="84" dataDxfId="83">
  <tableColumns count="55">
    <tableColumn id="1" xr3:uid="{00000000-0010-0000-0000-000001000000}" name="Model.Parameter" dataDxfId="82"/>
    <tableColumn id="2" xr3:uid="{00000000-0010-0000-0000-000002000000}" name="Scenario" dataDxfId="81"/>
    <tableColumn id="3" xr3:uid="{00000000-0010-0000-0000-000003000000}" name="Sheet" dataDxfId="80"/>
    <tableColumn id="4" xr3:uid="{00000000-0010-0000-0000-000004000000}" name="Region" dataDxfId="79"/>
    <tableColumn id="5" xr3:uid="{00000000-0010-0000-0000-000005000000}" name="Flow.1" dataDxfId="78"/>
    <tableColumn id="6" xr3:uid="{00000000-0010-0000-0000-000006000000}" name="Unit" dataDxfId="77"/>
    <tableColumn id="7" xr3:uid="{00000000-0010-0000-0000-000007000000}" name="Table.1" dataDxfId="76"/>
    <tableColumn id="8" xr3:uid="{00000000-0010-0000-0000-000008000000}" name="Sector.ETP" dataDxfId="75"/>
    <tableColumn id="9" xr3:uid="{00000000-0010-0000-0000-000009000000}" name="2014" dataDxfId="74"/>
    <tableColumn id="10" xr3:uid="{00000000-0010-0000-0000-00000A000000}" name="2015" dataDxfId="73"/>
    <tableColumn id="11" xr3:uid="{00000000-0010-0000-0000-00000B000000}" name="2016" dataDxfId="72"/>
    <tableColumn id="12" xr3:uid="{00000000-0010-0000-0000-00000C000000}" name="2017" dataDxfId="71"/>
    <tableColumn id="13" xr3:uid="{00000000-0010-0000-0000-00000D000000}" name="2018" dataDxfId="70"/>
    <tableColumn id="14" xr3:uid="{00000000-0010-0000-0000-00000E000000}" name="2019" dataDxfId="69"/>
    <tableColumn id="15" xr3:uid="{00000000-0010-0000-0000-00000F000000}" name="2020" dataDxfId="68"/>
    <tableColumn id="16" xr3:uid="{00000000-0010-0000-0000-000010000000}" name="2021" dataDxfId="67"/>
    <tableColumn id="17" xr3:uid="{00000000-0010-0000-0000-000011000000}" name="2022" dataDxfId="66"/>
    <tableColumn id="18" xr3:uid="{00000000-0010-0000-0000-000012000000}" name="2023" dataDxfId="65"/>
    <tableColumn id="19" xr3:uid="{00000000-0010-0000-0000-000013000000}" name="2024" dataDxfId="64"/>
    <tableColumn id="20" xr3:uid="{00000000-0010-0000-0000-000014000000}" name="2025" dataDxfId="63"/>
    <tableColumn id="21" xr3:uid="{00000000-0010-0000-0000-000015000000}" name="2026" dataDxfId="62"/>
    <tableColumn id="22" xr3:uid="{00000000-0010-0000-0000-000016000000}" name="2027" dataDxfId="61"/>
    <tableColumn id="23" xr3:uid="{00000000-0010-0000-0000-000017000000}" name="2028" dataDxfId="60"/>
    <tableColumn id="24" xr3:uid="{00000000-0010-0000-0000-000018000000}" name="2029" dataDxfId="59"/>
    <tableColumn id="25" xr3:uid="{00000000-0010-0000-0000-000019000000}" name="2030" dataDxfId="58"/>
    <tableColumn id="26" xr3:uid="{00000000-0010-0000-0000-00001A000000}" name="2031" dataDxfId="57"/>
    <tableColumn id="27" xr3:uid="{00000000-0010-0000-0000-00001B000000}" name="2032" dataDxfId="56"/>
    <tableColumn id="28" xr3:uid="{00000000-0010-0000-0000-00001C000000}" name="2033" dataDxfId="55"/>
    <tableColumn id="29" xr3:uid="{00000000-0010-0000-0000-00001D000000}" name="2034" dataDxfId="54"/>
    <tableColumn id="30" xr3:uid="{00000000-0010-0000-0000-00001E000000}" name="2035" dataDxfId="53"/>
    <tableColumn id="31" xr3:uid="{00000000-0010-0000-0000-00001F000000}" name="2036" dataDxfId="52"/>
    <tableColumn id="32" xr3:uid="{00000000-0010-0000-0000-000020000000}" name="2037" dataDxfId="51"/>
    <tableColumn id="33" xr3:uid="{00000000-0010-0000-0000-000021000000}" name="2038" dataDxfId="50"/>
    <tableColumn id="34" xr3:uid="{00000000-0010-0000-0000-000022000000}" name="2039" dataDxfId="49"/>
    <tableColumn id="35" xr3:uid="{00000000-0010-0000-0000-000023000000}" name="2040" dataDxfId="48"/>
    <tableColumn id="36" xr3:uid="{00000000-0010-0000-0000-000024000000}" name="2041" dataDxfId="47"/>
    <tableColumn id="37" xr3:uid="{00000000-0010-0000-0000-000025000000}" name="2042" dataDxfId="46"/>
    <tableColumn id="38" xr3:uid="{00000000-0010-0000-0000-000026000000}" name="2043" dataDxfId="45"/>
    <tableColumn id="39" xr3:uid="{00000000-0010-0000-0000-000027000000}" name="2044" dataDxfId="44"/>
    <tableColumn id="40" xr3:uid="{00000000-0010-0000-0000-000028000000}" name="2045" dataDxfId="43"/>
    <tableColumn id="41" xr3:uid="{00000000-0010-0000-0000-000029000000}" name="2046" dataDxfId="42"/>
    <tableColumn id="42" xr3:uid="{00000000-0010-0000-0000-00002A000000}" name="2047" dataDxfId="41"/>
    <tableColumn id="43" xr3:uid="{00000000-0010-0000-0000-00002B000000}" name="2048" dataDxfId="40"/>
    <tableColumn id="44" xr3:uid="{00000000-0010-0000-0000-00002C000000}" name="2049" dataDxfId="39"/>
    <tableColumn id="45" xr3:uid="{00000000-0010-0000-0000-00002D000000}" name="2050" dataDxfId="38"/>
    <tableColumn id="46" xr3:uid="{00000000-0010-0000-0000-00002E000000}" name="2051" dataDxfId="37"/>
    <tableColumn id="47" xr3:uid="{00000000-0010-0000-0000-00002F000000}" name="2052" dataDxfId="36"/>
    <tableColumn id="48" xr3:uid="{00000000-0010-0000-0000-000030000000}" name="2053" dataDxfId="35"/>
    <tableColumn id="49" xr3:uid="{00000000-0010-0000-0000-000031000000}" name="2054" dataDxfId="34"/>
    <tableColumn id="50" xr3:uid="{00000000-0010-0000-0000-000032000000}" name="2055" dataDxfId="33"/>
    <tableColumn id="51" xr3:uid="{00000000-0010-0000-0000-000033000000}" name="2056" dataDxfId="32"/>
    <tableColumn id="52" xr3:uid="{00000000-0010-0000-0000-000034000000}" name="2057" dataDxfId="31"/>
    <tableColumn id="53" xr3:uid="{00000000-0010-0000-0000-000035000000}" name="2058" dataDxfId="30"/>
    <tableColumn id="54" xr3:uid="{00000000-0010-0000-0000-000036000000}" name="2059" dataDxfId="29"/>
    <tableColumn id="55" xr3:uid="{00000000-0010-0000-0000-000037000000}" name="2060" dataDxfId="28"/>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D28" dT="2024-03-25T17:50:03.48" personId="{8D38A3D2-67F7-4EA8-BB53-B82D03271828}" id="{8FFE17FE-C65A-46FE-842E-A887219977D6}">
    <text>IEA NZE 1.5C power sector pathway</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ea.org/reports/ammonia-technology-roadmap" TargetMode="External"/><Relationship Id="rId7" Type="http://schemas.openxmlformats.org/officeDocument/2006/relationships/printerSettings" Target="../printerSettings/printerSettings1.bin"/><Relationship Id="rId2" Type="http://schemas.openxmlformats.org/officeDocument/2006/relationships/hyperlink" Target="https://www.iea.org/data-and-statistics/data-product/net-zero-by-2050-scenario" TargetMode="External"/><Relationship Id="rId1" Type="http://schemas.openxmlformats.org/officeDocument/2006/relationships/hyperlink" Target="mailto:info@sciencebasedtargets.org" TargetMode="External"/><Relationship Id="rId6" Type="http://schemas.openxmlformats.org/officeDocument/2006/relationships/hyperlink" Target="https://www.iea.org/energy-system/industry/chemicals" TargetMode="External"/><Relationship Id="rId5" Type="http://schemas.openxmlformats.org/officeDocument/2006/relationships/hyperlink" Target="https://www.iea.org/reports/world-energy-outlook-2023" TargetMode="External"/><Relationship Id="rId4" Type="http://schemas.openxmlformats.org/officeDocument/2006/relationships/hyperlink" Target="https://www.iea.org/data-and-statistics/charts/direct-co2-emissions-from-primary-chemical-production-in-the-net-zero-scenario-2015-2030"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ciencebasedtargets.org/methods/" TargetMode="External"/><Relationship Id="rId7" Type="http://schemas.openxmlformats.org/officeDocument/2006/relationships/hyperlink" Target="https://sciencebasedtargets.org/resources/files/Net-Zero-Standard.pdf" TargetMode="External"/><Relationship Id="rId2" Type="http://schemas.openxmlformats.org/officeDocument/2006/relationships/hyperlink" Target="https://sciencebasedtargets.org/set-a-target"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 TargetMode="External"/><Relationship Id="rId5" Type="http://schemas.openxmlformats.org/officeDocument/2006/relationships/hyperlink" Target="https://sciencebasedtargets.org/wp-content/uploads/2019/04/foundations-of-SBT-setting.pdf" TargetMode="External"/><Relationship Id="rId4" Type="http://schemas.openxmlformats.org/officeDocument/2006/relationships/hyperlink" Target="https://sciencebasedtargets.org/resources/files/SBTi-criteria.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hyperlink" Target="mailto:info@sciencebasedtargets.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mailto:info@sciencebasedtargets.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info@sciencebasedtargets.org"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57"/>
  <sheetViews>
    <sheetView zoomScale="85" zoomScaleNormal="85" workbookViewId="0">
      <selection activeCell="B18" sqref="B18:O23"/>
    </sheetView>
  </sheetViews>
  <sheetFormatPr defaultColWidth="11.453125" defaultRowHeight="12.5" x14ac:dyDescent="0.25"/>
  <cols>
    <col min="1" max="1" width="3.54296875" style="22" customWidth="1"/>
    <col min="2" max="2" width="16.26953125" style="22" customWidth="1"/>
    <col min="3" max="16384" width="11.453125" style="22"/>
  </cols>
  <sheetData>
    <row r="1" spans="2:19" ht="19.5" customHeight="1" x14ac:dyDescent="0.25"/>
    <row r="2" spans="2:19" ht="19.5" customHeight="1" x14ac:dyDescent="0.25"/>
    <row r="3" spans="2:19" ht="33.75" customHeight="1" x14ac:dyDescent="0.25">
      <c r="F3" s="619" t="s">
        <v>0</v>
      </c>
      <c r="G3" s="619"/>
      <c r="H3" s="619"/>
      <c r="I3" s="619"/>
      <c r="J3" s="619"/>
      <c r="K3" s="619"/>
      <c r="L3" s="619"/>
      <c r="M3" s="619"/>
      <c r="N3" s="619"/>
      <c r="O3" s="619"/>
      <c r="P3" s="70"/>
      <c r="Q3" s="70"/>
      <c r="R3" s="70"/>
      <c r="S3" s="70"/>
    </row>
    <row r="4" spans="2:19" ht="19.5" customHeight="1" x14ac:dyDescent="0.25"/>
    <row r="5" spans="2:19" ht="19.5" customHeight="1" x14ac:dyDescent="0.25">
      <c r="F5" s="67" t="s">
        <v>1</v>
      </c>
      <c r="G5" s="91"/>
      <c r="H5" s="536" t="s">
        <v>569</v>
      </c>
    </row>
    <row r="6" spans="2:19" ht="19.5" customHeight="1" x14ac:dyDescent="0.25">
      <c r="F6" s="67" t="s">
        <v>2</v>
      </c>
      <c r="G6" s="68"/>
      <c r="H6" s="69" t="s">
        <v>3</v>
      </c>
    </row>
    <row r="7" spans="2:19" ht="15.5" x14ac:dyDescent="0.35">
      <c r="B7" s="92"/>
      <c r="C7" s="92"/>
      <c r="D7" s="92"/>
      <c r="E7" s="92"/>
      <c r="F7" s="92"/>
      <c r="G7" s="92"/>
      <c r="H7" s="92"/>
      <c r="I7" s="92"/>
      <c r="J7" s="92"/>
      <c r="K7" s="92"/>
      <c r="L7" s="92"/>
      <c r="M7" s="92"/>
      <c r="N7" s="92"/>
      <c r="O7" s="92"/>
    </row>
    <row r="8" spans="2:19" ht="15.5" x14ac:dyDescent="0.25">
      <c r="B8" s="93"/>
      <c r="C8" s="93"/>
      <c r="D8" s="93"/>
      <c r="E8" s="93"/>
      <c r="F8" s="93"/>
      <c r="G8" s="93"/>
      <c r="H8" s="93"/>
      <c r="I8" s="93"/>
      <c r="J8" s="93"/>
      <c r="K8" s="93"/>
      <c r="L8" s="93"/>
      <c r="M8" s="93"/>
      <c r="N8" s="93"/>
      <c r="O8" s="93"/>
    </row>
    <row r="9" spans="2:19" ht="17.5" x14ac:dyDescent="0.25">
      <c r="B9" s="627" t="s">
        <v>4</v>
      </c>
      <c r="C9" s="627"/>
      <c r="D9" s="627"/>
      <c r="E9" s="627"/>
      <c r="F9" s="627"/>
      <c r="G9" s="627"/>
      <c r="H9" s="627"/>
      <c r="I9" s="627"/>
      <c r="J9" s="627"/>
      <c r="K9" s="627"/>
      <c r="L9" s="627"/>
      <c r="M9" s="627"/>
      <c r="N9" s="627"/>
      <c r="O9" s="627"/>
    </row>
    <row r="10" spans="2:19" s="95" customFormat="1" x14ac:dyDescent="0.25">
      <c r="B10" s="94"/>
      <c r="C10" s="94"/>
      <c r="D10" s="94"/>
      <c r="E10" s="94"/>
      <c r="F10" s="94"/>
      <c r="G10" s="94"/>
      <c r="H10" s="94"/>
      <c r="I10" s="94"/>
      <c r="J10" s="94"/>
      <c r="K10" s="94"/>
      <c r="L10" s="94"/>
      <c r="M10" s="94"/>
      <c r="N10" s="94"/>
      <c r="O10" s="94"/>
    </row>
    <row r="11" spans="2:19" ht="25" x14ac:dyDescent="0.25">
      <c r="B11" s="60" t="s">
        <v>5</v>
      </c>
      <c r="C11" s="66"/>
      <c r="D11" s="66"/>
      <c r="E11" s="66"/>
      <c r="F11" s="66"/>
      <c r="G11" s="66"/>
      <c r="H11" s="66"/>
      <c r="I11" s="66"/>
      <c r="J11" s="66"/>
      <c r="K11" s="66"/>
      <c r="L11" s="66"/>
      <c r="M11" s="66"/>
      <c r="N11" s="66"/>
      <c r="O11" s="66"/>
    </row>
    <row r="12" spans="2:19" s="91" customFormat="1" ht="29.5" customHeight="1" x14ac:dyDescent="0.25">
      <c r="B12" s="623" t="s">
        <v>591</v>
      </c>
      <c r="C12" s="628"/>
      <c r="D12" s="628"/>
      <c r="E12" s="628"/>
      <c r="F12" s="628"/>
      <c r="G12" s="628"/>
      <c r="H12" s="628"/>
      <c r="I12" s="628"/>
      <c r="J12" s="628"/>
      <c r="K12" s="628"/>
      <c r="L12" s="628"/>
      <c r="M12" s="628"/>
      <c r="N12" s="628"/>
      <c r="O12" s="628"/>
    </row>
    <row r="13" spans="2:19" s="91" customFormat="1" ht="29.5" customHeight="1" x14ac:dyDescent="0.25">
      <c r="B13" s="629"/>
      <c r="C13" s="629"/>
      <c r="D13" s="629"/>
      <c r="E13" s="629"/>
      <c r="F13" s="629"/>
      <c r="G13" s="629"/>
      <c r="H13" s="629"/>
      <c r="I13" s="629"/>
      <c r="J13" s="629"/>
      <c r="K13" s="629"/>
      <c r="L13" s="629"/>
      <c r="M13" s="629"/>
      <c r="N13" s="629"/>
      <c r="O13" s="629"/>
    </row>
    <row r="14" spans="2:19" s="91" customFormat="1" ht="29.5" customHeight="1" x14ac:dyDescent="0.25">
      <c r="B14" s="629"/>
      <c r="C14" s="629"/>
      <c r="D14" s="629"/>
      <c r="E14" s="629"/>
      <c r="F14" s="629"/>
      <c r="G14" s="629"/>
      <c r="H14" s="629"/>
      <c r="I14" s="629"/>
      <c r="J14" s="629"/>
      <c r="K14" s="629"/>
      <c r="L14" s="629"/>
      <c r="M14" s="629"/>
      <c r="N14" s="629"/>
      <c r="O14" s="629"/>
    </row>
    <row r="15" spans="2:19" s="91" customFormat="1" ht="29.5" customHeight="1" x14ac:dyDescent="0.25">
      <c r="B15" s="629"/>
      <c r="C15" s="629"/>
      <c r="D15" s="629"/>
      <c r="E15" s="629"/>
      <c r="F15" s="629"/>
      <c r="G15" s="629"/>
      <c r="H15" s="629"/>
      <c r="I15" s="629"/>
      <c r="J15" s="629"/>
      <c r="K15" s="629"/>
      <c r="L15" s="629"/>
      <c r="M15" s="629"/>
      <c r="N15" s="629"/>
      <c r="O15" s="629"/>
    </row>
    <row r="16" spans="2:19" ht="14" x14ac:dyDescent="0.25">
      <c r="B16" s="58"/>
      <c r="C16" s="58"/>
      <c r="D16" s="58"/>
      <c r="E16" s="58"/>
      <c r="F16" s="58"/>
      <c r="G16" s="58"/>
      <c r="H16" s="58"/>
      <c r="I16" s="58"/>
      <c r="J16" s="58"/>
      <c r="K16" s="58"/>
      <c r="L16" s="58"/>
      <c r="M16" s="58"/>
      <c r="N16" s="58"/>
      <c r="O16" s="58"/>
    </row>
    <row r="17" spans="2:17" ht="25" x14ac:dyDescent="0.25">
      <c r="B17" s="60" t="s">
        <v>6</v>
      </c>
      <c r="C17" s="59"/>
      <c r="D17" s="59"/>
      <c r="E17" s="59"/>
      <c r="F17" s="59"/>
      <c r="G17" s="59"/>
      <c r="H17" s="59"/>
      <c r="I17" s="59"/>
      <c r="J17" s="59"/>
      <c r="K17" s="59"/>
      <c r="L17" s="59"/>
      <c r="M17" s="59"/>
      <c r="N17" s="59"/>
      <c r="O17" s="59"/>
    </row>
    <row r="18" spans="2:17" ht="50.5" customHeight="1" x14ac:dyDescent="0.25">
      <c r="B18" s="623" t="s">
        <v>564</v>
      </c>
      <c r="C18" s="623"/>
      <c r="D18" s="623"/>
      <c r="E18" s="623"/>
      <c r="F18" s="623"/>
      <c r="G18" s="623"/>
      <c r="H18" s="623"/>
      <c r="I18" s="623"/>
      <c r="J18" s="623"/>
      <c r="K18" s="623"/>
      <c r="L18" s="623"/>
      <c r="M18" s="623"/>
      <c r="N18" s="623"/>
      <c r="O18" s="623"/>
    </row>
    <row r="19" spans="2:17" ht="50.5" customHeight="1" x14ac:dyDescent="0.25">
      <c r="B19" s="624"/>
      <c r="C19" s="624"/>
      <c r="D19" s="624"/>
      <c r="E19" s="624"/>
      <c r="F19" s="624"/>
      <c r="G19" s="624"/>
      <c r="H19" s="624"/>
      <c r="I19" s="624"/>
      <c r="J19" s="624"/>
      <c r="K19" s="624"/>
      <c r="L19" s="624"/>
      <c r="M19" s="624"/>
      <c r="N19" s="624"/>
      <c r="O19" s="624"/>
    </row>
    <row r="20" spans="2:17" ht="50.5" customHeight="1" x14ac:dyDescent="0.25">
      <c r="B20" s="624"/>
      <c r="C20" s="624"/>
      <c r="D20" s="624"/>
      <c r="E20" s="624"/>
      <c r="F20" s="624"/>
      <c r="G20" s="624"/>
      <c r="H20" s="624"/>
      <c r="I20" s="624"/>
      <c r="J20" s="624"/>
      <c r="K20" s="624"/>
      <c r="L20" s="624"/>
      <c r="M20" s="624"/>
      <c r="N20" s="624"/>
      <c r="O20" s="624"/>
    </row>
    <row r="21" spans="2:17" ht="50.5" customHeight="1" x14ac:dyDescent="0.25">
      <c r="B21" s="624"/>
      <c r="C21" s="624"/>
      <c r="D21" s="624"/>
      <c r="E21" s="624"/>
      <c r="F21" s="624"/>
      <c r="G21" s="624"/>
      <c r="H21" s="624"/>
      <c r="I21" s="624"/>
      <c r="J21" s="624"/>
      <c r="K21" s="624"/>
      <c r="L21" s="624"/>
      <c r="M21" s="624"/>
      <c r="N21" s="624"/>
      <c r="O21" s="624"/>
    </row>
    <row r="22" spans="2:17" ht="50.5" customHeight="1" x14ac:dyDescent="0.25">
      <c r="B22" s="624"/>
      <c r="C22" s="624"/>
      <c r="D22" s="624"/>
      <c r="E22" s="624"/>
      <c r="F22" s="624"/>
      <c r="G22" s="624"/>
      <c r="H22" s="624"/>
      <c r="I22" s="624"/>
      <c r="J22" s="624"/>
      <c r="K22" s="624"/>
      <c r="L22" s="624"/>
      <c r="M22" s="624"/>
      <c r="N22" s="624"/>
      <c r="O22" s="624"/>
    </row>
    <row r="23" spans="2:17" ht="50.5" customHeight="1" x14ac:dyDescent="0.25">
      <c r="B23" s="624"/>
      <c r="C23" s="624"/>
      <c r="D23" s="624"/>
      <c r="E23" s="624"/>
      <c r="F23" s="624"/>
      <c r="G23" s="624"/>
      <c r="H23" s="624"/>
      <c r="I23" s="624"/>
      <c r="J23" s="624"/>
      <c r="K23" s="624"/>
      <c r="L23" s="624"/>
      <c r="M23" s="624"/>
      <c r="N23" s="624"/>
      <c r="O23" s="624"/>
    </row>
    <row r="24" spans="2:17" x14ac:dyDescent="0.25">
      <c r="B24" s="57"/>
      <c r="C24" s="57"/>
      <c r="D24" s="57"/>
      <c r="E24" s="57"/>
      <c r="F24" s="57"/>
      <c r="G24" s="57"/>
      <c r="H24" s="57"/>
      <c r="I24" s="57"/>
      <c r="J24" s="57"/>
      <c r="K24" s="57"/>
      <c r="L24" s="57"/>
      <c r="M24" s="57"/>
      <c r="N24" s="57"/>
      <c r="O24" s="57"/>
    </row>
    <row r="25" spans="2:17" ht="25" x14ac:dyDescent="0.25">
      <c r="B25" s="60" t="s">
        <v>7</v>
      </c>
      <c r="C25" s="59"/>
      <c r="D25" s="59"/>
      <c r="E25" s="59"/>
      <c r="F25" s="59"/>
      <c r="G25" s="59"/>
      <c r="H25" s="59"/>
      <c r="I25" s="59"/>
      <c r="J25" s="59"/>
      <c r="K25" s="59"/>
      <c r="L25" s="59"/>
      <c r="M25" s="59"/>
      <c r="N25" s="59"/>
      <c r="O25" s="59"/>
    </row>
    <row r="26" spans="2:17" ht="33" customHeight="1" x14ac:dyDescent="0.35">
      <c r="B26" s="625" t="s">
        <v>527</v>
      </c>
      <c r="C26" s="626"/>
      <c r="D26" s="626"/>
      <c r="E26" s="626"/>
      <c r="F26" s="626"/>
      <c r="G26" s="626"/>
      <c r="H26" s="626"/>
      <c r="I26" s="626"/>
      <c r="J26" s="626"/>
      <c r="K26" s="626"/>
      <c r="L26" s="626"/>
      <c r="M26" s="626"/>
      <c r="N26" s="626"/>
      <c r="O26" s="626"/>
      <c r="Q26" s="96"/>
    </row>
    <row r="27" spans="2:17" ht="16" customHeight="1" x14ac:dyDescent="0.35">
      <c r="B27" s="612" t="s">
        <v>528</v>
      </c>
      <c r="C27" s="612"/>
      <c r="D27" s="612"/>
      <c r="E27" s="612"/>
      <c r="F27" s="612"/>
      <c r="G27" s="612"/>
      <c r="H27" s="612"/>
      <c r="I27" s="612"/>
      <c r="J27" s="612"/>
      <c r="K27" s="612"/>
      <c r="L27" s="612"/>
      <c r="M27" s="612"/>
      <c r="N27" s="612"/>
      <c r="O27" s="612"/>
      <c r="Q27" s="96"/>
    </row>
    <row r="28" spans="2:17" ht="25" customHeight="1" x14ac:dyDescent="0.35">
      <c r="B28" s="611" t="s">
        <v>8</v>
      </c>
      <c r="C28" s="611"/>
      <c r="D28" s="611"/>
      <c r="E28" s="611"/>
      <c r="F28" s="611"/>
      <c r="G28" s="611"/>
      <c r="H28" s="611"/>
      <c r="I28" s="611"/>
      <c r="J28" s="611"/>
      <c r="K28" s="611"/>
      <c r="L28" s="611"/>
      <c r="M28" s="611"/>
      <c r="N28" s="611"/>
      <c r="O28" s="611"/>
      <c r="Q28" s="96"/>
    </row>
    <row r="29" spans="2:17" ht="20.5" customHeight="1" x14ac:dyDescent="0.35">
      <c r="B29" s="612" t="s">
        <v>529</v>
      </c>
      <c r="C29" s="612"/>
      <c r="D29" s="612"/>
      <c r="E29" s="612"/>
      <c r="F29" s="612"/>
      <c r="G29" s="612"/>
      <c r="H29" s="612"/>
      <c r="I29" s="612"/>
      <c r="J29" s="612"/>
      <c r="K29" s="612"/>
      <c r="L29" s="612"/>
      <c r="M29" s="612"/>
      <c r="N29" s="612"/>
      <c r="O29" s="612"/>
      <c r="Q29" s="96"/>
    </row>
    <row r="30" spans="2:17" ht="20.5" customHeight="1" x14ac:dyDescent="0.35">
      <c r="B30" s="611" t="s">
        <v>9</v>
      </c>
      <c r="C30" s="611"/>
      <c r="D30" s="611"/>
      <c r="E30" s="611"/>
      <c r="F30" s="611"/>
      <c r="G30" s="611"/>
      <c r="H30" s="611"/>
      <c r="I30" s="611"/>
      <c r="J30" s="611"/>
      <c r="K30" s="611"/>
      <c r="L30" s="611"/>
      <c r="M30" s="611"/>
      <c r="N30" s="611"/>
      <c r="O30" s="611"/>
      <c r="Q30" s="96"/>
    </row>
    <row r="31" spans="2:17" ht="20.5" customHeight="1" x14ac:dyDescent="0.35">
      <c r="B31" s="612" t="s">
        <v>530</v>
      </c>
      <c r="C31" s="612"/>
      <c r="D31" s="612"/>
      <c r="E31" s="612"/>
      <c r="F31" s="612"/>
      <c r="G31" s="612"/>
      <c r="H31" s="612"/>
      <c r="I31" s="612"/>
      <c r="J31" s="612"/>
      <c r="K31" s="612"/>
      <c r="L31" s="612"/>
      <c r="M31" s="612"/>
      <c r="N31" s="612"/>
      <c r="O31" s="612"/>
      <c r="Q31" s="96"/>
    </row>
    <row r="32" spans="2:17" ht="20.5" customHeight="1" x14ac:dyDescent="0.35">
      <c r="B32" s="611" t="s">
        <v>11</v>
      </c>
      <c r="C32" s="611"/>
      <c r="D32" s="611"/>
      <c r="E32" s="611"/>
      <c r="F32" s="611"/>
      <c r="G32" s="611"/>
      <c r="H32" s="611"/>
      <c r="I32" s="611"/>
      <c r="J32" s="611"/>
      <c r="K32" s="611"/>
      <c r="L32" s="611"/>
      <c r="M32" s="611"/>
      <c r="N32" s="611"/>
      <c r="O32" s="611"/>
      <c r="Q32" s="96"/>
    </row>
    <row r="33" spans="2:17" ht="20.5" customHeight="1" x14ac:dyDescent="0.35">
      <c r="B33" s="612" t="s">
        <v>531</v>
      </c>
      <c r="C33" s="612"/>
      <c r="D33" s="612"/>
      <c r="E33" s="612"/>
      <c r="F33" s="612"/>
      <c r="G33" s="612"/>
      <c r="H33" s="612"/>
      <c r="I33" s="612"/>
      <c r="J33" s="612"/>
      <c r="K33" s="612"/>
      <c r="L33" s="612"/>
      <c r="M33" s="612"/>
      <c r="N33" s="612"/>
      <c r="O33" s="612"/>
      <c r="Q33" s="96"/>
    </row>
    <row r="34" spans="2:17" ht="20.5" customHeight="1" x14ac:dyDescent="0.35">
      <c r="B34" s="611" t="s">
        <v>10</v>
      </c>
      <c r="C34" s="611"/>
      <c r="D34" s="611"/>
      <c r="E34" s="611"/>
      <c r="F34" s="611"/>
      <c r="G34" s="611"/>
      <c r="H34" s="611"/>
      <c r="I34" s="611"/>
      <c r="J34" s="611"/>
      <c r="K34" s="611"/>
      <c r="L34" s="611"/>
      <c r="M34" s="611"/>
      <c r="N34" s="611"/>
      <c r="O34" s="611"/>
      <c r="Q34" s="96"/>
    </row>
    <row r="35" spans="2:17" ht="20.5" customHeight="1" x14ac:dyDescent="0.35">
      <c r="B35" s="612" t="s">
        <v>532</v>
      </c>
      <c r="C35" s="612"/>
      <c r="D35" s="612"/>
      <c r="E35" s="612"/>
      <c r="F35" s="612"/>
      <c r="G35" s="612"/>
      <c r="H35" s="612"/>
      <c r="I35" s="612"/>
      <c r="J35" s="612"/>
      <c r="K35" s="612"/>
      <c r="L35" s="612"/>
      <c r="M35" s="612"/>
      <c r="N35" s="612"/>
      <c r="O35" s="612"/>
      <c r="Q35" s="96"/>
    </row>
    <row r="36" spans="2:17" ht="20.5" customHeight="1" x14ac:dyDescent="0.35">
      <c r="B36" s="611" t="s">
        <v>533</v>
      </c>
      <c r="C36" s="611"/>
      <c r="D36" s="611"/>
      <c r="E36" s="611"/>
      <c r="F36" s="611"/>
      <c r="G36" s="611"/>
      <c r="H36" s="611"/>
      <c r="I36" s="611"/>
      <c r="J36" s="611"/>
      <c r="K36" s="611"/>
      <c r="L36" s="611"/>
      <c r="M36" s="611"/>
      <c r="N36" s="524"/>
      <c r="O36" s="524"/>
      <c r="Q36" s="96"/>
    </row>
    <row r="37" spans="2:17" ht="20.5" customHeight="1" x14ac:dyDescent="0.35">
      <c r="B37" s="612" t="s">
        <v>534</v>
      </c>
      <c r="C37" s="612"/>
      <c r="D37" s="612"/>
      <c r="E37" s="612"/>
      <c r="F37" s="612"/>
      <c r="G37" s="612"/>
      <c r="H37" s="612"/>
      <c r="I37" s="612"/>
      <c r="J37" s="612"/>
      <c r="K37" s="612"/>
      <c r="L37" s="612"/>
      <c r="M37" s="612"/>
      <c r="N37" s="612"/>
      <c r="O37" s="612"/>
      <c r="Q37" s="96"/>
    </row>
    <row r="38" spans="2:17" ht="20.5" customHeight="1" x14ac:dyDescent="0.35">
      <c r="B38" s="611" t="s">
        <v>12</v>
      </c>
      <c r="C38" s="611"/>
      <c r="D38" s="611"/>
      <c r="E38" s="611"/>
      <c r="F38" s="611"/>
      <c r="G38" s="611"/>
      <c r="H38" s="611"/>
      <c r="I38" s="611"/>
      <c r="J38" s="611"/>
      <c r="K38" s="611"/>
      <c r="L38" s="611"/>
      <c r="M38" s="611"/>
      <c r="N38" s="611"/>
      <c r="O38" s="611"/>
      <c r="Q38" s="96"/>
    </row>
    <row r="40" spans="2:17" ht="25" x14ac:dyDescent="0.25">
      <c r="B40" s="60" t="s">
        <v>13</v>
      </c>
      <c r="C40" s="59"/>
      <c r="D40" s="59"/>
      <c r="E40" s="59"/>
      <c r="F40" s="59"/>
      <c r="G40" s="59"/>
      <c r="H40" s="59"/>
      <c r="I40" s="59"/>
      <c r="J40" s="59"/>
      <c r="K40" s="59"/>
      <c r="L40" s="59"/>
      <c r="M40" s="59"/>
      <c r="N40" s="59"/>
      <c r="O40" s="59"/>
    </row>
    <row r="42" spans="2:17" ht="19.5" customHeight="1" thickBot="1" x14ac:dyDescent="0.3">
      <c r="B42" s="97" t="s">
        <v>14</v>
      </c>
      <c r="C42" s="620" t="s">
        <v>15</v>
      </c>
      <c r="D42" s="622"/>
      <c r="E42" s="620" t="s">
        <v>16</v>
      </c>
      <c r="F42" s="621"/>
      <c r="G42" s="621"/>
      <c r="H42" s="621"/>
      <c r="I42" s="621"/>
      <c r="J42" s="621"/>
      <c r="K42" s="621"/>
      <c r="L42" s="621"/>
      <c r="M42" s="621"/>
      <c r="N42" s="621"/>
      <c r="O42" s="621"/>
    </row>
    <row r="43" spans="2:17" ht="40" customHeight="1" thickTop="1" x14ac:dyDescent="0.25">
      <c r="B43" s="535" t="s">
        <v>569</v>
      </c>
      <c r="C43" s="613" t="s">
        <v>17</v>
      </c>
      <c r="D43" s="614"/>
      <c r="E43" s="615" t="s">
        <v>570</v>
      </c>
      <c r="F43" s="615"/>
      <c r="G43" s="615"/>
      <c r="H43" s="615"/>
      <c r="I43" s="615"/>
      <c r="J43" s="615"/>
      <c r="K43" s="615"/>
      <c r="L43" s="615"/>
      <c r="M43" s="615"/>
      <c r="N43" s="615"/>
      <c r="O43" s="616"/>
    </row>
    <row r="44" spans="2:17" ht="39.75" customHeight="1" x14ac:dyDescent="0.25"/>
    <row r="46" spans="2:17" ht="25" x14ac:dyDescent="0.25">
      <c r="B46" s="60" t="s">
        <v>18</v>
      </c>
      <c r="C46" s="59"/>
      <c r="D46" s="59"/>
      <c r="E46" s="59"/>
      <c r="F46" s="59"/>
      <c r="G46" s="59"/>
      <c r="H46" s="59"/>
      <c r="I46" s="59"/>
      <c r="J46" s="59"/>
      <c r="K46" s="59"/>
      <c r="L46" s="59"/>
      <c r="M46" s="59"/>
      <c r="N46" s="59"/>
      <c r="O46" s="59"/>
    </row>
    <row r="48" spans="2:17" ht="19.5" customHeight="1" thickBot="1" x14ac:dyDescent="0.3">
      <c r="B48" s="97" t="s">
        <v>19</v>
      </c>
      <c r="C48" s="617" t="s">
        <v>20</v>
      </c>
      <c r="D48" s="618"/>
      <c r="E48" s="618"/>
      <c r="F48" s="618"/>
      <c r="G48" s="618"/>
      <c r="H48" s="618"/>
      <c r="I48" s="618"/>
      <c r="J48" s="618"/>
      <c r="K48" s="618"/>
      <c r="L48" s="618"/>
      <c r="M48" s="618"/>
      <c r="N48" s="618"/>
      <c r="O48" s="618"/>
    </row>
    <row r="49" spans="2:15" ht="19.5" customHeight="1" thickTop="1" thickBot="1" x14ac:dyDescent="0.3">
      <c r="B49" s="98" t="s">
        <v>21</v>
      </c>
      <c r="C49" s="617" t="s">
        <v>22</v>
      </c>
      <c r="D49" s="618"/>
      <c r="E49" s="618"/>
      <c r="F49" s="618"/>
      <c r="G49" s="618"/>
      <c r="H49" s="618"/>
      <c r="I49" s="618"/>
      <c r="J49" s="618"/>
      <c r="K49" s="618"/>
      <c r="L49" s="618"/>
      <c r="M49" s="618"/>
      <c r="N49" s="618"/>
      <c r="O49" s="618"/>
    </row>
    <row r="50" spans="2:15" ht="19.5" customHeight="1" thickTop="1" thickBot="1" x14ac:dyDescent="0.3">
      <c r="B50" s="98" t="s">
        <v>23</v>
      </c>
      <c r="C50" s="455" t="s">
        <v>24</v>
      </c>
      <c r="D50" s="456"/>
      <c r="E50" s="456"/>
      <c r="F50" s="456"/>
      <c r="G50" s="456"/>
      <c r="H50" s="456"/>
      <c r="I50" s="456"/>
      <c r="J50" s="456"/>
      <c r="K50" s="456"/>
      <c r="L50" s="456"/>
      <c r="M50" s="456"/>
      <c r="N50" s="456"/>
      <c r="O50" s="456"/>
    </row>
    <row r="51" spans="2:15" ht="19.5" customHeight="1" thickTop="1" thickBot="1" x14ac:dyDescent="0.3">
      <c r="B51" s="98" t="s">
        <v>25</v>
      </c>
      <c r="C51" s="617" t="s">
        <v>26</v>
      </c>
      <c r="D51" s="618"/>
      <c r="E51" s="618"/>
      <c r="F51" s="618"/>
      <c r="G51" s="618"/>
      <c r="H51" s="618"/>
      <c r="I51" s="618"/>
      <c r="J51" s="618"/>
      <c r="K51" s="618"/>
      <c r="L51" s="618"/>
      <c r="M51" s="618"/>
      <c r="N51" s="618"/>
      <c r="O51" s="618"/>
    </row>
    <row r="52" spans="2:15" ht="19.5" customHeight="1" thickTop="1" thickBot="1" x14ac:dyDescent="0.3">
      <c r="B52" s="98" t="s">
        <v>27</v>
      </c>
      <c r="C52" s="617" t="s">
        <v>28</v>
      </c>
      <c r="D52" s="618"/>
      <c r="E52" s="618"/>
      <c r="F52" s="618"/>
      <c r="G52" s="618"/>
      <c r="H52" s="618"/>
      <c r="I52" s="618"/>
      <c r="J52" s="618"/>
      <c r="K52" s="618"/>
      <c r="L52" s="618"/>
      <c r="M52" s="618"/>
      <c r="N52" s="618"/>
      <c r="O52" s="618"/>
    </row>
    <row r="53" spans="2:15" ht="19.5" customHeight="1" thickTop="1" thickBot="1" x14ac:dyDescent="0.3">
      <c r="B53" s="98" t="s">
        <v>29</v>
      </c>
      <c r="C53" s="617" t="s">
        <v>30</v>
      </c>
      <c r="D53" s="618"/>
      <c r="E53" s="618"/>
      <c r="F53" s="618"/>
      <c r="G53" s="618"/>
      <c r="H53" s="618"/>
      <c r="I53" s="618"/>
      <c r="J53" s="618"/>
      <c r="K53" s="618"/>
      <c r="L53" s="618"/>
      <c r="M53" s="618"/>
      <c r="N53" s="618"/>
      <c r="O53" s="618"/>
    </row>
    <row r="54" spans="2:15" ht="19.5" customHeight="1" thickTop="1" thickBot="1" x14ac:dyDescent="0.3">
      <c r="B54" s="98" t="s">
        <v>31</v>
      </c>
      <c r="C54" s="617" t="s">
        <v>32</v>
      </c>
      <c r="D54" s="618"/>
      <c r="E54" s="618"/>
      <c r="F54" s="618"/>
      <c r="G54" s="618"/>
      <c r="H54" s="618"/>
      <c r="I54" s="618"/>
      <c r="J54" s="618"/>
      <c r="K54" s="618"/>
      <c r="L54" s="618"/>
      <c r="M54" s="618"/>
      <c r="N54" s="618"/>
      <c r="O54" s="618"/>
    </row>
    <row r="55" spans="2:15" ht="19.5" customHeight="1" thickTop="1" x14ac:dyDescent="0.25"/>
    <row r="56" spans="2:15" ht="19.5" customHeight="1" x14ac:dyDescent="0.25"/>
    <row r="57" spans="2:15" ht="19.5" customHeight="1" x14ac:dyDescent="0.25"/>
  </sheetData>
  <sheetProtection algorithmName="SHA-512" hashValue="dHtb0DndpMiTkhEkUOXC8HWVgEInVXzpmRqR8P8z0XYzWhW3klp9j8mTyZhm2u5bqpBhKuUznHXWJy3/wfi4qw==" saltValue="z6y+3NxDCO14j7JAB797kw==" spinCount="100000" sheet="1" objects="1" scenarios="1"/>
  <mergeCells count="32">
    <mergeCell ref="F3:O3"/>
    <mergeCell ref="E42:O42"/>
    <mergeCell ref="C42:D42"/>
    <mergeCell ref="B18:O23"/>
    <mergeCell ref="B26:O26"/>
    <mergeCell ref="B9:O9"/>
    <mergeCell ref="B12:O15"/>
    <mergeCell ref="B27:O27"/>
    <mergeCell ref="B28:M28"/>
    <mergeCell ref="N28:O28"/>
    <mergeCell ref="B29:O29"/>
    <mergeCell ref="B32:M32"/>
    <mergeCell ref="N32:O32"/>
    <mergeCell ref="B30:M30"/>
    <mergeCell ref="N30:O30"/>
    <mergeCell ref="B38:M38"/>
    <mergeCell ref="C43:D43"/>
    <mergeCell ref="E43:O43"/>
    <mergeCell ref="C54:O54"/>
    <mergeCell ref="C51:O51"/>
    <mergeCell ref="C52:O52"/>
    <mergeCell ref="C53:O53"/>
    <mergeCell ref="C48:O48"/>
    <mergeCell ref="C49:O49"/>
    <mergeCell ref="N38:O38"/>
    <mergeCell ref="B31:O31"/>
    <mergeCell ref="B33:O33"/>
    <mergeCell ref="B34:M34"/>
    <mergeCell ref="N34:O34"/>
    <mergeCell ref="B35:O35"/>
    <mergeCell ref="B36:M36"/>
    <mergeCell ref="B37:O37"/>
  </mergeCells>
  <phoneticPr fontId="92" type="noConversion"/>
  <hyperlinks>
    <hyperlink ref="H6" r:id="rId1" xr:uid="{00000000-0004-0000-0000-000000000000}"/>
    <hyperlink ref="B28" r:id="rId2" xr:uid="{0ED81FBF-9228-4C50-A5C3-AA98605A5277}"/>
    <hyperlink ref="B30" r:id="rId3" xr:uid="{76F99C9E-58E4-485A-823C-8D1973D65A9E}"/>
    <hyperlink ref="B32" r:id="rId4" xr:uid="{D302CEC7-7CBB-4938-BD18-4A72FDC41F63}"/>
    <hyperlink ref="B38" r:id="rId5" xr:uid="{76B92F49-7D00-4FEF-B5D0-DCBBE7D53E82}"/>
    <hyperlink ref="B34" r:id="rId6" xr:uid="{4091E304-482E-4156-BE2B-9EE262B1792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X58"/>
  <sheetViews>
    <sheetView zoomScale="85" zoomScaleNormal="85" workbookViewId="0">
      <selection activeCell="E19" sqref="E19"/>
    </sheetView>
  </sheetViews>
  <sheetFormatPr defaultColWidth="11.453125" defaultRowHeight="12.5" x14ac:dyDescent="0.25"/>
  <cols>
    <col min="1" max="1" width="3.54296875" style="22" customWidth="1"/>
    <col min="2" max="4" width="11.54296875" style="22" customWidth="1"/>
    <col min="5" max="16384" width="11.453125" style="22"/>
  </cols>
  <sheetData>
    <row r="1" spans="2:24" ht="19.5" customHeight="1" x14ac:dyDescent="0.25"/>
    <row r="2" spans="2:24" ht="19.5" customHeight="1" x14ac:dyDescent="0.25"/>
    <row r="3" spans="2:24" ht="33.75" customHeight="1" x14ac:dyDescent="0.25">
      <c r="G3" s="619" t="str">
        <f>+README!F3</f>
        <v>SBTi Chemicals Target Setting Tool</v>
      </c>
      <c r="H3" s="619"/>
      <c r="I3" s="619"/>
      <c r="J3" s="619"/>
      <c r="K3" s="619"/>
      <c r="L3" s="619"/>
      <c r="M3" s="619"/>
      <c r="N3" s="619"/>
      <c r="O3" s="619"/>
      <c r="P3" s="619"/>
      <c r="Q3" s="70"/>
      <c r="R3" s="70"/>
      <c r="S3" s="70"/>
      <c r="T3" s="70"/>
    </row>
    <row r="4" spans="2:24" ht="19.5" customHeight="1" x14ac:dyDescent="0.25"/>
    <row r="5" spans="2:24" ht="19.5" customHeight="1" x14ac:dyDescent="0.25">
      <c r="G5" s="67" t="s">
        <v>1</v>
      </c>
      <c r="H5" s="91"/>
      <c r="I5" s="536" t="str">
        <f>+README!H5</f>
        <v>CONSULTATION DRAFT</v>
      </c>
    </row>
    <row r="6" spans="2:24" ht="19.5" customHeight="1" x14ac:dyDescent="0.25">
      <c r="G6" s="67" t="s">
        <v>2</v>
      </c>
      <c r="H6" s="68"/>
      <c r="I6" s="69" t="s">
        <v>3</v>
      </c>
    </row>
    <row r="7" spans="2:24" ht="15.5" x14ac:dyDescent="0.35">
      <c r="B7" s="92"/>
      <c r="C7" s="92"/>
      <c r="D7" s="92"/>
      <c r="E7" s="92"/>
      <c r="F7" s="92"/>
      <c r="G7" s="92"/>
      <c r="H7" s="92"/>
      <c r="I7" s="92"/>
      <c r="J7" s="92"/>
      <c r="K7" s="92"/>
      <c r="L7" s="92"/>
      <c r="M7" s="92"/>
      <c r="N7" s="92"/>
      <c r="O7" s="92"/>
      <c r="P7" s="92"/>
    </row>
    <row r="8" spans="2:24" ht="15.5" x14ac:dyDescent="0.25">
      <c r="B8" s="93"/>
      <c r="C8" s="93"/>
      <c r="D8" s="93"/>
      <c r="E8" s="93"/>
      <c r="F8" s="93"/>
      <c r="G8" s="93"/>
      <c r="H8" s="93"/>
      <c r="I8" s="93"/>
      <c r="J8" s="93"/>
      <c r="K8" s="93"/>
      <c r="L8" s="93"/>
      <c r="M8" s="93"/>
      <c r="N8" s="93"/>
      <c r="O8" s="93"/>
      <c r="P8" s="93"/>
    </row>
    <row r="9" spans="2:24" ht="25" x14ac:dyDescent="0.25">
      <c r="B9" s="83" t="s">
        <v>33</v>
      </c>
      <c r="C9" s="99"/>
      <c r="D9" s="99"/>
      <c r="E9" s="99"/>
      <c r="F9" s="99"/>
      <c r="G9" s="99"/>
      <c r="H9" s="99"/>
      <c r="I9" s="99"/>
      <c r="J9" s="99"/>
      <c r="K9" s="99"/>
      <c r="L9" s="99"/>
      <c r="M9" s="99"/>
      <c r="N9" s="99"/>
      <c r="O9" s="99"/>
      <c r="P9" s="99"/>
    </row>
    <row r="10" spans="2:24" s="95" customFormat="1" x14ac:dyDescent="0.25">
      <c r="B10" s="94"/>
      <c r="C10" s="94"/>
      <c r="D10" s="94"/>
      <c r="E10" s="94"/>
      <c r="F10" s="94"/>
      <c r="G10" s="94"/>
      <c r="H10" s="94"/>
      <c r="I10" s="94"/>
      <c r="J10" s="94"/>
      <c r="K10" s="94"/>
      <c r="L10" s="94"/>
      <c r="M10" s="94"/>
      <c r="N10" s="94"/>
      <c r="O10" s="94"/>
      <c r="P10" s="94"/>
    </row>
    <row r="11" spans="2:24" ht="25" x14ac:dyDescent="0.25">
      <c r="B11" s="77" t="s">
        <v>34</v>
      </c>
      <c r="C11" s="80"/>
      <c r="D11" s="80"/>
      <c r="E11" s="80"/>
      <c r="F11" s="80"/>
      <c r="G11" s="80"/>
      <c r="H11" s="80"/>
      <c r="I11" s="80"/>
      <c r="J11" s="80"/>
      <c r="K11" s="80"/>
      <c r="L11" s="80"/>
      <c r="M11" s="80"/>
      <c r="N11" s="80"/>
      <c r="O11" s="80"/>
      <c r="P11" s="80"/>
    </row>
    <row r="12" spans="2:24" ht="25" x14ac:dyDescent="0.25">
      <c r="B12" s="77"/>
      <c r="C12" s="80"/>
      <c r="D12" s="80"/>
      <c r="E12" s="80"/>
      <c r="F12" s="80"/>
      <c r="G12" s="80"/>
      <c r="H12" s="80"/>
      <c r="I12" s="80"/>
      <c r="J12" s="80"/>
      <c r="K12" s="80"/>
      <c r="L12" s="80"/>
      <c r="M12" s="80"/>
      <c r="N12" s="80"/>
      <c r="O12" s="80"/>
      <c r="P12" s="80"/>
    </row>
    <row r="13" spans="2:24" s="91" customFormat="1" ht="33.75" customHeight="1" x14ac:dyDescent="0.25">
      <c r="B13" s="630" t="s">
        <v>35</v>
      </c>
      <c r="C13" s="630"/>
      <c r="D13" s="630"/>
      <c r="E13" s="79"/>
      <c r="F13" s="641" t="s">
        <v>36</v>
      </c>
      <c r="G13" s="641"/>
      <c r="H13" s="641"/>
      <c r="I13" s="100"/>
      <c r="J13" s="643" t="s">
        <v>37</v>
      </c>
      <c r="K13" s="643"/>
      <c r="L13" s="643"/>
      <c r="M13" s="100"/>
      <c r="N13" s="645" t="s">
        <v>38</v>
      </c>
      <c r="O13" s="645"/>
      <c r="P13" s="645"/>
      <c r="R13" s="636" t="s">
        <v>39</v>
      </c>
      <c r="S13" s="636"/>
      <c r="T13" s="636"/>
      <c r="V13" s="637" t="s">
        <v>40</v>
      </c>
      <c r="W13" s="637"/>
      <c r="X13" s="637"/>
    </row>
    <row r="14" spans="2:24" s="91" customFormat="1" ht="33.75" customHeight="1" x14ac:dyDescent="0.25">
      <c r="B14" s="630"/>
      <c r="C14" s="630"/>
      <c r="D14" s="630"/>
      <c r="E14" s="79"/>
      <c r="F14" s="641"/>
      <c r="G14" s="641"/>
      <c r="H14" s="641"/>
      <c r="I14" s="100"/>
      <c r="J14" s="643"/>
      <c r="K14" s="643"/>
      <c r="L14" s="643"/>
      <c r="M14" s="100"/>
      <c r="N14" s="645"/>
      <c r="O14" s="645"/>
      <c r="P14" s="645"/>
      <c r="R14" s="636"/>
      <c r="S14" s="636"/>
      <c r="T14" s="636"/>
      <c r="V14" s="637"/>
      <c r="W14" s="637"/>
      <c r="X14" s="637"/>
    </row>
    <row r="15" spans="2:24" s="91" customFormat="1" ht="38" customHeight="1" x14ac:dyDescent="0.25">
      <c r="B15" s="631" t="s">
        <v>41</v>
      </c>
      <c r="C15" s="631"/>
      <c r="D15" s="631"/>
      <c r="E15" s="78"/>
      <c r="F15" s="642" t="s">
        <v>553</v>
      </c>
      <c r="G15" s="642"/>
      <c r="H15" s="642"/>
      <c r="I15" s="101"/>
      <c r="J15" s="644" t="s">
        <v>42</v>
      </c>
      <c r="K15" s="644"/>
      <c r="L15" s="644"/>
      <c r="M15" s="101"/>
      <c r="N15" s="646" t="s">
        <v>554</v>
      </c>
      <c r="O15" s="646"/>
      <c r="P15" s="646"/>
      <c r="R15" s="640" t="s">
        <v>43</v>
      </c>
      <c r="S15" s="640"/>
      <c r="T15" s="640"/>
      <c r="V15" s="638" t="s">
        <v>555</v>
      </c>
      <c r="W15" s="638"/>
      <c r="X15" s="638"/>
    </row>
    <row r="16" spans="2:24" s="91" customFormat="1" ht="39.5" customHeight="1" x14ac:dyDescent="0.25">
      <c r="B16" s="631"/>
      <c r="C16" s="631"/>
      <c r="D16" s="631"/>
      <c r="E16" s="78"/>
      <c r="F16" s="642"/>
      <c r="G16" s="642"/>
      <c r="H16" s="642"/>
      <c r="I16" s="101"/>
      <c r="J16" s="644"/>
      <c r="K16" s="644"/>
      <c r="L16" s="644"/>
      <c r="M16" s="101"/>
      <c r="N16" s="646"/>
      <c r="O16" s="646"/>
      <c r="P16" s="646"/>
      <c r="R16" s="640"/>
      <c r="S16" s="640"/>
      <c r="T16" s="640"/>
      <c r="V16" s="638"/>
      <c r="W16" s="638"/>
      <c r="X16" s="638"/>
    </row>
    <row r="17" spans="2:24" ht="39" customHeight="1" x14ac:dyDescent="0.3">
      <c r="B17" s="631"/>
      <c r="C17" s="631"/>
      <c r="D17" s="631"/>
      <c r="E17" s="58"/>
      <c r="F17" s="642"/>
      <c r="G17" s="642"/>
      <c r="H17" s="642"/>
      <c r="I17" s="102"/>
      <c r="J17" s="644"/>
      <c r="K17" s="644"/>
      <c r="L17" s="644"/>
      <c r="M17" s="102"/>
      <c r="N17" s="646"/>
      <c r="O17" s="646"/>
      <c r="P17" s="646"/>
      <c r="R17" s="640"/>
      <c r="S17" s="640"/>
      <c r="T17" s="640"/>
      <c r="V17" s="639" t="s">
        <v>44</v>
      </c>
      <c r="W17" s="639"/>
      <c r="X17" s="639"/>
    </row>
    <row r="18" spans="2:24" ht="33.75" customHeight="1" x14ac:dyDescent="0.35">
      <c r="C18" s="58"/>
      <c r="D18" s="58"/>
      <c r="E18" s="58"/>
      <c r="F18" s="58"/>
      <c r="G18" s="58"/>
      <c r="H18" s="58"/>
      <c r="I18" s="58"/>
      <c r="J18" s="58"/>
      <c r="K18" s="58"/>
      <c r="L18" s="103" t="s">
        <v>45</v>
      </c>
      <c r="M18" s="58"/>
      <c r="N18" s="58"/>
      <c r="O18" s="58"/>
      <c r="P18" s="58"/>
    </row>
    <row r="19" spans="2:24" ht="33.75" customHeight="1" x14ac:dyDescent="0.25">
      <c r="B19" s="77" t="s">
        <v>571</v>
      </c>
      <c r="C19" s="58"/>
      <c r="D19" s="58"/>
      <c r="E19" s="58"/>
      <c r="F19" s="58"/>
      <c r="G19" s="58"/>
      <c r="H19" s="58"/>
    </row>
    <row r="20" spans="2:24" ht="8.25" customHeight="1" x14ac:dyDescent="0.25">
      <c r="B20" s="82"/>
      <c r="C20" s="85"/>
      <c r="D20" s="85"/>
      <c r="E20" s="85"/>
      <c r="F20" s="85"/>
      <c r="G20" s="85"/>
      <c r="H20" s="85"/>
      <c r="I20" s="104"/>
      <c r="J20" s="104"/>
      <c r="K20" s="104"/>
      <c r="L20" s="104"/>
      <c r="M20" s="104"/>
      <c r="N20" s="104"/>
      <c r="O20" s="104"/>
      <c r="P20" s="104"/>
    </row>
    <row r="21" spans="2:24" ht="23.25" customHeight="1" x14ac:dyDescent="0.25">
      <c r="B21" s="105">
        <v>1</v>
      </c>
      <c r="C21" s="634" t="s">
        <v>46</v>
      </c>
      <c r="D21" s="634"/>
      <c r="E21" s="634"/>
      <c r="F21" s="634"/>
      <c r="G21" s="634"/>
      <c r="H21" s="634"/>
      <c r="I21" s="634"/>
      <c r="J21" s="634"/>
      <c r="K21" s="634"/>
      <c r="L21" s="634"/>
      <c r="M21" s="634"/>
      <c r="N21" s="634"/>
      <c r="O21" s="634"/>
      <c r="P21" s="634"/>
      <c r="Q21"/>
    </row>
    <row r="22" spans="2:24" ht="24.75" customHeight="1" x14ac:dyDescent="0.35">
      <c r="B22" s="105">
        <v>2</v>
      </c>
      <c r="C22" s="634" t="s">
        <v>47</v>
      </c>
      <c r="D22" s="634"/>
      <c r="E22" s="634"/>
      <c r="F22" s="634"/>
      <c r="G22" s="634"/>
      <c r="H22" s="634"/>
      <c r="I22" s="634"/>
      <c r="J22" s="634"/>
      <c r="K22" s="634"/>
      <c r="L22" s="634"/>
      <c r="M22" s="634"/>
      <c r="N22" s="634"/>
      <c r="O22" s="634"/>
      <c r="P22" s="106"/>
    </row>
    <row r="23" spans="2:24" ht="26.25" customHeight="1" x14ac:dyDescent="0.35">
      <c r="B23" s="105">
        <v>3</v>
      </c>
      <c r="C23" s="634" t="s">
        <v>52</v>
      </c>
      <c r="D23" s="634"/>
      <c r="E23" s="634"/>
      <c r="F23" s="634"/>
      <c r="G23" s="634"/>
      <c r="H23" s="634"/>
      <c r="I23" s="634"/>
      <c r="J23" s="634"/>
      <c r="K23" s="634"/>
      <c r="L23" s="634"/>
      <c r="M23" s="634"/>
      <c r="N23" s="634"/>
      <c r="O23" s="634"/>
      <c r="P23" s="106"/>
    </row>
    <row r="24" spans="2:24" ht="24.75" customHeight="1" x14ac:dyDescent="0.35">
      <c r="B24" s="105">
        <v>4</v>
      </c>
      <c r="C24" s="634" t="s">
        <v>48</v>
      </c>
      <c r="D24" s="634"/>
      <c r="E24" s="634"/>
      <c r="F24" s="634"/>
      <c r="G24" s="634"/>
      <c r="H24" s="634"/>
      <c r="I24" s="634"/>
      <c r="J24" s="634"/>
      <c r="K24" s="634"/>
      <c r="L24" s="634"/>
      <c r="M24" s="634"/>
      <c r="N24" s="634"/>
      <c r="O24" s="634"/>
      <c r="P24" s="106"/>
    </row>
    <row r="25" spans="2:24" ht="23.25" customHeight="1" x14ac:dyDescent="0.35">
      <c r="B25" s="104"/>
      <c r="C25" s="106" t="s">
        <v>49</v>
      </c>
      <c r="D25" s="106"/>
      <c r="E25" s="106"/>
      <c r="F25" s="106"/>
      <c r="G25" s="106"/>
      <c r="H25" s="106"/>
      <c r="I25" s="106"/>
      <c r="J25" s="88"/>
      <c r="K25" s="88"/>
      <c r="L25" s="88"/>
      <c r="M25" s="88"/>
      <c r="N25" s="88"/>
      <c r="O25" s="88"/>
      <c r="P25" s="88"/>
    </row>
    <row r="26" spans="2:24" ht="9" customHeight="1" x14ac:dyDescent="0.25">
      <c r="B26" s="104"/>
      <c r="C26" s="104"/>
      <c r="D26" s="104"/>
      <c r="E26" s="104"/>
      <c r="F26" s="104"/>
      <c r="G26" s="104"/>
      <c r="H26" s="104"/>
      <c r="I26" s="85"/>
      <c r="J26" s="85"/>
      <c r="K26" s="85"/>
      <c r="L26" s="85"/>
      <c r="M26" s="85"/>
      <c r="N26" s="85"/>
      <c r="O26" s="85"/>
      <c r="P26" s="85"/>
    </row>
    <row r="27" spans="2:24" ht="33.75" customHeight="1" x14ac:dyDescent="0.25">
      <c r="B27" s="495" t="s">
        <v>50</v>
      </c>
      <c r="C27" s="58"/>
      <c r="D27" s="58"/>
      <c r="E27" s="58"/>
      <c r="F27" s="58"/>
      <c r="G27" s="58"/>
      <c r="H27" s="58"/>
    </row>
    <row r="28" spans="2:24" ht="9.75" customHeight="1" x14ac:dyDescent="0.25">
      <c r="B28" s="496"/>
      <c r="C28" s="497"/>
      <c r="D28" s="497"/>
      <c r="E28" s="497"/>
      <c r="F28" s="497"/>
      <c r="G28" s="497"/>
      <c r="H28" s="497"/>
      <c r="I28" s="453"/>
      <c r="J28" s="453"/>
      <c r="K28" s="453"/>
      <c r="L28" s="453"/>
      <c r="M28" s="453"/>
      <c r="N28" s="453"/>
      <c r="O28" s="453"/>
      <c r="P28" s="453"/>
    </row>
    <row r="29" spans="2:24" ht="25.5" customHeight="1" x14ac:dyDescent="0.25">
      <c r="B29" s="498">
        <v>1</v>
      </c>
      <c r="C29" s="635" t="s">
        <v>51</v>
      </c>
      <c r="D29" s="635"/>
      <c r="E29" s="635"/>
      <c r="F29" s="635"/>
      <c r="G29" s="635"/>
      <c r="H29" s="635"/>
      <c r="I29" s="635"/>
      <c r="J29" s="635"/>
      <c r="K29" s="635"/>
      <c r="L29" s="635"/>
      <c r="M29" s="635"/>
      <c r="N29" s="635"/>
      <c r="O29" s="635"/>
      <c r="P29" s="635"/>
      <c r="Q29"/>
    </row>
    <row r="30" spans="2:24" ht="25.5" customHeight="1" x14ac:dyDescent="0.35">
      <c r="B30" s="498">
        <v>2</v>
      </c>
      <c r="C30" s="635" t="s">
        <v>52</v>
      </c>
      <c r="D30" s="635"/>
      <c r="E30" s="635"/>
      <c r="F30" s="635"/>
      <c r="G30" s="635"/>
      <c r="H30" s="635"/>
      <c r="I30" s="635"/>
      <c r="J30" s="635"/>
      <c r="K30" s="635"/>
      <c r="L30" s="635"/>
      <c r="M30" s="635"/>
      <c r="N30" s="635"/>
      <c r="O30" s="635"/>
      <c r="P30" s="499"/>
    </row>
    <row r="31" spans="2:24" ht="39.75" customHeight="1" x14ac:dyDescent="0.35">
      <c r="B31" s="498">
        <v>3</v>
      </c>
      <c r="C31" s="635" t="s">
        <v>53</v>
      </c>
      <c r="D31" s="635"/>
      <c r="E31" s="635"/>
      <c r="F31" s="635"/>
      <c r="G31" s="635"/>
      <c r="H31" s="635"/>
      <c r="I31" s="635"/>
      <c r="J31" s="635"/>
      <c r="K31" s="635"/>
      <c r="L31" s="635"/>
      <c r="M31" s="635"/>
      <c r="N31" s="635"/>
      <c r="O31" s="635"/>
      <c r="P31" s="499"/>
    </row>
    <row r="32" spans="2:24" ht="22.5" customHeight="1" x14ac:dyDescent="0.35">
      <c r="B32" s="453"/>
      <c r="C32" s="499" t="s">
        <v>49</v>
      </c>
      <c r="D32" s="499"/>
      <c r="E32" s="499"/>
      <c r="F32" s="499"/>
      <c r="G32" s="499"/>
      <c r="H32" s="499"/>
      <c r="I32" s="499"/>
      <c r="J32" s="500"/>
      <c r="K32" s="500"/>
      <c r="L32" s="500"/>
      <c r="M32" s="500"/>
      <c r="N32" s="500"/>
      <c r="O32" s="500"/>
      <c r="P32" s="500"/>
    </row>
    <row r="33" spans="2:17" ht="10.5" customHeight="1" x14ac:dyDescent="0.25">
      <c r="B33" s="453"/>
      <c r="C33" s="453"/>
      <c r="D33" s="453"/>
      <c r="E33" s="453"/>
      <c r="F33" s="453"/>
      <c r="G33" s="453"/>
      <c r="H33" s="453"/>
      <c r="I33" s="497"/>
      <c r="J33" s="497"/>
      <c r="K33" s="497"/>
      <c r="L33" s="497"/>
      <c r="M33" s="497"/>
      <c r="N33" s="497"/>
      <c r="O33" s="497"/>
      <c r="P33" s="497"/>
    </row>
    <row r="34" spans="2:17" ht="33.75" customHeight="1" x14ac:dyDescent="0.25">
      <c r="B34" s="501" t="s">
        <v>54</v>
      </c>
      <c r="C34" s="58"/>
      <c r="D34" s="58"/>
      <c r="E34" s="58"/>
      <c r="F34" s="58"/>
      <c r="G34" s="58"/>
      <c r="H34" s="58"/>
    </row>
    <row r="35" spans="2:17" ht="8.25" customHeight="1" x14ac:dyDescent="0.25">
      <c r="B35" s="502"/>
      <c r="C35" s="503"/>
      <c r="D35" s="503"/>
      <c r="E35" s="503"/>
      <c r="F35" s="503"/>
      <c r="G35" s="503"/>
      <c r="H35" s="503"/>
      <c r="I35" s="493"/>
      <c r="J35" s="493"/>
      <c r="K35" s="493"/>
      <c r="L35" s="493"/>
      <c r="M35" s="493"/>
      <c r="N35" s="493"/>
      <c r="O35" s="493"/>
      <c r="P35" s="493"/>
    </row>
    <row r="36" spans="2:17" ht="23.25" customHeight="1" x14ac:dyDescent="0.25">
      <c r="B36" s="504">
        <v>1</v>
      </c>
      <c r="C36" s="633" t="s">
        <v>577</v>
      </c>
      <c r="D36" s="633"/>
      <c r="E36" s="633"/>
      <c r="F36" s="633"/>
      <c r="G36" s="633"/>
      <c r="H36" s="633"/>
      <c r="I36" s="633"/>
      <c r="J36" s="633"/>
      <c r="K36" s="633"/>
      <c r="L36" s="633"/>
      <c r="M36" s="633"/>
      <c r="N36" s="633"/>
      <c r="O36" s="633"/>
      <c r="P36" s="633"/>
      <c r="Q36"/>
    </row>
    <row r="37" spans="2:17" ht="26.25" customHeight="1" x14ac:dyDescent="0.35">
      <c r="B37" s="504">
        <v>2</v>
      </c>
      <c r="C37" s="633" t="s">
        <v>55</v>
      </c>
      <c r="D37" s="633"/>
      <c r="E37" s="633"/>
      <c r="F37" s="633"/>
      <c r="G37" s="633"/>
      <c r="H37" s="633"/>
      <c r="I37" s="633"/>
      <c r="J37" s="633"/>
      <c r="K37" s="633"/>
      <c r="L37" s="633"/>
      <c r="M37" s="633"/>
      <c r="N37" s="633"/>
      <c r="O37" s="633"/>
      <c r="P37" s="505"/>
    </row>
    <row r="38" spans="2:17" ht="23.25" customHeight="1" x14ac:dyDescent="0.35">
      <c r="B38" s="493"/>
      <c r="C38" s="505" t="s">
        <v>49</v>
      </c>
      <c r="D38" s="505"/>
      <c r="E38" s="505"/>
      <c r="F38" s="505"/>
      <c r="G38" s="505"/>
      <c r="H38" s="505"/>
      <c r="I38" s="505"/>
      <c r="J38" s="506"/>
      <c r="K38" s="506"/>
      <c r="L38" s="506"/>
      <c r="M38" s="506"/>
      <c r="N38" s="506"/>
      <c r="O38" s="506"/>
      <c r="P38" s="506"/>
    </row>
    <row r="39" spans="2:17" ht="9" customHeight="1" x14ac:dyDescent="0.25">
      <c r="B39" s="493"/>
      <c r="C39" s="493"/>
      <c r="D39" s="493"/>
      <c r="E39" s="493"/>
      <c r="F39" s="493"/>
      <c r="G39" s="493"/>
      <c r="H39" s="493"/>
      <c r="I39" s="503"/>
      <c r="J39" s="503"/>
      <c r="K39" s="503"/>
      <c r="L39" s="503"/>
      <c r="M39" s="503"/>
      <c r="N39" s="503"/>
      <c r="O39" s="503"/>
      <c r="P39" s="503"/>
    </row>
    <row r="40" spans="2:17" ht="33.75" customHeight="1" x14ac:dyDescent="0.25">
      <c r="B40" s="507" t="s">
        <v>56</v>
      </c>
      <c r="C40" s="58"/>
      <c r="D40" s="58"/>
      <c r="E40" s="58"/>
      <c r="F40" s="58"/>
      <c r="G40" s="58"/>
      <c r="H40" s="58"/>
    </row>
    <row r="41" spans="2:17" ht="9.75" customHeight="1" x14ac:dyDescent="0.25">
      <c r="B41" s="508"/>
      <c r="C41" s="509"/>
      <c r="D41" s="509"/>
      <c r="E41" s="509"/>
      <c r="F41" s="509"/>
      <c r="G41" s="509"/>
      <c r="H41" s="509"/>
      <c r="I41" s="510"/>
      <c r="J41" s="510"/>
      <c r="K41" s="510"/>
      <c r="L41" s="510"/>
      <c r="M41" s="510"/>
      <c r="N41" s="510"/>
      <c r="O41" s="510"/>
      <c r="P41" s="510"/>
    </row>
    <row r="42" spans="2:17" ht="25.5" customHeight="1" x14ac:dyDescent="0.25">
      <c r="B42" s="511">
        <v>1</v>
      </c>
      <c r="C42" s="632" t="s">
        <v>57</v>
      </c>
      <c r="D42" s="632"/>
      <c r="E42" s="632"/>
      <c r="F42" s="632"/>
      <c r="G42" s="632"/>
      <c r="H42" s="632"/>
      <c r="I42" s="632"/>
      <c r="J42" s="632"/>
      <c r="K42" s="632"/>
      <c r="L42" s="632"/>
      <c r="M42" s="632"/>
      <c r="N42" s="632"/>
      <c r="O42" s="632"/>
      <c r="P42" s="632"/>
      <c r="Q42"/>
    </row>
    <row r="43" spans="2:17" ht="25.5" customHeight="1" x14ac:dyDescent="0.35">
      <c r="B43" s="511">
        <v>2</v>
      </c>
      <c r="C43" s="632" t="s">
        <v>58</v>
      </c>
      <c r="D43" s="632"/>
      <c r="E43" s="632"/>
      <c r="F43" s="632"/>
      <c r="G43" s="632"/>
      <c r="H43" s="632"/>
      <c r="I43" s="632"/>
      <c r="J43" s="632"/>
      <c r="K43" s="632"/>
      <c r="L43" s="632"/>
      <c r="M43" s="632"/>
      <c r="N43" s="632"/>
      <c r="O43" s="632"/>
      <c r="P43" s="512"/>
    </row>
    <row r="44" spans="2:17" ht="39.75" customHeight="1" x14ac:dyDescent="0.35">
      <c r="B44" s="511">
        <v>3</v>
      </c>
      <c r="C44" s="632" t="s">
        <v>59</v>
      </c>
      <c r="D44" s="632"/>
      <c r="E44" s="632"/>
      <c r="F44" s="632"/>
      <c r="G44" s="632"/>
      <c r="H44" s="632"/>
      <c r="I44" s="632"/>
      <c r="J44" s="632"/>
      <c r="K44" s="632"/>
      <c r="L44" s="632"/>
      <c r="M44" s="632"/>
      <c r="N44" s="632"/>
      <c r="O44" s="632"/>
      <c r="P44" s="512"/>
    </row>
    <row r="45" spans="2:17" ht="23.25" customHeight="1" x14ac:dyDescent="0.35">
      <c r="B45" s="511">
        <v>4</v>
      </c>
      <c r="C45" s="632" t="s">
        <v>60</v>
      </c>
      <c r="D45" s="632"/>
      <c r="E45" s="632"/>
      <c r="F45" s="632"/>
      <c r="G45" s="632"/>
      <c r="H45" s="632"/>
      <c r="I45" s="632"/>
      <c r="J45" s="632"/>
      <c r="K45" s="632"/>
      <c r="L45" s="632"/>
      <c r="M45" s="632"/>
      <c r="N45" s="632"/>
      <c r="O45" s="632"/>
      <c r="P45" s="512"/>
    </row>
    <row r="46" spans="2:17" ht="22.5" customHeight="1" x14ac:dyDescent="0.35">
      <c r="B46" s="510"/>
      <c r="C46" s="512" t="s">
        <v>49</v>
      </c>
      <c r="D46" s="512"/>
      <c r="E46" s="512"/>
      <c r="F46" s="512"/>
      <c r="G46" s="512"/>
      <c r="H46" s="512"/>
      <c r="I46" s="512"/>
      <c r="J46" s="513"/>
      <c r="K46" s="513"/>
      <c r="L46" s="513"/>
      <c r="M46" s="513"/>
      <c r="N46" s="513"/>
      <c r="O46" s="513"/>
      <c r="P46" s="513"/>
    </row>
    <row r="47" spans="2:17" ht="33.75" customHeight="1" x14ac:dyDescent="0.25">
      <c r="C47" s="81"/>
      <c r="D47" s="81"/>
      <c r="E47" s="81"/>
      <c r="F47" s="81"/>
      <c r="G47" s="81"/>
      <c r="H47" s="81"/>
      <c r="I47" s="81"/>
      <c r="J47" s="81"/>
      <c r="K47" s="81"/>
      <c r="L47" s="81"/>
      <c r="M47" s="81"/>
      <c r="N47" s="81"/>
      <c r="O47" s="81"/>
      <c r="P47" s="81"/>
    </row>
    <row r="48" spans="2:17" ht="33.75" customHeight="1" x14ac:dyDescent="0.25">
      <c r="B48" s="77" t="s">
        <v>61</v>
      </c>
      <c r="C48" s="77"/>
      <c r="D48" s="527"/>
      <c r="E48" s="81"/>
      <c r="F48" s="81"/>
      <c r="G48" s="81"/>
      <c r="H48" s="81"/>
      <c r="I48" s="81"/>
      <c r="J48" s="81"/>
      <c r="K48" s="81"/>
      <c r="L48" s="81"/>
      <c r="M48" s="81"/>
      <c r="N48" s="81"/>
      <c r="O48" s="81"/>
      <c r="P48" s="81"/>
    </row>
    <row r="49" spans="2:16" ht="33.75" customHeight="1" thickBot="1" x14ac:dyDescent="0.3">
      <c r="B49" s="647" t="s">
        <v>62</v>
      </c>
      <c r="C49" s="647"/>
      <c r="D49" s="647"/>
      <c r="E49" s="647"/>
      <c r="F49" s="647"/>
      <c r="G49" s="647"/>
      <c r="H49" s="647"/>
      <c r="I49" s="647"/>
      <c r="J49" s="647"/>
      <c r="K49" s="647"/>
      <c r="L49" s="647"/>
      <c r="M49" s="81"/>
      <c r="N49" s="81"/>
      <c r="O49" s="81"/>
      <c r="P49" s="81"/>
    </row>
    <row r="50" spans="2:16" ht="33.75" customHeight="1" thickTop="1" thickBot="1" x14ac:dyDescent="0.3">
      <c r="B50" s="647" t="s">
        <v>63</v>
      </c>
      <c r="C50" s="647"/>
      <c r="D50" s="647"/>
      <c r="E50" s="647"/>
      <c r="F50" s="647"/>
      <c r="G50" s="647"/>
      <c r="H50" s="647"/>
      <c r="I50" s="647"/>
      <c r="J50" s="647"/>
      <c r="K50" s="647"/>
      <c r="L50" s="647"/>
      <c r="M50" s="81"/>
      <c r="N50" s="81"/>
      <c r="O50" s="81"/>
      <c r="P50" s="81"/>
    </row>
    <row r="51" spans="2:16" ht="33.75" customHeight="1" thickTop="1" thickBot="1" x14ac:dyDescent="0.3">
      <c r="B51" s="647" t="s">
        <v>535</v>
      </c>
      <c r="C51" s="647"/>
      <c r="D51" s="647"/>
      <c r="E51" s="647"/>
      <c r="F51" s="647"/>
      <c r="G51" s="647"/>
      <c r="H51" s="647"/>
      <c r="I51" s="647"/>
      <c r="J51" s="647"/>
      <c r="K51" s="647"/>
      <c r="L51" s="647"/>
      <c r="M51" s="81"/>
      <c r="N51" s="81"/>
      <c r="O51" s="81"/>
      <c r="P51" s="81"/>
    </row>
    <row r="52" spans="2:16" ht="33.75" customHeight="1" thickTop="1" thickBot="1" x14ac:dyDescent="0.3">
      <c r="B52" s="647" t="s">
        <v>536</v>
      </c>
      <c r="C52" s="647"/>
      <c r="D52" s="647"/>
      <c r="E52" s="647"/>
      <c r="F52" s="647"/>
      <c r="G52" s="647"/>
      <c r="H52" s="647"/>
      <c r="I52" s="647"/>
      <c r="J52" s="647"/>
      <c r="K52" s="647"/>
      <c r="L52" s="647"/>
      <c r="M52" s="81"/>
      <c r="N52" s="81"/>
      <c r="O52" s="81"/>
      <c r="P52" s="81"/>
    </row>
    <row r="53" spans="2:16" ht="33.75" customHeight="1" thickTop="1" thickBot="1" x14ac:dyDescent="0.3">
      <c r="B53" s="647" t="s">
        <v>64</v>
      </c>
      <c r="C53" s="647"/>
      <c r="D53" s="647"/>
      <c r="E53" s="647"/>
      <c r="F53" s="647"/>
      <c r="G53" s="647"/>
      <c r="H53" s="647"/>
      <c r="I53" s="647"/>
      <c r="J53" s="647"/>
      <c r="K53" s="647"/>
      <c r="L53" s="647"/>
      <c r="M53" s="81"/>
      <c r="N53" s="81"/>
      <c r="O53" s="81"/>
      <c r="P53" s="81"/>
    </row>
    <row r="54" spans="2:16" ht="33.75" customHeight="1" thickTop="1" thickBot="1" x14ac:dyDescent="0.3">
      <c r="B54" s="647" t="s">
        <v>65</v>
      </c>
      <c r="C54" s="647"/>
      <c r="D54" s="647"/>
      <c r="E54" s="647"/>
      <c r="F54" s="647"/>
      <c r="G54" s="647"/>
      <c r="H54" s="647"/>
      <c r="I54" s="647"/>
      <c r="J54" s="647"/>
      <c r="K54" s="647"/>
      <c r="L54" s="647"/>
      <c r="M54" s="81"/>
      <c r="N54" s="81"/>
      <c r="O54" s="81"/>
      <c r="P54" s="81"/>
    </row>
    <row r="55" spans="2:16" ht="19.5" customHeight="1" thickTop="1" x14ac:dyDescent="0.25">
      <c r="B55" s="91"/>
      <c r="C55" s="91"/>
      <c r="D55" s="91"/>
      <c r="E55" s="91"/>
      <c r="F55" s="91"/>
      <c r="G55" s="91"/>
      <c r="H55" s="91"/>
      <c r="I55" s="91"/>
      <c r="J55" s="91"/>
      <c r="K55" s="91"/>
      <c r="L55" s="91"/>
      <c r="M55" s="91"/>
      <c r="N55" s="91"/>
      <c r="O55" s="91"/>
      <c r="P55" s="91"/>
    </row>
    <row r="56" spans="2:16" ht="19.5" customHeight="1" x14ac:dyDescent="0.25">
      <c r="B56" s="91"/>
      <c r="C56" s="91"/>
      <c r="D56" s="91"/>
      <c r="E56" s="91"/>
      <c r="F56" s="91"/>
      <c r="G56" s="91"/>
      <c r="H56" s="91"/>
      <c r="I56" s="91"/>
      <c r="J56" s="91"/>
      <c r="K56" s="91"/>
      <c r="L56" s="91"/>
      <c r="M56" s="91"/>
      <c r="N56" s="91"/>
      <c r="O56" s="91"/>
      <c r="P56" s="91"/>
    </row>
    <row r="57" spans="2:16" ht="19.5" customHeight="1" x14ac:dyDescent="0.25">
      <c r="B57" s="91"/>
      <c r="C57" s="91"/>
      <c r="D57" s="91"/>
      <c r="E57" s="91"/>
      <c r="F57" s="91"/>
      <c r="G57" s="91"/>
      <c r="H57" s="91"/>
      <c r="I57" s="91"/>
      <c r="J57" s="91"/>
      <c r="K57" s="91"/>
      <c r="L57" s="91"/>
      <c r="M57" s="91"/>
      <c r="N57" s="91"/>
      <c r="O57" s="91"/>
      <c r="P57" s="91"/>
    </row>
    <row r="58" spans="2:16" x14ac:dyDescent="0.25">
      <c r="B58" s="91"/>
      <c r="C58" s="91"/>
      <c r="D58" s="91"/>
      <c r="E58" s="91"/>
      <c r="F58" s="91"/>
      <c r="G58" s="91"/>
      <c r="H58" s="91"/>
      <c r="I58" s="91"/>
      <c r="J58" s="91"/>
      <c r="K58" s="91"/>
      <c r="L58" s="91"/>
      <c r="M58" s="91"/>
      <c r="N58" s="91"/>
      <c r="O58" s="91"/>
      <c r="P58" s="91"/>
    </row>
  </sheetData>
  <sheetProtection algorithmName="SHA-512" hashValue="7L5t9ZhQ8ECBmN2jEDX0lpYcop4X2jzuGnH3v4iIgyubt/4ceNomIANHi//mQ/nGf0XXfSTBwnVyT7LqpO9lvw==" saltValue="HXct76aYzbuPCBbkm95gcw==" spinCount="100000" sheet="1" objects="1" scenarios="1"/>
  <mergeCells count="33">
    <mergeCell ref="B49:L49"/>
    <mergeCell ref="B50:L50"/>
    <mergeCell ref="C24:O24"/>
    <mergeCell ref="B54:L54"/>
    <mergeCell ref="B51:L51"/>
    <mergeCell ref="B53:L53"/>
    <mergeCell ref="C31:O31"/>
    <mergeCell ref="C36:P36"/>
    <mergeCell ref="B52:L52"/>
    <mergeCell ref="G3:P3"/>
    <mergeCell ref="F13:H14"/>
    <mergeCell ref="F15:H17"/>
    <mergeCell ref="J13:L14"/>
    <mergeCell ref="J15:L17"/>
    <mergeCell ref="N13:P14"/>
    <mergeCell ref="N15:P17"/>
    <mergeCell ref="R13:T14"/>
    <mergeCell ref="V13:X14"/>
    <mergeCell ref="V15:X16"/>
    <mergeCell ref="V17:X17"/>
    <mergeCell ref="R15:T17"/>
    <mergeCell ref="B13:D14"/>
    <mergeCell ref="B15:D17"/>
    <mergeCell ref="C45:O45"/>
    <mergeCell ref="C37:O37"/>
    <mergeCell ref="C42:P42"/>
    <mergeCell ref="C43:O43"/>
    <mergeCell ref="C44:O44"/>
    <mergeCell ref="C21:P21"/>
    <mergeCell ref="C22:O22"/>
    <mergeCell ref="C23:O23"/>
    <mergeCell ref="C29:P29"/>
    <mergeCell ref="C30:O30"/>
  </mergeCells>
  <hyperlinks>
    <hyperlink ref="I6" r:id="rId1" xr:uid="{00000000-0004-0000-0100-000000000000}"/>
    <hyperlink ref="B50:L50" r:id="rId2" display="SBTi Step by step guide " xr:uid="{00000000-0004-0000-0100-000002000000}"/>
    <hyperlink ref="B53:L53" r:id="rId3" display="Target setting methods" xr:uid="{00000000-0004-0000-0100-000004000000}"/>
    <hyperlink ref="B51:L51" r:id="rId4" display="SBTi Criteria and recommendations" xr:uid="{00000000-0004-0000-0100-000005000000}"/>
    <hyperlink ref="B54:L54" r:id="rId5" display="Foundations of Science-based Target Setting" xr:uid="{00000000-0004-0000-0100-000007000000}"/>
    <hyperlink ref="B49:L49" r:id="rId6" display="Science Based Targets initiative website" xr:uid="{00000000-0004-0000-0100-000008000000}"/>
    <hyperlink ref="V17:X17" location="README!B25" display="Review data references here. " xr:uid="{83278463-1870-41F0-8D87-64E6A936ABBC}"/>
    <hyperlink ref="B52:L52" r:id="rId7" display="SBTi Corporate Net-Zero Standard" xr:uid="{293C5DA4-91BA-4429-8BF3-AF79D8B0370C}"/>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AEA0-6A8E-4524-B77F-98A8BC2F5521}">
  <sheetPr codeName="Sheet10">
    <tabColor rgb="FF00546E"/>
  </sheetPr>
  <dimension ref="B2:T29"/>
  <sheetViews>
    <sheetView zoomScale="85" zoomScaleNormal="85" workbookViewId="0">
      <selection activeCell="B18" sqref="B18:P23"/>
    </sheetView>
  </sheetViews>
  <sheetFormatPr defaultColWidth="9.1796875" defaultRowHeight="12.5" x14ac:dyDescent="0.25"/>
  <cols>
    <col min="1" max="1" width="2.453125" customWidth="1"/>
    <col min="2" max="2" width="4.54296875" customWidth="1"/>
    <col min="3" max="3" width="49.1796875" customWidth="1"/>
    <col min="4" max="4" width="3" customWidth="1"/>
    <col min="5" max="5" width="31.453125" customWidth="1"/>
    <col min="6" max="6" width="2.81640625" customWidth="1"/>
    <col min="7" max="7" width="31.453125" customWidth="1"/>
    <col min="8" max="8" width="2.81640625" customWidth="1"/>
    <col min="9" max="9" width="31.453125" customWidth="1"/>
    <col min="10" max="10" width="2.81640625" customWidth="1"/>
    <col min="11" max="13" width="14.453125" customWidth="1"/>
    <col min="14" max="35" width="11.453125" customWidth="1"/>
  </cols>
  <sheetData>
    <row r="2" spans="2:20" ht="22.5" x14ac:dyDescent="0.45">
      <c r="D2" s="107"/>
    </row>
    <row r="3" spans="2:20" ht="28" x14ac:dyDescent="0.25">
      <c r="E3" s="108" t="s">
        <v>565</v>
      </c>
      <c r="F3" s="109"/>
      <c r="G3" s="109"/>
    </row>
    <row r="4" spans="2:20" ht="20.149999999999999" customHeight="1" x14ac:dyDescent="0.25"/>
    <row r="5" spans="2:20" ht="20.149999999999999" customHeight="1" x14ac:dyDescent="0.25">
      <c r="E5" s="110" t="s">
        <v>1</v>
      </c>
      <c r="F5" s="109"/>
      <c r="G5" s="542" t="str">
        <f>+README!H5</f>
        <v>CONSULTATION DRAFT</v>
      </c>
    </row>
    <row r="6" spans="2:20" ht="20.149999999999999" customHeight="1" x14ac:dyDescent="0.25">
      <c r="E6" s="110" t="s">
        <v>2</v>
      </c>
      <c r="F6" s="109"/>
      <c r="G6" s="111" t="s">
        <v>3</v>
      </c>
    </row>
    <row r="7" spans="2:20" ht="19.5" customHeight="1" x14ac:dyDescent="0.25"/>
    <row r="8" spans="2:20" ht="15.5" x14ac:dyDescent="0.35">
      <c r="C8" s="112"/>
      <c r="D8" s="112"/>
      <c r="E8" s="112"/>
      <c r="F8" s="112"/>
      <c r="G8" s="112"/>
      <c r="H8" s="112"/>
      <c r="I8" s="112"/>
      <c r="J8" s="112"/>
      <c r="K8" s="112"/>
      <c r="L8" s="112"/>
      <c r="M8" s="112"/>
      <c r="N8" s="112"/>
      <c r="O8" s="112"/>
      <c r="P8" s="112"/>
      <c r="Q8" s="112"/>
      <c r="R8" s="112"/>
      <c r="S8" s="112"/>
      <c r="T8" s="112"/>
    </row>
    <row r="10" spans="2:20" ht="25" x14ac:dyDescent="0.5">
      <c r="C10" s="525" t="s">
        <v>566</v>
      </c>
    </row>
    <row r="11" spans="2:20" ht="34.5" customHeight="1" x14ac:dyDescent="0.25">
      <c r="C11" s="656" t="s">
        <v>574</v>
      </c>
      <c r="D11" s="657"/>
      <c r="E11" s="657"/>
      <c r="F11" s="657"/>
      <c r="G11" s="657"/>
      <c r="H11" s="657"/>
      <c r="I11" s="657"/>
      <c r="J11" s="657"/>
      <c r="K11" s="657"/>
      <c r="L11" s="657"/>
      <c r="M11" s="657"/>
      <c r="N11" s="657"/>
      <c r="O11" s="657"/>
      <c r="P11" s="658"/>
    </row>
    <row r="12" spans="2:20" ht="8" customHeight="1" x14ac:dyDescent="0.5">
      <c r="C12" s="525"/>
    </row>
    <row r="13" spans="2:20" ht="19.5" customHeight="1" x14ac:dyDescent="0.25">
      <c r="B13" s="648" t="s">
        <v>520</v>
      </c>
      <c r="C13" s="650" t="s">
        <v>521</v>
      </c>
      <c r="D13" s="651"/>
      <c r="E13" s="651"/>
      <c r="F13" s="651"/>
      <c r="G13" s="651"/>
      <c r="H13" s="651"/>
      <c r="I13" s="651"/>
      <c r="J13" s="651"/>
      <c r="K13" s="651"/>
      <c r="L13" s="651"/>
      <c r="M13" s="651"/>
      <c r="N13" s="651"/>
      <c r="O13" s="651"/>
      <c r="P13" s="652"/>
    </row>
    <row r="14" spans="2:20" ht="19.5" customHeight="1" x14ac:dyDescent="0.25">
      <c r="B14" s="649"/>
      <c r="C14" s="653"/>
      <c r="D14" s="654"/>
      <c r="E14" s="654"/>
      <c r="F14" s="654"/>
      <c r="G14" s="654"/>
      <c r="H14" s="654"/>
      <c r="I14" s="654"/>
      <c r="J14" s="654"/>
      <c r="K14" s="654"/>
      <c r="L14" s="654"/>
      <c r="M14" s="654"/>
      <c r="N14" s="654"/>
      <c r="O14" s="654"/>
      <c r="P14" s="655"/>
    </row>
    <row r="15" spans="2:20" ht="5" customHeight="1" x14ac:dyDescent="0.3">
      <c r="B15" s="1"/>
      <c r="C15" s="526"/>
      <c r="D15" s="526"/>
      <c r="E15" s="526"/>
      <c r="F15" s="526"/>
      <c r="G15" s="526"/>
      <c r="H15" s="526"/>
      <c r="I15" s="526"/>
      <c r="J15" s="526"/>
      <c r="K15" s="526"/>
      <c r="L15" s="526"/>
      <c r="M15" s="526"/>
      <c r="N15" s="526"/>
      <c r="O15" s="526"/>
      <c r="P15" s="526"/>
    </row>
    <row r="16" spans="2:20" ht="18.75" customHeight="1" x14ac:dyDescent="0.25">
      <c r="B16" s="648" t="s">
        <v>522</v>
      </c>
      <c r="C16" s="650" t="s">
        <v>572</v>
      </c>
      <c r="D16" s="651"/>
      <c r="E16" s="651"/>
      <c r="F16" s="651"/>
      <c r="G16" s="651"/>
      <c r="H16" s="651"/>
      <c r="I16" s="651"/>
      <c r="J16" s="651"/>
      <c r="K16" s="651"/>
      <c r="L16" s="651"/>
      <c r="M16" s="651"/>
      <c r="N16" s="651"/>
      <c r="O16" s="651"/>
      <c r="P16" s="652"/>
    </row>
    <row r="17" spans="2:16" ht="18.75" customHeight="1" x14ac:dyDescent="0.25">
      <c r="B17" s="649"/>
      <c r="C17" s="653"/>
      <c r="D17" s="654"/>
      <c r="E17" s="654"/>
      <c r="F17" s="654"/>
      <c r="G17" s="654"/>
      <c r="H17" s="654"/>
      <c r="I17" s="654"/>
      <c r="J17" s="654"/>
      <c r="K17" s="654"/>
      <c r="L17" s="654"/>
      <c r="M17" s="654"/>
      <c r="N17" s="654"/>
      <c r="O17" s="654"/>
      <c r="P17" s="655"/>
    </row>
    <row r="18" spans="2:16" ht="4" customHeight="1" x14ac:dyDescent="0.3">
      <c r="B18" s="1"/>
    </row>
    <row r="19" spans="2:16" ht="19.5" customHeight="1" x14ac:dyDescent="0.25">
      <c r="B19" s="648" t="s">
        <v>523</v>
      </c>
      <c r="C19" s="650" t="s">
        <v>524</v>
      </c>
      <c r="D19" s="651"/>
      <c r="E19" s="651"/>
      <c r="F19" s="651"/>
      <c r="G19" s="651"/>
      <c r="H19" s="651"/>
      <c r="I19" s="651"/>
      <c r="J19" s="651"/>
      <c r="K19" s="651"/>
      <c r="L19" s="651"/>
      <c r="M19" s="651"/>
      <c r="N19" s="651"/>
      <c r="O19" s="651"/>
      <c r="P19" s="652"/>
    </row>
    <row r="20" spans="2:16" ht="19.5" customHeight="1" x14ac:dyDescent="0.25">
      <c r="B20" s="649"/>
      <c r="C20" s="653"/>
      <c r="D20" s="654"/>
      <c r="E20" s="654"/>
      <c r="F20" s="654"/>
      <c r="G20" s="654"/>
      <c r="H20" s="654"/>
      <c r="I20" s="654"/>
      <c r="J20" s="654"/>
      <c r="K20" s="654"/>
      <c r="L20" s="654"/>
      <c r="M20" s="654"/>
      <c r="N20" s="654"/>
      <c r="O20" s="654"/>
      <c r="P20" s="655"/>
    </row>
    <row r="21" spans="2:16" ht="5.5" customHeight="1" x14ac:dyDescent="0.3">
      <c r="B21" s="1"/>
    </row>
    <row r="22" spans="2:16" ht="25.5" customHeight="1" x14ac:dyDescent="0.25">
      <c r="B22" s="648" t="s">
        <v>525</v>
      </c>
      <c r="C22" s="650" t="s">
        <v>526</v>
      </c>
      <c r="D22" s="651"/>
      <c r="E22" s="651"/>
      <c r="F22" s="651"/>
      <c r="G22" s="651"/>
      <c r="H22" s="651"/>
      <c r="I22" s="651"/>
      <c r="J22" s="651"/>
      <c r="K22" s="651"/>
      <c r="L22" s="651"/>
      <c r="M22" s="651"/>
      <c r="N22" s="651"/>
      <c r="O22" s="651"/>
      <c r="P22" s="652"/>
    </row>
    <row r="23" spans="2:16" ht="25.5" customHeight="1" x14ac:dyDescent="0.25">
      <c r="B23" s="649"/>
      <c r="C23" s="653"/>
      <c r="D23" s="654"/>
      <c r="E23" s="654"/>
      <c r="F23" s="654"/>
      <c r="G23" s="654"/>
      <c r="H23" s="654"/>
      <c r="I23" s="654"/>
      <c r="J23" s="654"/>
      <c r="K23" s="654"/>
      <c r="L23" s="654"/>
      <c r="M23" s="654"/>
      <c r="N23" s="654"/>
      <c r="O23" s="654"/>
      <c r="P23" s="655"/>
    </row>
    <row r="24" spans="2:16" ht="8" customHeight="1" x14ac:dyDescent="0.3">
      <c r="B24" s="1"/>
    </row>
    <row r="25" spans="2:16" ht="27.5" customHeight="1" x14ac:dyDescent="0.25">
      <c r="B25" s="648" t="s">
        <v>567</v>
      </c>
      <c r="C25" s="650" t="s">
        <v>583</v>
      </c>
      <c r="D25" s="651"/>
      <c r="E25" s="651"/>
      <c r="F25" s="651"/>
      <c r="G25" s="651"/>
      <c r="H25" s="651"/>
      <c r="I25" s="651"/>
      <c r="J25" s="651"/>
      <c r="K25" s="651"/>
      <c r="L25" s="651"/>
      <c r="M25" s="651"/>
      <c r="N25" s="651"/>
      <c r="O25" s="651"/>
      <c r="P25" s="652"/>
    </row>
    <row r="26" spans="2:16" ht="27.5" customHeight="1" x14ac:dyDescent="0.25">
      <c r="B26" s="649"/>
      <c r="C26" s="653"/>
      <c r="D26" s="654"/>
      <c r="E26" s="654"/>
      <c r="F26" s="654"/>
      <c r="G26" s="654"/>
      <c r="H26" s="654"/>
      <c r="I26" s="654"/>
      <c r="J26" s="654"/>
      <c r="K26" s="654"/>
      <c r="L26" s="654"/>
      <c r="M26" s="654"/>
      <c r="N26" s="654"/>
      <c r="O26" s="654"/>
      <c r="P26" s="655"/>
    </row>
    <row r="27" spans="2:16" ht="8" customHeight="1" x14ac:dyDescent="0.3">
      <c r="B27" s="1"/>
    </row>
    <row r="28" spans="2:16" ht="27.5" customHeight="1" x14ac:dyDescent="0.25">
      <c r="B28" s="648" t="s">
        <v>576</v>
      </c>
      <c r="C28" s="650" t="s">
        <v>573</v>
      </c>
      <c r="D28" s="651"/>
      <c r="E28" s="651"/>
      <c r="F28" s="651"/>
      <c r="G28" s="651"/>
      <c r="H28" s="651"/>
      <c r="I28" s="651"/>
      <c r="J28" s="651"/>
      <c r="K28" s="651"/>
      <c r="L28" s="651"/>
      <c r="M28" s="651"/>
      <c r="N28" s="651"/>
      <c r="O28" s="651"/>
      <c r="P28" s="652"/>
    </row>
    <row r="29" spans="2:16" ht="27.5" customHeight="1" x14ac:dyDescent="0.25">
      <c r="B29" s="649"/>
      <c r="C29" s="653"/>
      <c r="D29" s="654"/>
      <c r="E29" s="654"/>
      <c r="F29" s="654"/>
      <c r="G29" s="654"/>
      <c r="H29" s="654"/>
      <c r="I29" s="654"/>
      <c r="J29" s="654"/>
      <c r="K29" s="654"/>
      <c r="L29" s="654"/>
      <c r="M29" s="654"/>
      <c r="N29" s="654"/>
      <c r="O29" s="654"/>
      <c r="P29" s="655"/>
    </row>
  </sheetData>
  <sheetProtection algorithmName="SHA-512" hashValue="U0/bimz7AqgA2iEG81ooDNXB93l/L6A5CtsIrzwLoHpVESs/LgVuYb6qfdWCZpTplYywlT5II1R9uC9Sy5F2vg==" saltValue="AMwiTtp6vkUQNat0OwqjFA==" spinCount="100000" sheet="1" objects="1" scenarios="1"/>
  <mergeCells count="13">
    <mergeCell ref="B28:B29"/>
    <mergeCell ref="C28:P29"/>
    <mergeCell ref="C11:P11"/>
    <mergeCell ref="B25:B26"/>
    <mergeCell ref="C25:P26"/>
    <mergeCell ref="B22:B23"/>
    <mergeCell ref="C22:P23"/>
    <mergeCell ref="B13:B14"/>
    <mergeCell ref="C13:P14"/>
    <mergeCell ref="B16:B17"/>
    <mergeCell ref="C16:P17"/>
    <mergeCell ref="B19:B20"/>
    <mergeCell ref="C19:P20"/>
  </mergeCells>
  <hyperlinks>
    <hyperlink ref="G6" r:id="rId1" xr:uid="{315CF1C1-A482-42A8-BB76-DFB6C3894AC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15"/>
  <sheetViews>
    <sheetView topLeftCell="A60" zoomScale="85" zoomScaleNormal="85" workbookViewId="0">
      <selection activeCell="D19" sqref="D19"/>
    </sheetView>
  </sheetViews>
  <sheetFormatPr defaultColWidth="9.1796875" defaultRowHeight="12.5" x14ac:dyDescent="0.25"/>
  <cols>
    <col min="1" max="1" width="2.453125" style="537" customWidth="1"/>
    <col min="2" max="2" width="67.54296875" style="537" customWidth="1"/>
    <col min="3" max="3" width="3" style="537" customWidth="1"/>
    <col min="4" max="4" width="31.453125" style="537" customWidth="1"/>
    <col min="5" max="5" width="2.81640625" style="537" customWidth="1"/>
    <col min="6" max="6" width="31.453125" style="537" customWidth="1"/>
    <col min="7" max="7" width="2.81640625" style="537" customWidth="1"/>
    <col min="8" max="8" width="31.453125" style="537" customWidth="1"/>
    <col min="9" max="9" width="2.81640625" style="537" customWidth="1"/>
    <col min="10" max="12" width="14.453125" style="537" customWidth="1"/>
    <col min="13" max="34" width="11.453125" style="537" customWidth="1"/>
    <col min="35" max="16384" width="9.1796875" style="537"/>
  </cols>
  <sheetData>
    <row r="2" spans="2:20" ht="20.149999999999999" customHeight="1" x14ac:dyDescent="0.45">
      <c r="C2" s="538"/>
    </row>
    <row r="3" spans="2:20" ht="30" customHeight="1" x14ac:dyDescent="0.25">
      <c r="D3" s="539" t="s">
        <v>66</v>
      </c>
      <c r="E3" s="540"/>
      <c r="F3" s="540"/>
    </row>
    <row r="4" spans="2:20" ht="20.149999999999999" customHeight="1" x14ac:dyDescent="0.25"/>
    <row r="5" spans="2:20" ht="20.149999999999999" customHeight="1" x14ac:dyDescent="0.25">
      <c r="D5" s="541" t="s">
        <v>1</v>
      </c>
      <c r="E5" s="540"/>
      <c r="F5" s="542" t="str">
        <f>+README!H5</f>
        <v>CONSULTATION DRAFT</v>
      </c>
    </row>
    <row r="6" spans="2:20" ht="20.149999999999999" customHeight="1" x14ac:dyDescent="0.25">
      <c r="D6" s="541" t="s">
        <v>2</v>
      </c>
      <c r="E6" s="540"/>
      <c r="F6" s="111" t="s">
        <v>3</v>
      </c>
    </row>
    <row r="7" spans="2:20" ht="19.5" customHeight="1" x14ac:dyDescent="0.25"/>
    <row r="8" spans="2:20" ht="12.75" customHeight="1" x14ac:dyDescent="0.35">
      <c r="B8" s="543"/>
      <c r="C8" s="543"/>
      <c r="D8" s="543"/>
      <c r="E8" s="543"/>
      <c r="F8" s="543"/>
      <c r="G8" s="543"/>
      <c r="H8" s="543"/>
      <c r="I8" s="543"/>
      <c r="J8" s="543"/>
      <c r="K8" s="543"/>
      <c r="L8" s="543"/>
      <c r="M8" s="543"/>
      <c r="N8" s="543"/>
      <c r="O8" s="543"/>
      <c r="P8" s="543"/>
      <c r="Q8" s="543"/>
      <c r="R8" s="543"/>
      <c r="S8" s="543"/>
    </row>
    <row r="9" spans="2:20" ht="20.149999999999999" customHeight="1" x14ac:dyDescent="0.35">
      <c r="B9" s="544"/>
    </row>
    <row r="10" spans="2:20" ht="20.149999999999999" customHeight="1" x14ac:dyDescent="0.5">
      <c r="B10" s="544" t="s">
        <v>67</v>
      </c>
      <c r="D10" s="545"/>
    </row>
    <row r="11" spans="2:20" ht="12.75" customHeight="1" x14ac:dyDescent="0.3">
      <c r="D11" s="546"/>
      <c r="J11" s="547" t="s">
        <v>68</v>
      </c>
    </row>
    <row r="12" spans="2:20" ht="12.75" customHeight="1" thickBot="1" x14ac:dyDescent="0.35">
      <c r="K12" s="547"/>
      <c r="R12" s="548"/>
      <c r="S12" s="548"/>
      <c r="T12" s="548"/>
    </row>
    <row r="13" spans="2:20" ht="20.149999999999999" customHeight="1" thickTop="1" thickBot="1" x14ac:dyDescent="0.3">
      <c r="B13" s="549" t="s">
        <v>69</v>
      </c>
      <c r="C13" s="550" t="str">
        <f>""</f>
        <v/>
      </c>
      <c r="D13" s="551" t="s">
        <v>26</v>
      </c>
      <c r="E13" s="550"/>
      <c r="F13" s="552"/>
      <c r="J13" s="659" t="s">
        <v>70</v>
      </c>
      <c r="K13" s="659"/>
      <c r="L13" s="659"/>
      <c r="M13" s="659"/>
      <c r="N13" s="659"/>
      <c r="O13" s="659"/>
      <c r="P13" s="659"/>
      <c r="Q13" s="659"/>
      <c r="R13" s="548"/>
      <c r="S13" s="548"/>
      <c r="T13" s="548"/>
    </row>
    <row r="14" spans="2:20" ht="20.149999999999999" customHeight="1" thickTop="1" thickBot="1" x14ac:dyDescent="0.3">
      <c r="B14" s="549" t="s">
        <v>71</v>
      </c>
      <c r="C14" s="550" t="str">
        <f>""</f>
        <v/>
      </c>
      <c r="D14" s="551" t="s">
        <v>72</v>
      </c>
      <c r="E14" s="550" t="str">
        <f>""</f>
        <v/>
      </c>
      <c r="F14" s="552" t="str">
        <f>IF($D$13=Lists!$N$3,"Not applicable","")</f>
        <v/>
      </c>
      <c r="J14" s="659"/>
      <c r="K14" s="659"/>
      <c r="L14" s="659"/>
      <c r="M14" s="659"/>
      <c r="N14" s="659"/>
      <c r="O14" s="659"/>
      <c r="P14" s="659"/>
      <c r="Q14" s="659"/>
      <c r="R14" s="548"/>
      <c r="S14" s="548"/>
      <c r="T14" s="548"/>
    </row>
    <row r="15" spans="2:20" ht="20.149999999999999" customHeight="1" thickTop="1" thickBot="1" x14ac:dyDescent="0.3">
      <c r="B15" s="553" t="s">
        <v>73</v>
      </c>
      <c r="C15" s="550" t="str">
        <f>""</f>
        <v/>
      </c>
      <c r="D15" s="115" t="s">
        <v>74</v>
      </c>
      <c r="E15" s="550" t="str">
        <f>""</f>
        <v/>
      </c>
      <c r="F15" s="552" t="str">
        <f>IF(ISTEXT($D$13)=TRUE,IF($D$13=Lists!$N$3,"Not applicable","Select a chemical"),"")</f>
        <v>Select a chemical</v>
      </c>
      <c r="J15" s="659"/>
      <c r="K15" s="659"/>
      <c r="L15" s="659"/>
      <c r="M15" s="659"/>
      <c r="N15" s="659"/>
      <c r="O15" s="659"/>
      <c r="P15" s="659"/>
      <c r="Q15" s="659"/>
      <c r="R15" s="548"/>
      <c r="S15" s="548"/>
      <c r="T15" s="548"/>
    </row>
    <row r="16" spans="2:20" ht="20.149999999999999" customHeight="1" thickTop="1" thickBot="1" x14ac:dyDescent="0.3">
      <c r="B16" s="553" t="s">
        <v>75</v>
      </c>
      <c r="C16" s="550" t="str">
        <f>""</f>
        <v/>
      </c>
      <c r="D16" s="115">
        <v>2020</v>
      </c>
      <c r="E16" s="550" t="str">
        <f>""</f>
        <v/>
      </c>
      <c r="F16" s="552" t="s">
        <v>76</v>
      </c>
      <c r="J16" s="659"/>
      <c r="K16" s="659"/>
      <c r="L16" s="659"/>
      <c r="M16" s="659"/>
      <c r="N16" s="659"/>
      <c r="O16" s="659"/>
      <c r="P16" s="659"/>
      <c r="Q16" s="659"/>
    </row>
    <row r="17" spans="2:20" ht="20.149999999999999" customHeight="1" thickTop="1" thickBot="1" x14ac:dyDescent="0.3">
      <c r="B17" s="554" t="s">
        <v>77</v>
      </c>
      <c r="C17" s="550" t="str">
        <f>""</f>
        <v/>
      </c>
      <c r="D17" s="116">
        <v>1000</v>
      </c>
      <c r="E17" s="550" t="str">
        <f>""</f>
        <v/>
      </c>
      <c r="F17" s="552" t="str">
        <f>IF(ISTEXT($D$15)=TRUE,INDEX(Lists!$C$2:$C$44,MATCH($D$15,Lists!$B$2:$B$44,0)),"")</f>
        <v>Tonnes of ammonia</v>
      </c>
      <c r="J17" s="659"/>
      <c r="K17" s="659"/>
      <c r="L17" s="659"/>
      <c r="M17" s="659"/>
      <c r="N17" s="659"/>
      <c r="O17" s="659"/>
      <c r="P17" s="659"/>
      <c r="Q17" s="659"/>
    </row>
    <row r="18" spans="2:20" ht="35.5" customHeight="1" thickTop="1" thickBot="1" x14ac:dyDescent="0.3">
      <c r="B18" s="555" t="s">
        <v>538</v>
      </c>
      <c r="C18" s="550" t="str">
        <f>""</f>
        <v/>
      </c>
      <c r="D18" s="116">
        <v>200</v>
      </c>
      <c r="E18" s="550" t="str">
        <f>""</f>
        <v/>
      </c>
      <c r="F18" s="552" t="str">
        <f>IF(AND($D$13=Lists!$N$2,$D$15&lt;&gt;0,$D$18&lt;&gt;0,$D$17&lt;&gt;0),"tCO2e  (Intensity: "&amp;ROUND(D18*INDEX(Lists!$F$2:$F$50,MATCH(D$15,Lists!$B$2:$B$50,0))/D$17,2)&amp;"  "&amp;INDEX(Lists!$E$2:$E$50,MATCH(D$15,Lists!$B$2:$B$50,0))&amp;")","tCO2e")</f>
        <v>tCO2e  (Intensity: 0.2  tCO2/t)</v>
      </c>
      <c r="J18" s="659"/>
      <c r="K18" s="659"/>
      <c r="L18" s="659"/>
      <c r="M18" s="659"/>
      <c r="N18" s="659"/>
      <c r="O18" s="659"/>
      <c r="P18" s="659"/>
      <c r="Q18" s="659"/>
    </row>
    <row r="19" spans="2:20" ht="32" customHeight="1" thickTop="1" thickBot="1" x14ac:dyDescent="0.3">
      <c r="B19" s="556" t="s">
        <v>537</v>
      </c>
      <c r="C19" s="550" t="str">
        <f>""</f>
        <v/>
      </c>
      <c r="D19" s="116">
        <v>100</v>
      </c>
      <c r="E19" s="550" t="str">
        <f>""</f>
        <v/>
      </c>
      <c r="F19" s="552" t="str">
        <f>IF(AND($D$13=Lists!$N$2,$D$15&lt;&gt;0,$D$19&lt;&gt;0,$D$22&lt;&gt;0),"tCO2e  (Intensity: "&amp;ROUND(D19*INDEX(Lists!$F$2:$F$50,MATCH(D$15,Lists!$B$2:$B$50,0))/D$17,2)&amp;"  "&amp;INDEX(Lists!$E$2:$E$50,MATCH(D$15,Lists!$B$2:$B$50,0))&amp;")","tCO2e")</f>
        <v>tCO2e</v>
      </c>
      <c r="J19" s="540" t="s">
        <v>78</v>
      </c>
      <c r="K19" s="557"/>
      <c r="L19" s="557"/>
      <c r="M19" s="557"/>
      <c r="N19" s="557"/>
      <c r="O19" s="557"/>
      <c r="P19" s="557"/>
      <c r="Q19" s="557"/>
      <c r="R19" s="558"/>
      <c r="S19" s="558"/>
      <c r="T19" s="558"/>
    </row>
    <row r="20" spans="2:20" ht="20.149999999999999" customHeight="1" thickTop="1" thickBot="1" x14ac:dyDescent="0.3">
      <c r="B20" s="553" t="s">
        <v>79</v>
      </c>
      <c r="C20" s="550" t="str">
        <f>""</f>
        <v/>
      </c>
      <c r="D20" s="115">
        <v>2030</v>
      </c>
      <c r="E20" s="550"/>
      <c r="F20" s="552" t="s">
        <v>80</v>
      </c>
      <c r="J20" s="559" t="s">
        <v>81</v>
      </c>
      <c r="K20" s="540"/>
      <c r="L20" s="540"/>
      <c r="M20" s="540"/>
      <c r="N20" s="540"/>
      <c r="O20" s="540"/>
      <c r="P20" s="540"/>
      <c r="Q20" s="540"/>
      <c r="R20" s="558"/>
      <c r="S20" s="558"/>
      <c r="T20" s="558"/>
    </row>
    <row r="21" spans="2:20" ht="20.149999999999999" customHeight="1" thickTop="1" thickBot="1" x14ac:dyDescent="0.3">
      <c r="B21" s="554" t="s">
        <v>82</v>
      </c>
      <c r="C21" s="550" t="str">
        <f>""</f>
        <v/>
      </c>
      <c r="D21" s="115" t="s">
        <v>83</v>
      </c>
      <c r="E21" s="550" t="str">
        <f>""</f>
        <v/>
      </c>
      <c r="F21" s="552" t="str">
        <f>IF(ISTEXT($D$13)=TRUE,IF($D$13=Lists!$N$3,"","Dropdown"),"")</f>
        <v>Dropdown</v>
      </c>
      <c r="H21" s="560"/>
      <c r="J21" s="662" t="s">
        <v>568</v>
      </c>
      <c r="K21" s="662"/>
      <c r="L21" s="662"/>
      <c r="M21" s="662"/>
      <c r="N21" s="662"/>
      <c r="O21" s="662"/>
      <c r="P21" s="662"/>
      <c r="Q21" s="662"/>
      <c r="R21" s="548"/>
      <c r="S21" s="548"/>
      <c r="T21" s="548"/>
    </row>
    <row r="22" spans="2:20" ht="20.149999999999999" customHeight="1" thickTop="1" thickBot="1" x14ac:dyDescent="0.3">
      <c r="B22" s="554" t="str">
        <f>IF($D$21=Lists!L2,"No input required","Target year | Activity output")</f>
        <v>No input required</v>
      </c>
      <c r="C22" s="550" t="str">
        <f>""</f>
        <v/>
      </c>
      <c r="D22" s="116"/>
      <c r="E22" s="550" t="str">
        <f>""</f>
        <v/>
      </c>
      <c r="F22" s="552" t="str">
        <f>IF(ISTEXT($D$21)=TRUE,IF(OR($D$21=Lists!L$4),"% annual growth rate",IF(OR($D$21=Lists!L$3),$F$17,"Activity growth aligned with sector")),"")</f>
        <v>Activity growth aligned with sector</v>
      </c>
      <c r="J22" s="662"/>
      <c r="K22" s="662"/>
      <c r="L22" s="662"/>
      <c r="M22" s="662"/>
      <c r="N22" s="662"/>
      <c r="O22" s="662"/>
      <c r="P22" s="662"/>
      <c r="Q22" s="662"/>
    </row>
    <row r="23" spans="2:20" ht="20.149999999999999" customHeight="1" thickTop="1" thickBot="1" x14ac:dyDescent="0.3">
      <c r="B23" s="561" t="s">
        <v>84</v>
      </c>
      <c r="C23" s="550" t="str">
        <f>""</f>
        <v/>
      </c>
      <c r="D23" s="562"/>
      <c r="E23" s="550" t="str">
        <f>""</f>
        <v/>
      </c>
      <c r="F23" s="552"/>
      <c r="J23" s="662"/>
      <c r="K23" s="662"/>
      <c r="L23" s="662"/>
      <c r="M23" s="662"/>
      <c r="N23" s="662"/>
      <c r="O23" s="662"/>
      <c r="P23" s="662"/>
      <c r="Q23" s="662"/>
    </row>
    <row r="24" spans="2:20" ht="12.75" customHeight="1" thickTop="1" x14ac:dyDescent="0.25">
      <c r="D24" s="563"/>
      <c r="F24" s="564"/>
    </row>
    <row r="25" spans="2:20" ht="12.75" customHeight="1" x14ac:dyDescent="0.35">
      <c r="B25" s="543"/>
      <c r="C25" s="543"/>
      <c r="D25" s="543"/>
      <c r="E25" s="543"/>
      <c r="F25" s="543"/>
      <c r="G25" s="543"/>
      <c r="H25" s="543"/>
      <c r="I25" s="543"/>
      <c r="J25" s="543"/>
      <c r="K25" s="543"/>
      <c r="L25" s="543"/>
      <c r="M25" s="543"/>
      <c r="N25" s="543"/>
      <c r="O25" s="543"/>
      <c r="P25" s="543"/>
      <c r="Q25" s="543"/>
      <c r="R25" s="543"/>
      <c r="S25" s="543"/>
    </row>
    <row r="26" spans="2:20" ht="12.75" customHeight="1" x14ac:dyDescent="0.25">
      <c r="D26" s="563"/>
      <c r="F26" s="564"/>
      <c r="S26" s="565"/>
    </row>
    <row r="27" spans="2:20" ht="20.149999999999999" customHeight="1" x14ac:dyDescent="0.35">
      <c r="B27" s="544" t="s">
        <v>85</v>
      </c>
    </row>
    <row r="28" spans="2:20" ht="20.149999999999999" customHeight="1" x14ac:dyDescent="0.35">
      <c r="B28" s="544"/>
    </row>
    <row r="29" spans="2:20" ht="20.149999999999999" customHeight="1" x14ac:dyDescent="0.35">
      <c r="B29" s="544" t="str">
        <f>CONCATENATE("SDA sectoral data:  ",D15)</f>
        <v>SDA sectoral data:  Ammonia</v>
      </c>
      <c r="D29" s="544"/>
      <c r="F29" s="565"/>
    </row>
    <row r="30" spans="2:20" ht="20.149999999999999" customHeight="1" x14ac:dyDescent="0.3">
      <c r="B30" s="566" t="str">
        <f>CONCATENATE("Sectoral activity growth over target timeframe: ",TEXT(Calculations!D24,"0.00%"))</f>
        <v>Sectoral activity growth over target timeframe: 10.81%</v>
      </c>
      <c r="F30" s="565"/>
    </row>
    <row r="31" spans="2:20" ht="20.149999999999999" customHeight="1" x14ac:dyDescent="0.25">
      <c r="F31" s="567" t="str">
        <f>CONCATENATE(" Sectoral data (",'SDA Tool'!D14,")")</f>
        <v xml:space="preserve"> Sectoral data (SBTi 1.5C)</v>
      </c>
    </row>
    <row r="32" spans="2:20" ht="20.149999999999999" customHeight="1" x14ac:dyDescent="0.25"/>
    <row r="33" spans="2:2" ht="20.149999999999999" customHeight="1" x14ac:dyDescent="0.25"/>
    <row r="34" spans="2:2" ht="20.149999999999999" customHeight="1" x14ac:dyDescent="0.25"/>
    <row r="35" spans="2:2" ht="20.149999999999999" customHeight="1" x14ac:dyDescent="0.25"/>
    <row r="36" spans="2:2" ht="20.149999999999999" customHeight="1" x14ac:dyDescent="0.25"/>
    <row r="37" spans="2:2" ht="20.149999999999999" customHeight="1" x14ac:dyDescent="0.25"/>
    <row r="38" spans="2:2" ht="20.149999999999999" customHeight="1" x14ac:dyDescent="0.25"/>
    <row r="39" spans="2:2" ht="20.149999999999999" customHeight="1" x14ac:dyDescent="0.25"/>
    <row r="40" spans="2:2" ht="20.149999999999999" customHeight="1" x14ac:dyDescent="0.25"/>
    <row r="41" spans="2:2" ht="20.149999999999999" customHeight="1" x14ac:dyDescent="0.25"/>
    <row r="42" spans="2:2" ht="20.149999999999999" customHeight="1" x14ac:dyDescent="0.25"/>
    <row r="43" spans="2:2" ht="20.149999999999999" customHeight="1" x14ac:dyDescent="0.25"/>
    <row r="44" spans="2:2" ht="20.149999999999999" customHeight="1" x14ac:dyDescent="0.25"/>
    <row r="45" spans="2:2" ht="20.149999999999999" customHeight="1" x14ac:dyDescent="0.25"/>
    <row r="46" spans="2:2" ht="20.149999999999999" customHeight="1" x14ac:dyDescent="0.25"/>
    <row r="47" spans="2:2" ht="20.149999999999999" customHeight="1" x14ac:dyDescent="0.35">
      <c r="B47" s="544" t="str">
        <f>IF($D$14=Lists!$A$2,"SBTi 1.5C scenario","IEA ETP B2DS scenario")</f>
        <v>SBTi 1.5C scenario</v>
      </c>
    </row>
    <row r="48" spans="2:2" ht="20.149999999999999" customHeight="1" x14ac:dyDescent="0.25">
      <c r="B48" s="113" t="s">
        <v>86</v>
      </c>
    </row>
    <row r="49" spans="2:9" ht="20.149999999999999" customHeight="1" x14ac:dyDescent="0.3">
      <c r="B49" s="547"/>
      <c r="D49" s="568" t="str">
        <f>+CONCATENATE("Base year ","(",D16,")")</f>
        <v>Base year (2020)</v>
      </c>
      <c r="E49" s="559"/>
      <c r="F49" s="568" t="str">
        <f>+CONCATENATE("Target year ","(",D20,")")</f>
        <v>Target year (2030)</v>
      </c>
      <c r="G49" s="540"/>
      <c r="H49" s="568" t="s">
        <v>87</v>
      </c>
      <c r="I49" s="540"/>
    </row>
    <row r="50" spans="2:9" ht="20.149999999999999" customHeight="1" thickBot="1" x14ac:dyDescent="0.35">
      <c r="B50" s="549" t="str">
        <f>+Calculations!$B$48</f>
        <v>Company | Heat and process-related emissions (tCO2/)</v>
      </c>
      <c r="D50" s="569">
        <f>IF(D18="","",D18)</f>
        <v>200</v>
      </c>
      <c r="E50" s="570"/>
      <c r="F50" s="569">
        <f>+IF(OR(D18="",D17=""),"",HLOOKUP('SDA Tool'!D20,Calculations!D1:AN54,ROW(Calculations!A48)))</f>
        <v>180.29031035043059</v>
      </c>
      <c r="H50" s="120">
        <f>IF(F50&lt;=0,100%,IF(AND(D50="",F50=""),"",1-F50/D50))</f>
        <v>9.8548448247847031E-2</v>
      </c>
    </row>
    <row r="51" spans="2:9" ht="20.149999999999999" customHeight="1" thickTop="1" thickBot="1" x14ac:dyDescent="0.35">
      <c r="B51" s="549" t="str">
        <f>+Calculations!$B$55</f>
        <v>Company | Electricity-related emissions (tCO2)</v>
      </c>
      <c r="D51" s="571">
        <f>IF(D19="","",D19)</f>
        <v>100</v>
      </c>
      <c r="E51" s="570"/>
      <c r="F51" s="571">
        <f>+IF(OR(D19="",D17=""),"",HLOOKUP('SDA Tool'!D20,Calculations!D1:AN55,ROW(Calculations!A55)))</f>
        <v>60.274974815902162</v>
      </c>
      <c r="H51" s="121">
        <f>+IF(OR(D51="",F51=""),"",1-F51/D51)</f>
        <v>0.3972502518409784</v>
      </c>
    </row>
    <row r="52" spans="2:9" ht="20.149999999999999" customHeight="1" thickTop="1" thickBot="1" x14ac:dyDescent="0.35">
      <c r="B52" s="549" t="str">
        <f>+Calculations!$B$62</f>
        <v>Company | Total emissions (tCO2)</v>
      </c>
      <c r="D52" s="572">
        <f>IF(OR(D50="",D51=""),"",D50+D51)</f>
        <v>300</v>
      </c>
      <c r="E52" s="570"/>
      <c r="F52" s="572">
        <f>IF(OR(F50="",F51=""),"",HLOOKUP('SDA Tool'!D20,Calculations!D1:AN79,ROW(Calculations!A62)))</f>
        <v>253.22735881434099</v>
      </c>
      <c r="H52" s="122">
        <f>+IF(OR(D52="",F52=""),"",1-F52/D52)</f>
        <v>0.15590880395219675</v>
      </c>
    </row>
    <row r="53" spans="2:9" ht="20.149999999999999" customHeight="1" thickTop="1" x14ac:dyDescent="0.25">
      <c r="B53" s="573"/>
      <c r="D53" s="574"/>
      <c r="E53" s="574"/>
      <c r="F53" s="574"/>
      <c r="H53" s="114"/>
    </row>
    <row r="54" spans="2:9" ht="20.149999999999999" customHeight="1" thickBot="1" x14ac:dyDescent="0.35">
      <c r="B54" s="549" t="str">
        <f>Calculations!$B$47</f>
        <v>Company | Heat and process-related emissions intensity (tCO2/t)</v>
      </c>
      <c r="D54" s="575">
        <f>+IF(OR(D18="",D17=""),"",HLOOKUP('SDA Tool'!D16,Calculations!D1:N47,ROW(Calculations!A47)))</f>
        <v>0.2</v>
      </c>
      <c r="E54" s="576"/>
      <c r="F54" s="575">
        <f>+IF(OR(D18="",D17=""),"",HLOOKUP('SDA Tool'!D20,Calculations!D1:AN47,ROW(Calculations!A47)))</f>
        <v>0.16270101177965687</v>
      </c>
      <c r="H54" s="120">
        <f>IF(F54&lt;=0,100%,IF(AND(D54="",F54=""),"",1-F54/D54))</f>
        <v>0.18649494110171572</v>
      </c>
    </row>
    <row r="55" spans="2:9" ht="20.149999999999999" customHeight="1" thickTop="1" thickBot="1" x14ac:dyDescent="0.35">
      <c r="B55" s="549" t="str">
        <f>+Calculations!$B$54</f>
        <v>Company | Electricity-related emissions intensity (tCO2/t)</v>
      </c>
      <c r="D55" s="577">
        <f>+IF(OR(D19="",D17=""),"",HLOOKUP('SDA Tool'!D16,Calculations!D1:N54,ROW(Calculations!A54)))</f>
        <v>0.1</v>
      </c>
      <c r="E55" s="578"/>
      <c r="F55" s="577">
        <f>+IF(OR(D19="",D17=""),"",HLOOKUP('SDA Tool'!D20,Calculations!D1:AN54,ROW(Calculations!A54)))</f>
        <v>5.4394489468009267E-2</v>
      </c>
      <c r="H55" s="121">
        <f>+IF(AND(D55="",F55=""),"",1-F55/D55)</f>
        <v>0.45605510531990734</v>
      </c>
    </row>
    <row r="56" spans="2:9" ht="20.149999999999999" customHeight="1" thickTop="1" thickBot="1" x14ac:dyDescent="0.35">
      <c r="B56" s="549" t="str">
        <f>+Calculations!$B$61</f>
        <v>Company | Total emissions intensity (tCO2/t)</v>
      </c>
      <c r="D56" s="579">
        <f>+IF(OR(D54="",D55=""),"",D55+D54)</f>
        <v>0.30000000000000004</v>
      </c>
      <c r="E56" s="578"/>
      <c r="F56" s="579">
        <f>+IF(OR(F54="",F55=""),"",HLOOKUP('SDA Tool'!D20,Calculations!D1:AN79,ROW(Calculations!A61)))</f>
        <v>0.22852225063733211</v>
      </c>
      <c r="H56" s="122">
        <f>+IF(AND(D56="",F56=""),"",1-F56/D56)</f>
        <v>0.2382591645422264</v>
      </c>
    </row>
    <row r="57" spans="2:9" ht="20.149999999999999" customHeight="1" thickTop="1" x14ac:dyDescent="0.25">
      <c r="B57" s="540" t="s">
        <v>584</v>
      </c>
    </row>
    <row r="58" spans="2:9" ht="20.149999999999999" customHeight="1" x14ac:dyDescent="0.25"/>
    <row r="59" spans="2:9" ht="20.149999999999999" customHeight="1" x14ac:dyDescent="0.25"/>
    <row r="60" spans="2:9" ht="20.149999999999999" customHeight="1" x14ac:dyDescent="0.25"/>
    <row r="61" spans="2:9" ht="20.149999999999999" customHeight="1" x14ac:dyDescent="0.25"/>
    <row r="62" spans="2:9" ht="20.149999999999999" customHeight="1" x14ac:dyDescent="0.25"/>
    <row r="63" spans="2:9" ht="20.149999999999999" customHeight="1" x14ac:dyDescent="0.25"/>
    <row r="64" spans="2:9"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20.149999999999999" customHeight="1" x14ac:dyDescent="0.25"/>
    <row r="80" ht="20.149999999999999" customHeight="1" x14ac:dyDescent="0.25"/>
    <row r="81" spans="2:19" ht="20.149999999999999" customHeight="1" x14ac:dyDescent="0.25"/>
    <row r="82" spans="2:19" ht="20.149999999999999" customHeight="1" x14ac:dyDescent="0.25"/>
    <row r="83" spans="2:19" ht="20.149999999999999" customHeight="1" x14ac:dyDescent="0.25"/>
    <row r="84" spans="2:19" ht="20.149999999999999" customHeight="1" x14ac:dyDescent="0.25"/>
    <row r="85" spans="2:19" ht="20.149999999999999" customHeight="1" x14ac:dyDescent="0.25"/>
    <row r="86" spans="2:19" ht="20.149999999999999" customHeight="1" x14ac:dyDescent="0.25"/>
    <row r="87" spans="2:19" ht="20.149999999999999" customHeight="1" x14ac:dyDescent="0.25"/>
    <row r="88" spans="2:19" ht="20.149999999999999" customHeight="1" x14ac:dyDescent="0.25"/>
    <row r="89" spans="2:19" ht="20.149999999999999" customHeight="1" x14ac:dyDescent="0.25"/>
    <row r="90" spans="2:19" ht="20.149999999999999" customHeight="1" x14ac:dyDescent="0.25"/>
    <row r="91" spans="2:19" ht="20.149999999999999" customHeight="1" x14ac:dyDescent="0.25"/>
    <row r="92" spans="2:19" ht="20.149999999999999" customHeight="1" x14ac:dyDescent="0.25">
      <c r="J92" s="114"/>
    </row>
    <row r="93" spans="2:19" ht="12.75" customHeight="1" x14ac:dyDescent="0.35">
      <c r="B93" s="543"/>
      <c r="C93" s="543"/>
      <c r="D93" s="543"/>
      <c r="E93" s="543"/>
      <c r="F93" s="543"/>
      <c r="G93" s="543"/>
      <c r="H93" s="543"/>
      <c r="I93" s="543"/>
      <c r="J93" s="543"/>
      <c r="K93" s="543"/>
      <c r="L93" s="543"/>
      <c r="M93" s="543"/>
      <c r="N93" s="543"/>
      <c r="O93" s="543"/>
      <c r="P93" s="543"/>
      <c r="Q93" s="543"/>
      <c r="R93" s="543"/>
      <c r="S93" s="543"/>
    </row>
    <row r="94" spans="2:19" ht="19.5" customHeight="1" x14ac:dyDescent="0.25"/>
    <row r="95" spans="2:19" ht="19.5" customHeight="1" x14ac:dyDescent="0.35">
      <c r="B95" s="544" t="s">
        <v>88</v>
      </c>
    </row>
    <row r="96" spans="2:19" ht="19.5" customHeight="1" x14ac:dyDescent="0.25"/>
    <row r="97" spans="4:56" ht="19.5" customHeight="1" x14ac:dyDescent="0.25"/>
    <row r="98" spans="4:56" ht="19.5" customHeight="1" x14ac:dyDescent="0.25">
      <c r="J98" s="568">
        <f>'SDA Tool'!$D$16</f>
        <v>2020</v>
      </c>
      <c r="K98" s="568">
        <f>IF(J98&lt;2050,J98+1,"")</f>
        <v>2021</v>
      </c>
      <c r="L98" s="568">
        <f t="shared" ref="L98:AM98" si="0">IF(K98&lt;2050,K98+1,"")</f>
        <v>2022</v>
      </c>
      <c r="M98" s="568">
        <f t="shared" si="0"/>
        <v>2023</v>
      </c>
      <c r="N98" s="568">
        <f t="shared" si="0"/>
        <v>2024</v>
      </c>
      <c r="O98" s="568">
        <f t="shared" si="0"/>
        <v>2025</v>
      </c>
      <c r="P98" s="568">
        <f t="shared" si="0"/>
        <v>2026</v>
      </c>
      <c r="Q98" s="568">
        <f t="shared" si="0"/>
        <v>2027</v>
      </c>
      <c r="R98" s="568">
        <f t="shared" si="0"/>
        <v>2028</v>
      </c>
      <c r="S98" s="568">
        <f t="shared" si="0"/>
        <v>2029</v>
      </c>
      <c r="T98" s="568">
        <f t="shared" si="0"/>
        <v>2030</v>
      </c>
      <c r="U98" s="568">
        <f t="shared" si="0"/>
        <v>2031</v>
      </c>
      <c r="V98" s="568">
        <f t="shared" si="0"/>
        <v>2032</v>
      </c>
      <c r="W98" s="568">
        <f t="shared" si="0"/>
        <v>2033</v>
      </c>
      <c r="X98" s="568">
        <f t="shared" si="0"/>
        <v>2034</v>
      </c>
      <c r="Y98" s="568">
        <f t="shared" si="0"/>
        <v>2035</v>
      </c>
      <c r="Z98" s="568">
        <f t="shared" si="0"/>
        <v>2036</v>
      </c>
      <c r="AA98" s="568">
        <f t="shared" si="0"/>
        <v>2037</v>
      </c>
      <c r="AB98" s="568">
        <f t="shared" si="0"/>
        <v>2038</v>
      </c>
      <c r="AC98" s="568">
        <f t="shared" si="0"/>
        <v>2039</v>
      </c>
      <c r="AD98" s="568">
        <f t="shared" si="0"/>
        <v>2040</v>
      </c>
      <c r="AE98" s="568">
        <f t="shared" si="0"/>
        <v>2041</v>
      </c>
      <c r="AF98" s="568">
        <f t="shared" si="0"/>
        <v>2042</v>
      </c>
      <c r="AG98" s="568">
        <f t="shared" si="0"/>
        <v>2043</v>
      </c>
      <c r="AH98" s="568">
        <f>IF(AG98&lt;2050,AG98+1,"")</f>
        <v>2044</v>
      </c>
      <c r="AI98" s="568">
        <f t="shared" si="0"/>
        <v>2045</v>
      </c>
      <c r="AJ98" s="568">
        <f t="shared" si="0"/>
        <v>2046</v>
      </c>
      <c r="AK98" s="568">
        <f t="shared" si="0"/>
        <v>2047</v>
      </c>
      <c r="AL98" s="568">
        <f t="shared" si="0"/>
        <v>2048</v>
      </c>
      <c r="AM98" s="568">
        <f t="shared" si="0"/>
        <v>2049</v>
      </c>
      <c r="AN98" s="568">
        <f>IF(AM98&lt;2050,AM98+1,"")</f>
        <v>2050</v>
      </c>
      <c r="BA98" s="559"/>
      <c r="BB98" s="559"/>
      <c r="BC98" s="559"/>
      <c r="BD98" s="559"/>
    </row>
    <row r="99" spans="4:56" ht="19.5" customHeight="1" thickBot="1" x14ac:dyDescent="0.3">
      <c r="D99" s="661" t="str">
        <f>IF($D$13=Lists!$N$2,+CONCATENATE("SDA - ",Calculations!$B$4," | SBTi 1.5C"),"select a SDA sector")</f>
        <v>SDA - Ammonia | SBTi 1.5C</v>
      </c>
      <c r="F99" s="660" t="str">
        <f>+B50</f>
        <v>Company | Heat and process-related emissions (tCO2/)</v>
      </c>
      <c r="G99" s="660"/>
      <c r="H99" s="660"/>
      <c r="J99" s="580">
        <f>IF(AND($D$13=Lists!$N$2,$D$17&gt;0,$D$18&gt;0,J98&lt;&gt;""),HLOOKUP(J$98,Calculations!$B$1:$AX$122,ROW(Calculations!$B$97)),"")</f>
        <v>200</v>
      </c>
      <c r="K99" s="580">
        <f>IF(AND($D$13=Lists!$N$2,$D$17&gt;0,$D$18&gt;0,K98&lt;&gt;""),HLOOKUP(K$98,Calculations!$B$1:$AX$122,ROW(Calculations!$B$97)),"")</f>
        <v>198.02903103504303</v>
      </c>
      <c r="L99" s="580">
        <f>IF(AND($D$13=Lists!$N$2,$D$17&gt;0,$D$18&gt;0,L98&lt;&gt;""),HLOOKUP(L$98,Calculations!$B$1:$AX$122,ROW(Calculations!$B$97)),"")</f>
        <v>196.05806207008609</v>
      </c>
      <c r="M99" s="580">
        <f>IF(AND($D$13=Lists!$N$2,$D$17&gt;0,$D$18&gt;0,M98&lt;&gt;""),HLOOKUP(M$98,Calculations!$B$1:$AX$122,ROW(Calculations!$B$97)),"")</f>
        <v>194.08709310512916</v>
      </c>
      <c r="N99" s="580">
        <f>IF(AND($D$13=Lists!$N$2,$D$17&gt;0,$D$18&gt;0,N98&lt;&gt;""),HLOOKUP(N$98,Calculations!$B$1:$AX$122,ROW(Calculations!$B$97)),"")</f>
        <v>192.11612414017225</v>
      </c>
      <c r="O99" s="580">
        <f>IF(AND($D$13=Lists!$N$2,$D$17&gt;0,$D$18&gt;0,O98&lt;&gt;""),HLOOKUP(O$98,Calculations!$B$1:$AX$122,ROW(Calculations!$B$97)),"")</f>
        <v>190.14515517521528</v>
      </c>
      <c r="P99" s="580">
        <f>IF(AND($D$13=Lists!$N$2,$D$17&gt;0,$D$18&gt;0,P98&lt;&gt;""),HLOOKUP(P$98,Calculations!$B$1:$AX$122,ROW(Calculations!$B$97)),"")</f>
        <v>188.17418621025834</v>
      </c>
      <c r="Q99" s="580">
        <f>IF(AND($D$13=Lists!$N$2,$D$17&gt;0,$D$18&gt;0,Q98&lt;&gt;""),HLOOKUP(Q$98,Calculations!$B$1:$AX$122,ROW(Calculations!$B$97)),"")</f>
        <v>186.2032172453014</v>
      </c>
      <c r="R99" s="580">
        <f>IF(AND($D$13=Lists!$N$2,$D$17&gt;0,$D$18&gt;0,R98&lt;&gt;""),HLOOKUP(R$98,Calculations!$B$1:$AX$122,ROW(Calculations!$B$97)),"")</f>
        <v>184.23224828034449</v>
      </c>
      <c r="S99" s="580">
        <f>IF(AND($D$13=Lists!$N$2,$D$17&gt;0,$D$18&gt;0,S98&lt;&gt;""),HLOOKUP(S$98,Calculations!$B$1:$AX$122,ROW(Calculations!$B$97)),"")</f>
        <v>182.26127931538753</v>
      </c>
      <c r="T99" s="580">
        <f>IF(AND($D$13=Lists!$N$2,$D$17&gt;0,$D$18&gt;0,T98&lt;&gt;""),HLOOKUP(T$98,Calculations!$B$1:$AX$122,ROW(Calculations!$B$97)),"")</f>
        <v>180.29031035043059</v>
      </c>
      <c r="U99" s="580">
        <f>IF(AND($D$13=Lists!$N$2,$D$17&gt;0,$D$18&gt;0,U98&lt;&gt;""),HLOOKUP(U$98,Calculations!$B$1:$AX$122,ROW(Calculations!$B$97)),"")</f>
        <v>175.88122190326601</v>
      </c>
      <c r="V99" s="580">
        <f>IF(AND($D$13=Lists!$N$2,$D$17&gt;0,$D$18&gt;0,V98&lt;&gt;""),HLOOKUP(V$98,Calculations!$B$1:$AX$122,ROW(Calculations!$B$97)),"")</f>
        <v>171.4721334561014</v>
      </c>
      <c r="W99" s="580">
        <f>IF(AND($D$13=Lists!$N$2,$D$17&gt;0,$D$18&gt;0,W98&lt;&gt;""),HLOOKUP(W$98,Calculations!$B$1:$AX$122,ROW(Calculations!$B$97)),"")</f>
        <v>167.0630450089368</v>
      </c>
      <c r="X99" s="580">
        <f>IF(AND($D$13=Lists!$N$2,$D$17&gt;0,$D$18&gt;0,X98&lt;&gt;""),HLOOKUP(X$98,Calculations!$B$1:$AX$122,ROW(Calculations!$B$97)),"")</f>
        <v>162.65395656177216</v>
      </c>
      <c r="Y99" s="580">
        <f>IF(AND($D$13=Lists!$N$2,$D$17&gt;0,$D$18&gt;0,Y98&lt;&gt;""),HLOOKUP(Y$98,Calculations!$B$1:$AX$122,ROW(Calculations!$B$97)),"")</f>
        <v>158.24486811460758</v>
      </c>
      <c r="Z99" s="580">
        <f>IF(AND($D$13=Lists!$N$2,$D$17&gt;0,$D$18&gt;0,Z98&lt;&gt;""),HLOOKUP(Z$98,Calculations!$B$1:$AX$122,ROW(Calculations!$B$97)),"")</f>
        <v>153.83577966744298</v>
      </c>
      <c r="AA99" s="580">
        <f>IF(AND($D$13=Lists!$N$2,$D$17&gt;0,$D$18&gt;0,AA98&lt;&gt;""),HLOOKUP(AA$98,Calculations!$B$1:$AX$122,ROW(Calculations!$B$97)),"")</f>
        <v>149.42669122027843</v>
      </c>
      <c r="AB99" s="580">
        <f>IF(AND($D$13=Lists!$N$2,$D$17&gt;0,$D$18&gt;0,AB98&lt;&gt;""),HLOOKUP(AB$98,Calculations!$B$1:$AX$122,ROW(Calculations!$B$97)),"")</f>
        <v>145.01760277311379</v>
      </c>
      <c r="AC99" s="580">
        <f>IF(AND($D$13=Lists!$N$2,$D$17&gt;0,$D$18&gt;0,AC98&lt;&gt;""),HLOOKUP(AC$98,Calculations!$B$1:$AX$122,ROW(Calculations!$B$97)),"")</f>
        <v>140.60851432594919</v>
      </c>
      <c r="AD99" s="580">
        <f>IF(AND($D$13=Lists!$N$2,$D$17&gt;0,$D$18&gt;0,AD98&lt;&gt;""),HLOOKUP(AD$98,Calculations!$B$1:$AX$122,ROW(Calculations!$B$97)),"")</f>
        <v>136.19942587878461</v>
      </c>
      <c r="AE99" s="580">
        <f>IF(AND($D$13=Lists!$N$2,$D$17&gt;0,$D$18&gt;0,AE98&lt;&gt;""),HLOOKUP(AE$98,Calculations!$B$1:$AX$122,ROW(Calculations!$B$97)),"")</f>
        <v>133.39029410171693</v>
      </c>
      <c r="AF99" s="580">
        <f>IF(AND($D$13=Lists!$N$2,$D$17&gt;0,$D$18&gt;0,AF98&lt;&gt;""),HLOOKUP(AF$98,Calculations!$B$1:$AX$122,ROW(Calculations!$B$97)),"")</f>
        <v>130.58116232464931</v>
      </c>
      <c r="AG99" s="580">
        <f>IF(AND($D$13=Lists!$N$2,$D$17&gt;0,$D$18&gt;0,AG98&lt;&gt;""),HLOOKUP(AG$98,Calculations!$B$1:$AX$122,ROW(Calculations!$B$97)),"")</f>
        <v>127.77203054758165</v>
      </c>
      <c r="AH99" s="580">
        <f>IF(AND($D$13=Lists!$N$2,$D$17&gt;0,$D$18&gt;0,AH98&lt;&gt;""),HLOOKUP(AH$98,Calculations!$B$1:$AX$122,ROW(Calculations!$B$97)),"")</f>
        <v>124.962898770514</v>
      </c>
      <c r="AI99" s="580">
        <f>IF(AND($D$13=Lists!$N$2,$D$17&gt;0,$D$18&gt;0,AI98&lt;&gt;""),HLOOKUP(AI$98,Calculations!$B$1:$AX$122,ROW(Calculations!$B$97)),"")</f>
        <v>122.15376699344635</v>
      </c>
      <c r="AJ99" s="580">
        <f>IF(AND($D$13=Lists!$N$2,$D$17&gt;0,$D$18&gt;0,AJ98&lt;&gt;""),HLOOKUP(AJ$98,Calculations!$B$1:$AX$122,ROW(Calculations!$B$97)),"")</f>
        <v>119.34463521637871</v>
      </c>
      <c r="AK99" s="580">
        <f>IF(AND($D$13=Lists!$N$2,$D$17&gt;0,$D$18&gt;0,AK98&lt;&gt;""),HLOOKUP(AK$98,Calculations!$B$1:$AX$122,ROW(Calculations!$B$97)),"")</f>
        <v>116.53550343931104</v>
      </c>
      <c r="AL99" s="580">
        <f>IF(AND($D$13=Lists!$N$2,$D$17&gt;0,$D$18&gt;0,AL98&lt;&gt;""),HLOOKUP(AL$98,Calculations!$B$1:$AX$122,ROW(Calculations!$B$97)),"")</f>
        <v>113.72637166224341</v>
      </c>
      <c r="AM99" s="580">
        <f>IF(AND($D$13=Lists!$N$2,$D$17&gt;0,$D$18&gt;0,AM98&lt;&gt;""),HLOOKUP(AM$98,Calculations!$B$1:$AX$122,ROW(Calculations!$B$97)),"")</f>
        <v>110.91723988517576</v>
      </c>
      <c r="AN99" s="580">
        <f>IF(AND($D$13=Lists!$N$2,$D$17&gt;0,$D$18&gt;0,AN98&lt;&gt;""),HLOOKUP(AN$98,Calculations!$B$1:$AX$122,ROW(Calculations!$B$97)),"")</f>
        <v>108.1081081081081</v>
      </c>
      <c r="BA99" s="581"/>
      <c r="BB99" s="581"/>
      <c r="BC99" s="581"/>
      <c r="BD99" s="581"/>
    </row>
    <row r="100" spans="4:56" ht="19.5" customHeight="1" thickTop="1" thickBot="1" x14ac:dyDescent="0.3">
      <c r="D100" s="661"/>
      <c r="F100" s="660" t="str">
        <f>+B51</f>
        <v>Company | Electricity-related emissions (tCO2)</v>
      </c>
      <c r="G100" s="660"/>
      <c r="H100" s="660"/>
      <c r="J100" s="580">
        <f>IF(AND($D$13=Lists!$N$2,J98&lt;&gt;""),HLOOKUP(J$98,Calculations!$B$1:$AX$122,ROW(Calculations!$B$98)),"")</f>
        <v>100</v>
      </c>
      <c r="K100" s="580">
        <f>IF(AND($D$13=Lists!$N$2,K98&lt;&gt;""),HLOOKUP(K$98,Calculations!$B$1:$AX$122,ROW(Calculations!$B$98)),"")</f>
        <v>100.01311153682828</v>
      </c>
      <c r="L100" s="580">
        <f>IF(AND($D$13=Lists!$N$2,L98&lt;&gt;""),HLOOKUP(L$98,Calculations!$B$1:$AX$122,ROW(Calculations!$B$98)),"")</f>
        <v>100.02622307365652</v>
      </c>
      <c r="M100" s="580">
        <f>IF(AND($D$13=Lists!$N$2,M98&lt;&gt;""),HLOOKUP(M$98,Calculations!$B$1:$AX$122,ROW(Calculations!$B$98)),"")</f>
        <v>100.03933461048484</v>
      </c>
      <c r="N100" s="580">
        <f>IF(AND($D$13=Lists!$N$2,N98&lt;&gt;""),HLOOKUP(N$98,Calculations!$B$1:$AX$122,ROW(Calculations!$B$98)),"")</f>
        <v>100.05244614731309</v>
      </c>
      <c r="O100" s="580">
        <f>IF(AND($D$13=Lists!$N$2,O98&lt;&gt;""),HLOOKUP(O$98,Calculations!$B$1:$AX$122,ROW(Calculations!$B$98)),"")</f>
        <v>100.06555768414135</v>
      </c>
      <c r="P100" s="580">
        <f>IF(AND($D$13=Lists!$N$2,P98&lt;&gt;""),HLOOKUP(P$98,Calculations!$B$1:$AX$122,ROW(Calculations!$B$98)),"")</f>
        <v>98.088215464321294</v>
      </c>
      <c r="Q100" s="580">
        <f>IF(AND($D$13=Lists!$N$2,Q98&lt;&gt;""),HLOOKUP(Q$98,Calculations!$B$1:$AX$122,ROW(Calculations!$B$98)),"")</f>
        <v>91.109392813194816</v>
      </c>
      <c r="R100" s="580">
        <f>IF(AND($D$13=Lists!$N$2,R98&lt;&gt;""),HLOOKUP(R$98,Calculations!$B$1:$AX$122,ROW(Calculations!$B$98)),"")</f>
        <v>82.435801342173221</v>
      </c>
      <c r="S100" s="580">
        <f>IF(AND($D$13=Lists!$N$2,S98&lt;&gt;""),HLOOKUP(S$98,Calculations!$B$1:$AX$122,ROW(Calculations!$B$98)),"")</f>
        <v>72.13601946244718</v>
      </c>
      <c r="T100" s="580">
        <f>IF(AND($D$13=Lists!$N$2,T98&lt;&gt;""),HLOOKUP(T$98,Calculations!$B$1:$AX$122,ROW(Calculations!$B$98)),"")</f>
        <v>60.274974815902162</v>
      </c>
      <c r="U100" s="580">
        <f>IF(AND($D$13=Lists!$N$2,U98&lt;&gt;""),HLOOKUP(U$98,Calculations!$B$1:$AX$122,ROW(Calculations!$B$98)),"")</f>
        <v>60.284808468523352</v>
      </c>
      <c r="V100" s="580">
        <f>IF(AND($D$13=Lists!$N$2,V98&lt;&gt;""),HLOOKUP(V$98,Calculations!$B$1:$AX$122,ROW(Calculations!$B$98)),"")</f>
        <v>60.294642121144562</v>
      </c>
      <c r="W100" s="580">
        <f>IF(AND($D$13=Lists!$N$2,W98&lt;&gt;""),HLOOKUP(W$98,Calculations!$B$1:$AX$122,ROW(Calculations!$B$98)),"")</f>
        <v>60.304475773765752</v>
      </c>
      <c r="X100" s="580">
        <f>IF(AND($D$13=Lists!$N$2,X98&lt;&gt;""),HLOOKUP(X$98,Calculations!$B$1:$AX$122,ROW(Calculations!$B$98)),"")</f>
        <v>60.314309426386956</v>
      </c>
      <c r="Y100" s="580">
        <f>IF(AND($D$13=Lists!$N$2,Y98&lt;&gt;""),HLOOKUP(Y$98,Calculations!$B$1:$AX$122,ROW(Calculations!$B$98)),"")</f>
        <v>60.324143079008152</v>
      </c>
      <c r="Z100" s="580">
        <f>IF(AND($D$13=Lists!$N$2,Z98&lt;&gt;""),HLOOKUP(Z$98,Calculations!$B$1:$AX$122,ROW(Calculations!$B$98)),"")</f>
        <v>60.333976731629377</v>
      </c>
      <c r="AA100" s="580">
        <f>IF(AND($D$13=Lists!$N$2,AA98&lt;&gt;""),HLOOKUP(AA$98,Calculations!$B$1:$AX$122,ROW(Calculations!$B$98)),"")</f>
        <v>60.343810384250581</v>
      </c>
      <c r="AB100" s="580">
        <f>IF(AND($D$13=Lists!$N$2,AB98&lt;&gt;""),HLOOKUP(AB$98,Calculations!$B$1:$AX$122,ROW(Calculations!$B$98)),"")</f>
        <v>57.812874244547722</v>
      </c>
      <c r="AC100" s="580">
        <f>IF(AND($D$13=Lists!$N$2,AC98&lt;&gt;""),HLOOKUP(AC$98,Calculations!$B$1:$AX$122,ROW(Calculations!$B$98)),"")</f>
        <v>49.313148551961532</v>
      </c>
      <c r="AD100" s="580">
        <f>IF(AND($D$13=Lists!$N$2,AD98&lt;&gt;""),HLOOKUP(AD$98,Calculations!$B$1:$AX$122,ROW(Calculations!$B$98)),"")</f>
        <v>39.369110187302347</v>
      </c>
      <c r="AE100" s="580">
        <f>IF(AND($D$13=Lists!$N$2,AE98&lt;&gt;""),HLOOKUP(AE$98,Calculations!$B$1:$AX$122,ROW(Calculations!$B$98)),"")</f>
        <v>37.564912081655137</v>
      </c>
      <c r="AF100" s="580">
        <f>IF(AND($D$13=Lists!$N$2,AF98&lt;&gt;""),HLOOKUP(AF$98,Calculations!$B$1:$AX$122,ROW(Calculations!$B$98)),"")</f>
        <v>35.309972612242476</v>
      </c>
      <c r="AG100" s="580">
        <f>IF(AND($D$13=Lists!$N$2,AG98&lt;&gt;""),HLOOKUP(AG$98,Calculations!$B$1:$AX$122,ROW(Calculations!$B$98)),"")</f>
        <v>32.625263796683541</v>
      </c>
      <c r="AH100" s="580">
        <f>IF(AND($D$13=Lists!$N$2,AH98&lt;&gt;""),HLOOKUP(AH$98,Calculations!$B$1:$AX$122,ROW(Calculations!$B$98)),"")</f>
        <v>29.530476479369334</v>
      </c>
      <c r="AI100" s="580">
        <f>IF(AND($D$13=Lists!$N$2,AI98&lt;&gt;""),HLOOKUP(AI$98,Calculations!$B$1:$AX$122,ROW(Calculations!$B$98)),"")</f>
        <v>26.044116692823145</v>
      </c>
      <c r="AJ100" s="580">
        <f>IF(AND($D$13=Lists!$N$2,AJ98&lt;&gt;""),HLOOKUP(AJ$98,Calculations!$B$1:$AX$122,ROW(Calculations!$B$98)),"")</f>
        <v>22.183593450755517</v>
      </c>
      <c r="AK100" s="580">
        <f>IF(AND($D$13=Lists!$N$2,AK98&lt;&gt;""),HLOOKUP(AK$98,Calculations!$B$1:$AX$122,ROW(Calculations!$B$98)),"")</f>
        <v>17.96529884869468</v>
      </c>
      <c r="AL100" s="580">
        <f>IF(AND($D$13=Lists!$N$2,AL98&lt;&gt;""),HLOOKUP(AL$98,Calculations!$B$1:$AX$122,ROW(Calculations!$B$98)),"")</f>
        <v>13.404681247219138</v>
      </c>
      <c r="AM100" s="580">
        <f>IF(AND($D$13=Lists!$N$2,AM98&lt;&gt;""),HLOOKUP(AM$98,Calculations!$B$1:$AX$122,ROW(Calculations!$B$98)),"")</f>
        <v>8.5163122248448211</v>
      </c>
      <c r="AN100" s="580">
        <f>IF(AND($D$13=Lists!$N$2,AN98&lt;&gt;""),HLOOKUP(AN$98,Calculations!$B$1:$AX$122,ROW(Calculations!$B$98)),"")</f>
        <v>3.3139479107227912</v>
      </c>
    </row>
    <row r="101" spans="4:56" ht="19.5" customHeight="1" thickTop="1" thickBot="1" x14ac:dyDescent="0.3">
      <c r="D101" s="661"/>
      <c r="F101" s="660" t="str">
        <f>+B52</f>
        <v>Company | Total emissions (tCO2)</v>
      </c>
      <c r="G101" s="660"/>
      <c r="H101" s="660"/>
      <c r="J101" s="580">
        <f>IF(OR(J$99="",J$100=""),"",HLOOKUP(J$98,Calculations!$B$1:$AX$122,ROW(Calculations!$B$62)))</f>
        <v>300</v>
      </c>
      <c r="K101" s="580">
        <f>IF(OR(K$99="",K$100=""),"",HLOOKUP(K$98,Calculations!$B$1:$AX$122,ROW(Calculations!$B$62)))</f>
        <v>295.93226282171042</v>
      </c>
      <c r="L101" s="580">
        <f>IF(OR(L$99="",L$100=""),"",HLOOKUP(L$98,Calculations!$B$1:$AX$122,ROW(Calculations!$B$62)))</f>
        <v>291.8645256434209</v>
      </c>
      <c r="M101" s="580">
        <f>IF(OR(M$99="",M$100=""),"",HLOOKUP(M$98,Calculations!$B$1:$AX$122,ROW(Calculations!$B$62)))</f>
        <v>287.79678846513144</v>
      </c>
      <c r="N101" s="580">
        <f>IF(OR(N$99="",N$100=""),"",HLOOKUP(N$98,Calculations!$B$1:$AX$122,ROW(Calculations!$B$62)))</f>
        <v>283.72905128684198</v>
      </c>
      <c r="O101" s="580">
        <f>IF(OR(O$99="",O$100=""),"",HLOOKUP(O$98,Calculations!$B$1:$AX$122,ROW(Calculations!$B$62)))</f>
        <v>279.66131410855246</v>
      </c>
      <c r="P101" s="580">
        <f>IF(OR(P$99="",P$100=""),"",HLOOKUP(P$98,Calculations!$B$1:$AX$122,ROW(Calculations!$B$62)))</f>
        <v>275.28917334997726</v>
      </c>
      <c r="Q101" s="580">
        <f>IF(OR(Q$99="",Q$100=""),"",HLOOKUP(Q$98,Calculations!$B$1:$AX$122,ROW(Calculations!$B$62)))</f>
        <v>270.15214742643229</v>
      </c>
      <c r="R101" s="580">
        <f>IF(OR(R$99="",R$100=""),"",HLOOKUP(R$98,Calculations!$B$1:$AX$122,ROW(Calculations!$B$62)))</f>
        <v>264.75593753802025</v>
      </c>
      <c r="S101" s="580">
        <f>IF(OR(S$99="",S$100=""),"",HLOOKUP(S$98,Calculations!$B$1:$AX$122,ROW(Calculations!$B$62)))</f>
        <v>259.11103150131419</v>
      </c>
      <c r="T101" s="580">
        <f>IF(OR(T$99="",T$100=""),"",HLOOKUP(T$98,Calculations!$B$1:$AX$122,ROW(Calculations!$B$62)))</f>
        <v>253.22735881434099</v>
      </c>
      <c r="U101" s="580">
        <f>IF(OR(U$99="",U$100=""),"",HLOOKUP(U$98,Calculations!$B$1:$AX$122,ROW(Calculations!$B$62)))</f>
        <v>245.10805343624853</v>
      </c>
      <c r="V101" s="580">
        <f>IF(OR(V$99="",V$100=""),"",HLOOKUP(V$98,Calculations!$B$1:$AX$122,ROW(Calculations!$B$62)))</f>
        <v>236.98874805815603</v>
      </c>
      <c r="W101" s="580">
        <f>IF(OR(W$99="",W$100=""),"",HLOOKUP(W$98,Calculations!$B$1:$AX$122,ROW(Calculations!$B$62)))</f>
        <v>228.86944268006354</v>
      </c>
      <c r="X101" s="580">
        <f>IF(OR(X$99="",X$100=""),"",HLOOKUP(X$98,Calculations!$B$1:$AX$122,ROW(Calculations!$B$62)))</f>
        <v>220.75013730197102</v>
      </c>
      <c r="Y101" s="580">
        <f>IF(OR(Y$99="",Y$100=""),"",HLOOKUP(Y$98,Calculations!$B$1:$AX$122,ROW(Calculations!$B$62)))</f>
        <v>212.63083192387862</v>
      </c>
      <c r="Z101" s="580">
        <f>IF(OR(Z$99="",Z$100=""),"",HLOOKUP(Z$98,Calculations!$B$1:$AX$122,ROW(Calculations!$B$62)))</f>
        <v>204.51152654578613</v>
      </c>
      <c r="AA101" s="580">
        <f>IF(OR(AA$99="",AA$100=""),"",HLOOKUP(AA$98,Calculations!$B$1:$AX$122,ROW(Calculations!$B$62)))</f>
        <v>196.39222116769366</v>
      </c>
      <c r="AB101" s="580">
        <f>IF(OR(AB$99="",AB$100=""),"",HLOOKUP(AB$98,Calculations!$B$1:$AX$122,ROW(Calculations!$B$62)))</f>
        <v>187.88435141382408</v>
      </c>
      <c r="AC101" s="580">
        <f>IF(OR(AC$99="",AC$100=""),"",HLOOKUP(AC$98,Calculations!$B$1:$AX$122,ROW(Calculations!$B$62)))</f>
        <v>178.46366421629327</v>
      </c>
      <c r="AD101" s="580">
        <f>IF(OR(AD$99="",AD$100=""),"",HLOOKUP(AD$98,Calculations!$B$1:$AX$122,ROW(Calculations!$B$62)))</f>
        <v>168.82209575138185</v>
      </c>
      <c r="AE101" s="580">
        <f>IF(OR(AE$99="",AE$100=""),"",HLOOKUP(AE$98,Calculations!$B$1:$AX$122,ROW(Calculations!$B$62)))</f>
        <v>163.35757051444105</v>
      </c>
      <c r="AF101" s="580">
        <f>IF(OR(AF$99="",AF$100=""),"",HLOOKUP(AF$98,Calculations!$B$1:$AX$122,ROW(Calculations!$B$62)))</f>
        <v>157.82411261103931</v>
      </c>
      <c r="AG101" s="580">
        <f>IF(OR(AG$99="",AG$100=""),"",HLOOKUP(AG$98,Calculations!$B$1:$AX$122,ROW(Calculations!$B$62)))</f>
        <v>152.22492932857412</v>
      </c>
      <c r="AH101" s="580">
        <f>IF(OR(AH$99="",AH$100=""),"",HLOOKUP(AH$98,Calculations!$B$1:$AX$122,ROW(Calculations!$B$62)))</f>
        <v>146.5630320223766</v>
      </c>
      <c r="AI101" s="580">
        <f>IF(OR(AI$99="",AI$100=""),"",HLOOKUP(AI$98,Calculations!$B$1:$AX$122,ROW(Calculations!$B$62)))</f>
        <v>140.84125085242323</v>
      </c>
      <c r="AJ101" s="580">
        <f>IF(OR(AJ$99="",AJ$100=""),"",HLOOKUP(AJ$98,Calculations!$B$1:$AX$122,ROW(Calculations!$B$62)))</f>
        <v>135.06224820968131</v>
      </c>
      <c r="AK101" s="580">
        <f>IF(OR(AK$99="",AK$100=""),"",HLOOKUP(AK$98,Calculations!$B$1:$AX$122,ROW(Calculations!$B$62)))</f>
        <v>129.22853096603907</v>
      </c>
      <c r="AL101" s="580">
        <f>IF(OR(AL$99="",AL$100=""),"",HLOOKUP(AL$98,Calculations!$B$1:$AX$122,ROW(Calculations!$B$62)))</f>
        <v>123.34246166634536</v>
      </c>
      <c r="AM101" s="580">
        <f>IF(OR(AM$99="",AM$100=""),"",HLOOKUP(AM$98,Calculations!$B$1:$AX$122,ROW(Calculations!$B$62)))</f>
        <v>117.406268767632</v>
      </c>
      <c r="AN101" s="580">
        <f>IF(OR(AN$99="",AN$100=""),"",HLOOKUP(AN$98,Calculations!$B$1:$AX$122,ROW(Calculations!$B$62)))</f>
        <v>111.42205601883089</v>
      </c>
    </row>
    <row r="102" spans="4:56" ht="19.5" customHeight="1" thickTop="1" x14ac:dyDescent="0.25">
      <c r="D102" s="661"/>
      <c r="F102" s="573"/>
      <c r="G102" s="573"/>
      <c r="H102" s="573"/>
      <c r="I102" s="573"/>
      <c r="J102" s="582"/>
      <c r="K102" s="582"/>
      <c r="L102" s="582"/>
      <c r="M102" s="582"/>
      <c r="N102" s="582"/>
      <c r="O102" s="582"/>
      <c r="P102" s="582"/>
      <c r="Q102" s="582"/>
      <c r="R102" s="582"/>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c r="AN102" s="582"/>
    </row>
    <row r="103" spans="4:56" ht="19.5" customHeight="1" thickBot="1" x14ac:dyDescent="0.3">
      <c r="D103" s="661"/>
      <c r="F103" s="660" t="str">
        <f>+B54</f>
        <v>Company | Heat and process-related emissions intensity (tCO2/t)</v>
      </c>
      <c r="G103" s="660">
        <f t="shared" ref="G103:H105" si="1">+G54</f>
        <v>0</v>
      </c>
      <c r="H103" s="660">
        <f t="shared" si="1"/>
        <v>0.18649494110171572</v>
      </c>
      <c r="J103" s="580">
        <f>IF(AND($D$13=Lists!$N$2,$D$17&gt;0,$D$18&gt;0,J98&lt;&gt;""),HLOOKUP(J$98,Calculations!$B$1:$AX$122,ROW(Calculations!$B$102)),"")</f>
        <v>0.2</v>
      </c>
      <c r="K103" s="580">
        <f>IF(AND($D$13=Lists!$N$2,$D$17&gt;0,$D$18&gt;0,K98&lt;&gt;""),HLOOKUP(K$98,Calculations!$B$1:$AX$122,ROW(Calculations!$B$102)),"")</f>
        <v>0.19591107348386613</v>
      </c>
      <c r="L103" s="580">
        <f>IF(AND($D$13=Lists!$N$2,$D$17&gt;0,$D$18&gt;0,L98&lt;&gt;""),HLOOKUP(L$98,Calculations!$B$1:$AX$122,ROW(Calculations!$B$102)),"")</f>
        <v>0.19190868509505782</v>
      </c>
      <c r="M103" s="580">
        <f>IF(AND($D$13=Lists!$N$2,$D$17&gt;0,$D$18&gt;0,M98&lt;&gt;""),HLOOKUP(M$98,Calculations!$B$1:$AX$122,ROW(Calculations!$B$102)),"")</f>
        <v>0.18799011635837121</v>
      </c>
      <c r="N103" s="580">
        <f>IF(AND($D$13=Lists!$N$2,$D$17&gt;0,$D$18&gt;0,N98&lt;&gt;""),HLOOKUP(N$98,Calculations!$B$1:$AX$122,ROW(Calculations!$B$102)),"")</f>
        <v>0.18415276148151224</v>
      </c>
      <c r="O103" s="580">
        <f>IF(AND($D$13=Lists!$N$2,$D$17&gt;0,$D$18&gt;0,O98&lt;&gt;""),HLOOKUP(O$98,Calculations!$B$1:$AX$122,ROW(Calculations!$B$102)),"")</f>
        <v>0.18039412157648632</v>
      </c>
      <c r="P103" s="580">
        <f>IF(AND($D$13=Lists!$N$2,$D$17&gt;0,$D$18&gt;0,P98&lt;&gt;""),HLOOKUP(P$98,Calculations!$B$1:$AX$122,ROW(Calculations!$B$102)),"")</f>
        <v>0.17671179923298375</v>
      </c>
      <c r="Q103" s="580">
        <f>IF(AND($D$13=Lists!$N$2,$D$17&gt;0,$D$18&gt;0,Q98&lt;&gt;""),HLOOKUP(Q$98,Calculations!$B$1:$AX$122,ROW(Calculations!$B$102)),"")</f>
        <v>0.17310349341899881</v>
      </c>
      <c r="R103" s="580">
        <f>IF(AND($D$13=Lists!$N$2,$D$17&gt;0,$D$18&gt;0,R98&lt;&gt;""),HLOOKUP(R$98,Calculations!$B$1:$AX$122,ROW(Calculations!$B$102)),"")</f>
        <v>0.16956699468588921</v>
      </c>
      <c r="S103" s="580">
        <f>IF(AND($D$13=Lists!$N$2,$D$17&gt;0,$D$18&gt;0,S98&lt;&gt;""),HLOOKUP(S$98,Calculations!$B$1:$AX$122,ROW(Calculations!$B$102)),"")</f>
        <v>0.16610018065688026</v>
      </c>
      <c r="T103" s="580">
        <f>IF(AND($D$13=Lists!$N$2,$D$17&gt;0,$D$18&gt;0,T98&lt;&gt;""),HLOOKUP(T$98,Calculations!$B$1:$AX$122,ROW(Calculations!$B$102)),"")</f>
        <v>0.16270101177965687</v>
      </c>
      <c r="U103" s="580">
        <f>IF(AND($D$13=Lists!$N$2,$D$17&gt;0,$D$18&gt;0,U98&lt;&gt;""),HLOOKUP(U$98,Calculations!$B$1:$AX$122,ROW(Calculations!$B$102)),"")</f>
        <v>0.15756913342423345</v>
      </c>
      <c r="V103" s="580">
        <f>IF(AND($D$13=Lists!$N$2,$D$17&gt;0,$D$18&gt;0,V98&lt;&gt;""),HLOOKUP(V$98,Calculations!$B$1:$AX$122,ROW(Calculations!$B$102)),"")</f>
        <v>0.15251127254509017</v>
      </c>
      <c r="W103" s="580">
        <f>IF(AND($D$13=Lists!$N$2,$D$17&gt;0,$D$18&gt;0,W98&lt;&gt;""),HLOOKUP(W$98,Calculations!$B$1:$AX$122,ROW(Calculations!$B$102)),"")</f>
        <v>0.14752583926803486</v>
      </c>
      <c r="X103" s="580">
        <f>IF(AND($D$13=Lists!$N$2,$D$17&gt;0,$D$18&gt;0,X98&lt;&gt;""),HLOOKUP(X$98,Calculations!$B$1:$AX$122,ROW(Calculations!$B$102)),"")</f>
        <v>0.14261128892856803</v>
      </c>
      <c r="Y103" s="580">
        <f>IF(AND($D$13=Lists!$N$2,$D$17&gt;0,$D$18&gt;0,Y98&lt;&gt;""),HLOOKUP(Y$98,Calculations!$B$1:$AX$122,ROW(Calculations!$B$102)),"")</f>
        <v>0.13776612047624659</v>
      </c>
      <c r="Z103" s="580">
        <f>IF(AND($D$13=Lists!$N$2,$D$17&gt;0,$D$18&gt;0,Z98&lt;&gt;""),HLOOKUP(Z$98,Calculations!$B$1:$AX$122,ROW(Calculations!$B$102)),"")</f>
        <v>0.132988874946154</v>
      </c>
      <c r="AA103" s="580">
        <f>IF(AND($D$13=Lists!$N$2,$D$17&gt;0,$D$18&gt;0,AA98&lt;&gt;""),HLOOKUP(AA$98,Calculations!$B$1:$AX$122,ROW(Calculations!$B$102)),"")</f>
        <v>0.12827813399420651</v>
      </c>
      <c r="AB103" s="580">
        <f>IF(AND($D$13=Lists!$N$2,$D$17&gt;0,$D$18&gt;0,AB98&lt;&gt;""),HLOOKUP(AB$98,Calculations!$B$1:$AX$122,ROW(Calculations!$B$102)),"")</f>
        <v>0.12363251849320761</v>
      </c>
      <c r="AC103" s="580">
        <f>IF(AND($D$13=Lists!$N$2,$D$17&gt;0,$D$18&gt;0,AC98&lt;&gt;""),HLOOKUP(AC$98,Calculations!$B$1:$AX$122,ROW(Calculations!$B$102)),"")</f>
        <v>0.11905068718673044</v>
      </c>
      <c r="AD103" s="580">
        <f>IF(AND($D$13=Lists!$N$2,$D$17&gt;0,$D$18&gt;0,AD98&lt;&gt;""),HLOOKUP(AD$98,Calculations!$B$1:$AX$122,ROW(Calculations!$B$102)),"")</f>
        <v>0.11453133539806887</v>
      </c>
      <c r="AE103" s="580">
        <f>IF(AND($D$13=Lists!$N$2,$D$17&gt;0,$D$18&gt;0,AE98&lt;&gt;""),HLOOKUP(AE$98,Calculations!$B$1:$AX$122,ROW(Calculations!$B$102)),"")</f>
        <v>0.11166155841093953</v>
      </c>
      <c r="AF103" s="580">
        <f>IF(AND($D$13=Lists!$N$2,$D$17&gt;0,$D$18&gt;0,AF98&lt;&gt;""),HLOOKUP(AF$98,Calculations!$B$1:$AX$122,ROW(Calculations!$B$102)),"")</f>
        <v>0.10881763527054109</v>
      </c>
      <c r="AG103" s="580">
        <f>IF(AND($D$13=Lists!$N$2,$D$17&gt;0,$D$18&gt;0,AG98&lt;&gt;""),HLOOKUP(AG$98,Calculations!$B$1:$AX$122,ROW(Calculations!$B$102)),"")</f>
        <v>0.10599921816727625</v>
      </c>
      <c r="AH103" s="580">
        <f>IF(AND($D$13=Lists!$N$2,$D$17&gt;0,$D$18&gt;0,AH98&lt;&gt;""),HLOOKUP(AH$98,Calculations!$B$1:$AX$122,ROW(Calculations!$B$102)),"")</f>
        <v>0.10320596550243344</v>
      </c>
      <c r="AI103" s="580">
        <f>IF(AND($D$13=Lists!$N$2,$D$17&gt;0,$D$18&gt;0,AI98&lt;&gt;""),HLOOKUP(AI$98,Calculations!$B$1:$AX$122,ROW(Calculations!$B$102)),"")</f>
        <v>0.100437541750167</v>
      </c>
      <c r="AJ103" s="580">
        <f>IF(AND($D$13=Lists!$N$2,$D$17&gt;0,$D$18&gt;0,AJ98&lt;&gt;""),HLOOKUP(AJ$98,Calculations!$B$1:$AX$122,ROW(Calculations!$B$102)),"")</f>
        <v>9.7693617323141857E-2</v>
      </c>
      <c r="AK103" s="580">
        <f>IF(AND($D$13=Lists!$N$2,$D$17&gt;0,$D$18&gt;0,AK98&lt;&gt;""),HLOOKUP(AK$98,Calculations!$B$1:$AX$122,ROW(Calculations!$B$102)),"")</f>
        <v>9.4973868441729281E-2</v>
      </c>
      <c r="AL103" s="580">
        <f>IF(AND($D$13=Lists!$N$2,$D$17&gt;0,$D$18&gt;0,AL98&lt;&gt;""),HLOOKUP(AL$98,Calculations!$B$1:$AX$122,ROW(Calculations!$B$102)),"")</f>
        <v>9.2277977006644862E-2</v>
      </c>
      <c r="AM103" s="580">
        <f>IF(AND($D$13=Lists!$N$2,$D$17&gt;0,$D$18&gt;0,AM98&lt;&gt;""),HLOOKUP(AM$98,Calculations!$B$1:$AX$122,ROW(Calculations!$B$102)),"")</f>
        <v>8.9605630474923648E-2</v>
      </c>
      <c r="AN103" s="580">
        <f>IF(AND($D$13=Lists!$N$2,$D$17&gt;0,$D$18&gt;0,AN98&lt;&gt;""),HLOOKUP(AN$98,Calculations!$B$1:$AX$122,ROW(Calculations!$B$102)),"")</f>
        <v>8.6956521739130432E-2</v>
      </c>
    </row>
    <row r="104" spans="4:56" ht="19.5" customHeight="1" thickTop="1" thickBot="1" x14ac:dyDescent="0.3">
      <c r="D104" s="661"/>
      <c r="F104" s="660" t="str">
        <f>+B55</f>
        <v>Company | Electricity-related emissions intensity (tCO2/t)</v>
      </c>
      <c r="G104" s="660">
        <f t="shared" si="1"/>
        <v>0</v>
      </c>
      <c r="H104" s="660">
        <f t="shared" si="1"/>
        <v>0.45605510531990734</v>
      </c>
      <c r="J104" s="580">
        <f>IF(AND($D$13=Lists!$N$2,J98&lt;&gt;""),HLOOKUP(J$98,Calculations!$B$1:$AX$122,ROW(Calculations!$B$103)),"")</f>
        <v>0.1</v>
      </c>
      <c r="K104" s="580">
        <f>IF(AND($D$13=Lists!$N$2,K98&lt;&gt;""),HLOOKUP(K$98,Calculations!$B$1:$AX$122,ROW(Calculations!$B$103)),"")</f>
        <v>9.894345258991033E-2</v>
      </c>
      <c r="L104" s="580">
        <f>IF(AND($D$13=Lists!$N$2,L98&lt;&gt;""),HLOOKUP(L$98,Calculations!$B$1:$AX$122,ROW(Calculations!$B$103)),"")</f>
        <v>9.7909265971568557E-2</v>
      </c>
      <c r="M104" s="580">
        <f>IF(AND($D$13=Lists!$N$2,M98&lt;&gt;""),HLOOKUP(M$98,Calculations!$B$1:$AX$122,ROW(Calculations!$B$103)),"")</f>
        <v>9.6896737711726175E-2</v>
      </c>
      <c r="N104" s="580">
        <f>IF(AND($D$13=Lists!$N$2,N98&lt;&gt;""),HLOOKUP(N$98,Calculations!$B$1:$AX$122,ROW(Calculations!$B$103)),"")</f>
        <v>9.5905194493538445E-2</v>
      </c>
      <c r="O104" s="580">
        <f>IF(AND($D$13=Lists!$N$2,O98&lt;&gt;""),HLOOKUP(O$98,Calculations!$B$1:$AX$122,ROW(Calculations!$B$103)),"")</f>
        <v>9.4933990623416162E-2</v>
      </c>
      <c r="P104" s="580">
        <f>IF(AND($D$13=Lists!$N$2,P98&lt;&gt;""),HLOOKUP(P$98,Calculations!$B$1:$AX$122,ROW(Calculations!$B$103)),"")</f>
        <v>9.2113298786291584E-2</v>
      </c>
      <c r="Q104" s="580">
        <f>IF(AND($D$13=Lists!$N$2,Q98&lt;&gt;""),HLOOKUP(Q$98,Calculations!$B$1:$AX$122,ROW(Calculations!$B$103)),"")</f>
        <v>8.4699686786135889E-2</v>
      </c>
      <c r="R104" s="580">
        <f>IF(AND($D$13=Lists!$N$2,R98&lt;&gt;""),HLOOKUP(R$98,Calculations!$B$1:$AX$122,ROW(Calculations!$B$103)),"")</f>
        <v>7.5873747503990285E-2</v>
      </c>
      <c r="S104" s="580">
        <f>IF(AND($D$13=Lists!$N$2,S98&lt;&gt;""),HLOOKUP(S$98,Calculations!$B$1:$AX$122,ROW(Calculations!$B$103)),"")</f>
        <v>6.5739722170210485E-2</v>
      </c>
      <c r="T104" s="580">
        <f>IF(AND($D$13=Lists!$N$2,T98&lt;&gt;""),HLOOKUP(T$98,Calculations!$B$1:$AX$122,ROW(Calculations!$B$103)),"")</f>
        <v>5.4394489468009267E-2</v>
      </c>
      <c r="U104" s="580">
        <f>IF(AND($D$13=Lists!$N$2,U98&lt;&gt;""),HLOOKUP(U$98,Calculations!$B$1:$AX$122,ROW(Calculations!$B$103)),"")</f>
        <v>5.4008181920953122E-2</v>
      </c>
      <c r="V104" s="580">
        <f>IF(AND($D$13=Lists!$N$2,V98&lt;&gt;""),HLOOKUP(V$98,Calculations!$B$1:$AX$122,ROW(Calculations!$B$103)),"")</f>
        <v>5.3627446117364148E-2</v>
      </c>
      <c r="W104" s="580">
        <f>IF(AND($D$13=Lists!$N$2,W98&lt;&gt;""),HLOOKUP(W$98,Calculations!$B$1:$AX$122,ROW(Calculations!$B$103)),"")</f>
        <v>5.3252162377788369E-2</v>
      </c>
      <c r="X104" s="580">
        <f>IF(AND($D$13=Lists!$N$2,X98&lt;&gt;""),HLOOKUP(X$98,Calculations!$B$1:$AX$122,ROW(Calculations!$B$103)),"")</f>
        <v>5.2882214425979089E-2</v>
      </c>
      <c r="Y104" s="580">
        <f>IF(AND($D$13=Lists!$N$2,Y98&lt;&gt;""),HLOOKUP(Y$98,Calculations!$B$1:$AX$122,ROW(Calculations!$B$103)),"")</f>
        <v>5.2517489268783565E-2</v>
      </c>
      <c r="Z104" s="580">
        <f>IF(AND($D$13=Lists!$N$2,Z98&lt;&gt;""),HLOOKUP(Z$98,Calculations!$B$1:$AX$122,ROW(Calculations!$B$103)),"")</f>
        <v>5.2157877081081473E-2</v>
      </c>
      <c r="AA104" s="580">
        <f>IF(AND($D$13=Lists!$N$2,AA98&lt;&gt;""),HLOOKUP(AA$98,Calculations!$B$1:$AX$122,ROW(Calculations!$B$103)),"")</f>
        <v>5.1803271095528333E-2</v>
      </c>
      <c r="AB104" s="580">
        <f>IF(AND($D$13=Lists!$N$2,AB98&lt;&gt;""),HLOOKUP(AB$98,Calculations!$B$1:$AX$122,ROW(Calculations!$B$103)),"")</f>
        <v>4.9287473434291837E-2</v>
      </c>
      <c r="AC104" s="580">
        <f>IF(AND($D$13=Lists!$N$2,AC98&lt;&gt;""),HLOOKUP(AC$98,Calculations!$B$1:$AX$122,ROW(Calculations!$B$103)),"")</f>
        <v>4.1752551405550953E-2</v>
      </c>
      <c r="AD104" s="580">
        <f>IF(AND($D$13=Lists!$N$2,AD98&lt;&gt;""),HLOOKUP(AD$98,Calculations!$B$1:$AX$122,ROW(Calculations!$B$103)),"")</f>
        <v>3.3105842657504249E-2</v>
      </c>
      <c r="AE104" s="580">
        <f>IF(AND($D$13=Lists!$N$2,AE98&lt;&gt;""),HLOOKUP(AE$98,Calculations!$B$1:$AX$122,ROW(Calculations!$B$103)),"")</f>
        <v>3.1445740882833487E-2</v>
      </c>
      <c r="AF104" s="580">
        <f>IF(AND($D$13=Lists!$N$2,AF98&lt;&gt;""),HLOOKUP(AF$98,Calculations!$B$1:$AX$122,ROW(Calculations!$B$103)),"")</f>
        <v>2.9424977176868729E-2</v>
      </c>
      <c r="AG104" s="580">
        <f>IF(AND($D$13=Lists!$N$2,AG98&lt;&gt;""),HLOOKUP(AG$98,Calculations!$B$1:$AX$122,ROW(Calculations!$B$103)),"")</f>
        <v>2.7065801804423566E-2</v>
      </c>
      <c r="AH104" s="580">
        <f>IF(AND($D$13=Lists!$N$2,AH98&lt;&gt;""),HLOOKUP(AH$98,Calculations!$B$1:$AX$122,ROW(Calculations!$B$103)),"")</f>
        <v>2.438900959233628E-2</v>
      </c>
      <c r="AI104" s="580">
        <f>IF(AND($D$13=Lists!$N$2,AI98&lt;&gt;""),HLOOKUP(AI$98,Calculations!$B$1:$AX$122,ROW(Calculations!$B$103)),"")</f>
        <v>2.1414051502987919E-2</v>
      </c>
      <c r="AJ104" s="580">
        <f>IF(AND($D$13=Lists!$N$2,AJ98&lt;&gt;""),HLOOKUP(AJ$98,Calculations!$B$1:$AX$122,ROW(Calculations!$B$103)),"")</f>
        <v>1.8159136231813144E-2</v>
      </c>
      <c r="AK104" s="580">
        <f>IF(AND($D$13=Lists!$N$2,AK98&lt;&gt;""),HLOOKUP(AK$98,Calculations!$B$1:$AX$122,ROW(Calculations!$B$103)),"")</f>
        <v>1.4641322850257781E-2</v>
      </c>
      <c r="AL104" s="580">
        <f>IF(AND($D$13=Lists!$N$2,AL98&lt;&gt;""),HLOOKUP(AL$98,Calculations!$B$1:$AX$122,ROW(Calculations!$B$103)),"")</f>
        <v>1.0876605397962896E-2</v>
      </c>
      <c r="AM104" s="580">
        <f>IF(AND($D$13=Lists!$N$2,AM98&lt;&gt;""),HLOOKUP(AM$98,Calculations!$B$1:$AX$122,ROW(Calculations!$B$103)),"")</f>
        <v>6.8799902253113172E-3</v>
      </c>
      <c r="AN104" s="580">
        <f>IF(AND($D$13=Lists!$N$2,AN98&lt;&gt;""),HLOOKUP(AN$98,Calculations!$B$1:$AX$122,ROW(Calculations!$B$103)),"")</f>
        <v>2.6655667977552888E-3</v>
      </c>
    </row>
    <row r="105" spans="4:56" ht="19.5" customHeight="1" thickTop="1" thickBot="1" x14ac:dyDescent="0.3">
      <c r="D105" s="661"/>
      <c r="F105" s="660" t="str">
        <f>+B56</f>
        <v>Company | Total emissions intensity (tCO2/t)</v>
      </c>
      <c r="G105" s="660">
        <f t="shared" si="1"/>
        <v>0</v>
      </c>
      <c r="H105" s="660">
        <f t="shared" si="1"/>
        <v>0.2382591645422264</v>
      </c>
      <c r="J105" s="580">
        <f>IF(OR(J$99="",J$100=""),"",HLOOKUP(J$98,Calculations!$B$1:$AX$78,ROW(Calculations!$B$61)))</f>
        <v>0.3</v>
      </c>
      <c r="K105" s="580">
        <f>IF(OR(K$99="",K$100=""),"",HLOOKUP(K$98,Calculations!$B$1:$AX$78,ROW(Calculations!$B$61)))</f>
        <v>0.29276721188244081</v>
      </c>
      <c r="L105" s="580">
        <f>IF(OR(L$99="",L$100=""),"",HLOOKUP(L$98,Calculations!$B$1:$AX$78,ROW(Calculations!$B$61)))</f>
        <v>0.28568749864567655</v>
      </c>
      <c r="M105" s="580">
        <f>IF(OR(M$99="",M$100=""),"",HLOOKUP(M$98,Calculations!$B$1:$AX$78,ROW(Calculations!$B$61)))</f>
        <v>0.27875605165470851</v>
      </c>
      <c r="N105" s="580">
        <f>IF(OR(N$99="",N$100=""),"",HLOOKUP(N$98,Calculations!$B$1:$AX$78,ROW(Calculations!$B$61)))</f>
        <v>0.27196826159619564</v>
      </c>
      <c r="O105" s="580">
        <f>IF(OR(O$99="",O$100=""),"",HLOOKUP(O$98,Calculations!$B$1:$AX$78,ROW(Calculations!$B$61)))</f>
        <v>0.26531970825683182</v>
      </c>
      <c r="P105" s="580">
        <f>IF(OR(P$99="",P$100=""),"",HLOOKUP(P$98,Calculations!$B$1:$AX$78,ROW(Calculations!$B$61)))</f>
        <v>0.25852028969414109</v>
      </c>
      <c r="Q105" s="580">
        <f>IF(OR(Q$99="",Q$100=""),"",HLOOKUP(Q$98,Calculations!$B$1:$AX$78,ROW(Calculations!$B$61)))</f>
        <v>0.25114646871301494</v>
      </c>
      <c r="R105" s="580">
        <f>IF(OR(R$99="",R$100=""),"",HLOOKUP(R$98,Calculations!$B$1:$AX$78,ROW(Calculations!$B$61)))</f>
        <v>0.24368083803250623</v>
      </c>
      <c r="S105" s="580">
        <f>IF(OR(S$99="",S$100=""),"",HLOOKUP(S$98,Calculations!$B$1:$AX$78,ROW(Calculations!$B$61)))</f>
        <v>0.23613566910218287</v>
      </c>
      <c r="T105" s="580">
        <f>IF(OR(T$99="",T$100=""),"",HLOOKUP(T$98,Calculations!$B$1:$AX$78,ROW(Calculations!$B$61)))</f>
        <v>0.22852225063733211</v>
      </c>
      <c r="U105" s="580">
        <f>IF(OR(U$99="",U$100=""),"",HLOOKUP(U$98,Calculations!$B$1:$AX$78,ROW(Calculations!$B$61)))</f>
        <v>0.21958832874433887</v>
      </c>
      <c r="V105" s="580">
        <f>IF(OR(V$99="",V$100=""),"",HLOOKUP(V$98,Calculations!$B$1:$AX$78,ROW(Calculations!$B$61)))</f>
        <v>0.21078326149403301</v>
      </c>
      <c r="W105" s="580">
        <f>IF(OR(W$99="",W$100=""),"",HLOOKUP(W$98,Calculations!$B$1:$AX$78,ROW(Calculations!$B$61)))</f>
        <v>0.20210428112559309</v>
      </c>
      <c r="X105" s="580">
        <f>IF(OR(X$99="",X$100=""),"",HLOOKUP(X$98,Calculations!$B$1:$AX$78,ROW(Calculations!$B$61)))</f>
        <v>0.1935486985822969</v>
      </c>
      <c r="Y105" s="580">
        <f>IF(OR(Y$99="",Y$100=""),"",HLOOKUP(Y$98,Calculations!$B$1:$AX$78,ROW(Calculations!$B$61)))</f>
        <v>0.1851139007337296</v>
      </c>
      <c r="Z105" s="580">
        <f>IF(OR(Z$99="",Z$100=""),"",HLOOKUP(Z$98,Calculations!$B$1:$AX$78,ROW(Calculations!$B$61)))</f>
        <v>0.17679734771481512</v>
      </c>
      <c r="AA105" s="580">
        <f>IF(OR(AA$99="",AA$100=""),"",HLOOKUP(AA$98,Calculations!$B$1:$AX$78,ROW(Calculations!$B$61)))</f>
        <v>0.16859657037597831</v>
      </c>
      <c r="AB105" s="580">
        <f>IF(OR(AB$99="",AB$100=""),"",HLOOKUP(AB$98,Calculations!$B$1:$AX$78,ROW(Calculations!$B$61)))</f>
        <v>0.16017790327906661</v>
      </c>
      <c r="AC105" s="580">
        <f>IF(OR(AC$99="",AC$100=""),"",HLOOKUP(AC$98,Calculations!$B$1:$AX$78,ROW(Calculations!$B$61)))</f>
        <v>0.15110195826093481</v>
      </c>
      <c r="AD105" s="580">
        <f>IF(OR(AD$99="",AD$100=""),"",HLOOKUP(AD$98,Calculations!$B$1:$AX$78,ROW(Calculations!$B$61)))</f>
        <v>0.14196403506366201</v>
      </c>
      <c r="AE105" s="580">
        <f>IF(OR(AE$99="",AE$100=""),"",HLOOKUP(AE$98,Calculations!$B$1:$AX$78,ROW(Calculations!$B$61)))</f>
        <v>0.1367472875347131</v>
      </c>
      <c r="AF105" s="580">
        <f>IF(OR(AF$99="",AF$100=""),"",HLOOKUP(AF$98,Calculations!$B$1:$AX$78,ROW(Calculations!$B$61)))</f>
        <v>0.13152009384253277</v>
      </c>
      <c r="AG105" s="580">
        <f>IF(OR(AG$99="",AG$100=""),"",HLOOKUP(AG$98,Calculations!$B$1:$AX$78,ROW(Calculations!$B$61)))</f>
        <v>0.12628525527258391</v>
      </c>
      <c r="AH105" s="580">
        <f>IF(OR(AH$99="",AH$100=""),"",HLOOKUP(AH$98,Calculations!$B$1:$AX$78,ROW(Calculations!$B$61)))</f>
        <v>0.12104536126848069</v>
      </c>
      <c r="AI105" s="580">
        <f>IF(OR(AI$99="",AI$100=""),"",HLOOKUP(AI$98,Calculations!$B$1:$AX$78,ROW(Calculations!$B$61)))</f>
        <v>0.11580280625643688</v>
      </c>
      <c r="AJ105" s="580">
        <f>IF(OR(AJ$99="",AJ$100=""),"",HLOOKUP(AJ$98,Calculations!$B$1:$AX$78,ROW(Calculations!$B$61)))</f>
        <v>0.11055980495040285</v>
      </c>
      <c r="AK105" s="580">
        <f>IF(OR(AK$99="",AK$100=""),"",HLOOKUP(AK$98,Calculations!$B$1:$AX$78,ROW(Calculations!$B$61)))</f>
        <v>0.10531840629390851</v>
      </c>
      <c r="AL105" s="580">
        <f>IF(OR(AL$99="",AL$100=""),"",HLOOKUP(AL$98,Calculations!$B$1:$AX$78,ROW(Calculations!$B$61)))</f>
        <v>0.10008050617663987</v>
      </c>
      <c r="AM105" s="580">
        <f>IF(OR(AM$99="",AM$100=""),"",HLOOKUP(AM$98,Calculations!$B$1:$AX$78,ROW(Calculations!$B$61)))</f>
        <v>9.4847859048086985E-2</v>
      </c>
      <c r="AN105" s="580">
        <f>IF(OR(AN$99="",AN$100=""),"",HLOOKUP(AN$98,Calculations!$B$1:$AX$78,ROW(Calculations!$B$61)))</f>
        <v>8.9622088536885719E-2</v>
      </c>
    </row>
    <row r="106" spans="4:56" ht="19.5" customHeight="1" thickTop="1" x14ac:dyDescent="0.25">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row>
    <row r="107" spans="4:56" ht="19.5" customHeight="1" x14ac:dyDescent="0.25">
      <c r="AE107" s="583"/>
    </row>
    <row r="108" spans="4:56" ht="19.5" customHeight="1" x14ac:dyDescent="0.25"/>
    <row r="109" spans="4:56" ht="19.5" customHeight="1" x14ac:dyDescent="0.25"/>
    <row r="110" spans="4:56" ht="19.5" customHeight="1" x14ac:dyDescent="0.25"/>
    <row r="111" spans="4:56" ht="19.5" customHeight="1" x14ac:dyDescent="0.25"/>
    <row r="112" spans="4:56" ht="19.5" customHeight="1" x14ac:dyDescent="0.25"/>
    <row r="113" ht="19.5" customHeight="1" x14ac:dyDescent="0.25"/>
    <row r="114" ht="19.5" customHeight="1" x14ac:dyDescent="0.25"/>
    <row r="115" ht="19.5" customHeight="1" x14ac:dyDescent="0.25"/>
  </sheetData>
  <sheetProtection algorithmName="SHA-512" hashValue="ggH3WECbBpe7gcqBIGfcSODuqoPEesSuoP7v4h0WYG4+I7PeH/SAdeYzr6txXdZFvwuAswniidK1tm9RQDI17w==" saltValue="2ZjfcQdWEewWLQY4gwpABg==" spinCount="100000" sheet="1" objects="1" scenarios="1"/>
  <mergeCells count="9">
    <mergeCell ref="J13:Q18"/>
    <mergeCell ref="F105:H105"/>
    <mergeCell ref="D99:D105"/>
    <mergeCell ref="F99:H99"/>
    <mergeCell ref="F100:H100"/>
    <mergeCell ref="J21:Q23"/>
    <mergeCell ref="F101:H101"/>
    <mergeCell ref="F103:H103"/>
    <mergeCell ref="F104:H104"/>
  </mergeCells>
  <conditionalFormatting sqref="B50:B52">
    <cfRule type="expression" dxfId="154" priority="62">
      <formula>ISTEXT($D$15)=FALSE</formula>
    </cfRule>
  </conditionalFormatting>
  <conditionalFormatting sqref="B54:B56">
    <cfRule type="expression" dxfId="153" priority="63">
      <formula>ISTEXT($D$15)=FALSE</formula>
    </cfRule>
  </conditionalFormatting>
  <conditionalFormatting sqref="D22">
    <cfRule type="expression" dxfId="152" priority="170">
      <formula>$D$21="Fixed market share"</formula>
    </cfRule>
  </conditionalFormatting>
  <conditionalFormatting sqref="F99:I101">
    <cfRule type="expression" dxfId="151" priority="14">
      <formula>ISTEXT($D$15)=FALSE</formula>
    </cfRule>
  </conditionalFormatting>
  <conditionalFormatting sqref="F103:I105">
    <cfRule type="expression" dxfId="150" priority="12">
      <formula>ISTEXT($D$15)=FALSE</formula>
    </cfRule>
  </conditionalFormatting>
  <conditionalFormatting sqref="J98:AN105 J106:AD106 AF106:BA106 AE107">
    <cfRule type="expression" dxfId="149" priority="177">
      <formula>OR($D$16=0,$D$18=0)</formula>
    </cfRule>
  </conditionalFormatting>
  <dataValidations count="1">
    <dataValidation type="list" allowBlank="1" showInputMessage="1" showErrorMessage="1" sqref="D15" xr:uid="{00000000-0002-0000-0300-000000000000}">
      <formula1>sector</formula1>
    </dataValidation>
  </dataValidations>
  <hyperlinks>
    <hyperlink ref="F6" r:id="rId1" xr:uid="{00000000-0004-0000-0300-000000000000}"/>
    <hyperlink ref="B48" location="'SBT Tool'!D96" display="Review all target modelling data" xr:uid="{00000000-0004-0000-0300-000001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37" id="{18719188-EE13-4498-AFF3-E05A578DBDD9}">
            <xm:f>$D$13=Lists!$N$3</xm:f>
            <x14:dxf>
              <font>
                <color theme="0" tint="-0.24994659260841701"/>
              </font>
              <fill>
                <patternFill>
                  <bgColor theme="0" tint="-0.24994659260841701"/>
                </patternFill>
              </fill>
            </x14:dxf>
          </x14:cfRule>
          <xm:sqref>D13:D15</xm:sqref>
        </x14:conditionalFormatting>
        <x14:conditionalFormatting xmlns:xm="http://schemas.microsoft.com/office/excel/2006/main">
          <x14:cfRule type="expression" priority="32" id="{67256B06-6DED-41AF-9332-44080EB7614C}">
            <xm:f>$D$13=Lists!$N$3</xm:f>
            <x14:dxf>
              <font>
                <color theme="0" tint="-0.24994659260841701"/>
              </font>
              <fill>
                <patternFill>
                  <bgColor theme="0" tint="-0.24994659260841701"/>
                </patternFill>
              </fill>
            </x14:dxf>
          </x14:cfRule>
          <xm:sqref>D17 D21:D22</xm:sqref>
        </x14:conditionalFormatting>
        <x14:conditionalFormatting xmlns:xm="http://schemas.microsoft.com/office/excel/2006/main">
          <x14:cfRule type="expression" priority="7" id="{29A46D45-3C71-4DFD-8458-1CB4F9CBE751}">
            <xm:f>$D$13=Lists!$N$3</xm:f>
            <x14:dxf>
              <font>
                <color theme="0" tint="-0.24994659260841701"/>
              </font>
              <fill>
                <patternFill>
                  <bgColor theme="0" tint="-0.24994659260841701"/>
                </patternFill>
              </fill>
              <border>
                <left/>
                <right/>
                <top/>
                <bottom/>
                <vertical/>
                <horizontal/>
              </border>
            </x14:dxf>
          </x14:cfRule>
          <xm:sqref>D98:AN105</xm:sqref>
        </x14:conditionalFormatting>
        <x14:conditionalFormatting xmlns:xm="http://schemas.microsoft.com/office/excel/2006/main">
          <x14:cfRule type="expression" priority="35" id="{2F733A28-4438-4D29-A117-05BE65955226}">
            <xm:f>$D$13=Lists!$N$3</xm:f>
            <x14:dxf>
              <font>
                <color theme="0"/>
              </font>
            </x14:dxf>
          </x14:cfRule>
          <xm:sqref>F17 F22</xm:sqref>
        </x14:conditionalFormatting>
        <x14:conditionalFormatting xmlns:xm="http://schemas.microsoft.com/office/excel/2006/main">
          <x14:cfRule type="expression" priority="8" id="{5ED85890-336D-4C6B-92ED-4F3A73AFAB64}">
            <xm:f>$D$13=Lists!$N$3</xm:f>
            <x14:dxf>
              <font>
                <color theme="0" tint="-0.24994659260841701"/>
              </font>
              <fill>
                <patternFill>
                  <bgColor theme="0" tint="-0.24994659260841701"/>
                </patternFill>
              </fill>
              <border>
                <left/>
                <right/>
                <top/>
                <bottom/>
                <vertical/>
                <horizontal/>
              </border>
            </x14:dxf>
          </x14:cfRule>
          <xm:sqref>J27:AD40 B29:I91 J41 L41:AD41 J42:AD91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Lists!$K$3:$K$9</xm:f>
          </x14:formula1>
          <xm:sqref>D20</xm:sqref>
        </x14:dataValidation>
        <x14:dataValidation type="list" allowBlank="1" showInputMessage="1" showErrorMessage="1" xr:uid="{00000000-0002-0000-0300-000003000000}">
          <x14:formula1>
            <xm:f>Lists!$L$2:$L$3</xm:f>
          </x14:formula1>
          <xm:sqref>D21</xm:sqref>
        </x14:dataValidation>
        <x14:dataValidation type="list" allowBlank="1" showDropDown="1" showInputMessage="1" showErrorMessage="1" xr:uid="{00000000-0002-0000-0300-000005000000}">
          <x14:formula1>
            <xm:f>Lists!$N$2:$N$2</xm:f>
          </x14:formula1>
          <xm:sqref>D13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Lists!$J$3:$J$14</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X36"/>
  <sheetViews>
    <sheetView zoomScale="85" zoomScaleNormal="85" workbookViewId="0">
      <selection activeCell="D25" sqref="D25"/>
    </sheetView>
  </sheetViews>
  <sheetFormatPr defaultColWidth="10.81640625" defaultRowHeight="12.5" x14ac:dyDescent="0.25"/>
  <cols>
    <col min="1" max="1" width="2.453125" style="537" customWidth="1"/>
    <col min="2" max="2" width="62.54296875" style="537" customWidth="1"/>
    <col min="3" max="3" width="2.81640625" style="537" customWidth="1"/>
    <col min="4" max="4" width="30.54296875" style="537" customWidth="1"/>
    <col min="5" max="5" width="2.81640625" style="537" customWidth="1"/>
    <col min="6" max="6" width="30.54296875" style="537" customWidth="1"/>
    <col min="7" max="7" width="2.81640625" style="537" customWidth="1"/>
    <col min="8" max="8" width="15" style="537" customWidth="1"/>
    <col min="9" max="16384" width="10.81640625" style="537"/>
  </cols>
  <sheetData>
    <row r="2" spans="2:24" ht="30" customHeight="1" x14ac:dyDescent="0.45">
      <c r="C2" s="538"/>
      <c r="D2" s="539" t="s">
        <v>89</v>
      </c>
    </row>
    <row r="3" spans="2:24" ht="30" customHeight="1" x14ac:dyDescent="0.6">
      <c r="D3" s="584" t="s">
        <v>90</v>
      </c>
      <c r="E3" s="540"/>
      <c r="F3" s="540"/>
    </row>
    <row r="4" spans="2:24" ht="20.25" customHeight="1" x14ac:dyDescent="0.25"/>
    <row r="5" spans="2:24" ht="20.149999999999999" customHeight="1" x14ac:dyDescent="0.25">
      <c r="D5" s="541" t="s">
        <v>1</v>
      </c>
      <c r="E5" s="540"/>
      <c r="F5" s="542" t="str">
        <f>'SDA Tool'!F5</f>
        <v>CONSULTATION DRAFT</v>
      </c>
    </row>
    <row r="6" spans="2:24" ht="20.149999999999999" customHeight="1" x14ac:dyDescent="0.25">
      <c r="D6" s="541" t="s">
        <v>2</v>
      </c>
      <c r="E6" s="540"/>
      <c r="F6" s="111" t="s">
        <v>3</v>
      </c>
    </row>
    <row r="7" spans="2:24" ht="20.149999999999999" customHeight="1" x14ac:dyDescent="0.25">
      <c r="D7" s="541"/>
      <c r="E7" s="540"/>
      <c r="F7" s="111"/>
    </row>
    <row r="8" spans="2:24" ht="12.75" customHeight="1" x14ac:dyDescent="0.35">
      <c r="B8" s="543"/>
      <c r="C8" s="543"/>
      <c r="D8" s="543"/>
      <c r="E8" s="543"/>
      <c r="F8" s="543"/>
      <c r="G8" s="543"/>
      <c r="H8" s="543"/>
      <c r="I8" s="543"/>
    </row>
    <row r="9" spans="2:24" ht="12.75" customHeight="1" x14ac:dyDescent="0.35">
      <c r="B9" s="585"/>
      <c r="C9" s="585"/>
      <c r="D9" s="585"/>
      <c r="E9" s="585"/>
      <c r="F9" s="585"/>
      <c r="G9" s="585"/>
      <c r="H9" s="585"/>
      <c r="I9" s="585"/>
      <c r="K9" s="585"/>
      <c r="L9" s="585"/>
      <c r="M9" s="585"/>
      <c r="N9" s="585"/>
      <c r="O9" s="585"/>
      <c r="P9" s="585"/>
      <c r="Q9" s="585"/>
      <c r="R9" s="585"/>
      <c r="S9" s="585"/>
      <c r="T9" s="585"/>
      <c r="U9" s="585"/>
      <c r="V9" s="585"/>
      <c r="W9" s="585"/>
      <c r="X9" s="585"/>
    </row>
    <row r="10" spans="2:24" ht="20.149999999999999" customHeight="1" x14ac:dyDescent="0.35">
      <c r="B10" s="544" t="s">
        <v>67</v>
      </c>
      <c r="K10" s="559" t="s">
        <v>68</v>
      </c>
      <c r="L10" s="540"/>
      <c r="M10" s="540"/>
      <c r="N10" s="540"/>
      <c r="O10" s="540"/>
      <c r="P10" s="540"/>
      <c r="Q10" s="540"/>
      <c r="R10" s="540"/>
    </row>
    <row r="11" spans="2:24" ht="12.75" customHeight="1" thickBot="1" x14ac:dyDescent="0.3">
      <c r="K11" s="540"/>
      <c r="L11" s="540"/>
      <c r="M11" s="540"/>
      <c r="N11" s="540"/>
      <c r="O11" s="540"/>
      <c r="P11" s="540"/>
      <c r="Q11" s="540"/>
      <c r="R11" s="540"/>
    </row>
    <row r="12" spans="2:24" ht="19.5" customHeight="1" thickTop="1" thickBot="1" x14ac:dyDescent="0.3">
      <c r="B12" s="549" t="s">
        <v>69</v>
      </c>
      <c r="C12" s="550" t="str">
        <f>""</f>
        <v/>
      </c>
      <c r="D12" s="586" t="s">
        <v>91</v>
      </c>
      <c r="E12" s="537" t="str">
        <f>""</f>
        <v/>
      </c>
      <c r="F12" s="552" t="s">
        <v>92</v>
      </c>
      <c r="K12" s="659" t="s">
        <v>108</v>
      </c>
      <c r="L12" s="659"/>
      <c r="M12" s="659"/>
      <c r="N12" s="659"/>
      <c r="O12" s="659"/>
      <c r="P12" s="659"/>
      <c r="Q12" s="659"/>
      <c r="R12" s="659"/>
    </row>
    <row r="13" spans="2:24" ht="19.5" customHeight="1" thickTop="1" thickBot="1" x14ac:dyDescent="0.3">
      <c r="B13" s="549" t="s">
        <v>75</v>
      </c>
      <c r="C13" s="550" t="str">
        <f>""</f>
        <v/>
      </c>
      <c r="D13" s="115">
        <v>2020</v>
      </c>
      <c r="E13" s="537" t="str">
        <f>""</f>
        <v/>
      </c>
      <c r="F13" s="552" t="s">
        <v>93</v>
      </c>
      <c r="K13" s="659"/>
      <c r="L13" s="659"/>
      <c r="M13" s="659"/>
      <c r="N13" s="659"/>
      <c r="O13" s="659"/>
      <c r="P13" s="659"/>
      <c r="Q13" s="659"/>
      <c r="R13" s="659"/>
    </row>
    <row r="14" spans="2:24" ht="19.5" customHeight="1" thickTop="1" thickBot="1" x14ac:dyDescent="0.3">
      <c r="B14" s="549" t="s">
        <v>94</v>
      </c>
      <c r="C14" s="550"/>
      <c r="D14" s="115"/>
      <c r="F14" s="552" t="s">
        <v>95</v>
      </c>
      <c r="K14" s="659"/>
      <c r="L14" s="659"/>
      <c r="M14" s="659"/>
      <c r="N14" s="659"/>
      <c r="O14" s="659"/>
      <c r="P14" s="659"/>
      <c r="Q14" s="659"/>
      <c r="R14" s="659"/>
    </row>
    <row r="15" spans="2:24" ht="19.5" customHeight="1" thickTop="1" thickBot="1" x14ac:dyDescent="0.3">
      <c r="B15" s="553" t="s">
        <v>96</v>
      </c>
      <c r="C15" s="550"/>
      <c r="D15" s="116"/>
      <c r="F15" s="552" t="s">
        <v>97</v>
      </c>
      <c r="K15" s="659"/>
      <c r="L15" s="659"/>
      <c r="M15" s="659"/>
      <c r="N15" s="659"/>
      <c r="O15" s="659"/>
      <c r="P15" s="659"/>
      <c r="Q15" s="659"/>
      <c r="R15" s="659"/>
    </row>
    <row r="16" spans="2:24" ht="19.5" customHeight="1" thickTop="1" thickBot="1" x14ac:dyDescent="0.3">
      <c r="B16" s="549" t="s">
        <v>79</v>
      </c>
      <c r="C16" s="550" t="str">
        <f>""</f>
        <v/>
      </c>
      <c r="D16" s="551">
        <f>D13+5</f>
        <v>2025</v>
      </c>
      <c r="F16" s="552" t="s">
        <v>98</v>
      </c>
      <c r="K16" s="659"/>
      <c r="L16" s="659"/>
      <c r="M16" s="659"/>
      <c r="N16" s="659"/>
      <c r="O16" s="659"/>
      <c r="P16" s="659"/>
      <c r="Q16" s="659"/>
      <c r="R16" s="659"/>
    </row>
    <row r="17" spans="2:18" ht="19.5" customHeight="1" thickTop="1" thickBot="1" x14ac:dyDescent="0.3">
      <c r="B17" s="553" t="s">
        <v>99</v>
      </c>
      <c r="C17" s="550" t="str">
        <f>""</f>
        <v/>
      </c>
      <c r="D17" s="116"/>
      <c r="E17" s="550" t="str">
        <f>""</f>
        <v/>
      </c>
      <c r="F17" s="552" t="s">
        <v>97</v>
      </c>
      <c r="H17" s="117"/>
      <c r="K17" s="659"/>
      <c r="L17" s="659"/>
      <c r="M17" s="659"/>
      <c r="N17" s="659"/>
      <c r="O17" s="659"/>
      <c r="P17" s="659"/>
      <c r="Q17" s="659"/>
      <c r="R17" s="659"/>
    </row>
    <row r="18" spans="2:18" ht="19.5" customHeight="1" thickTop="1" thickBot="1" x14ac:dyDescent="0.3">
      <c r="B18" s="553" t="s">
        <v>100</v>
      </c>
      <c r="C18" s="550" t="str">
        <f>""</f>
        <v/>
      </c>
      <c r="D18" s="551">
        <v>0.5</v>
      </c>
      <c r="E18" s="550" t="str">
        <f>""</f>
        <v/>
      </c>
      <c r="F18" s="587" t="s">
        <v>562</v>
      </c>
      <c r="H18" s="117"/>
    </row>
    <row r="19" spans="2:18" ht="12.75" customHeight="1" thickTop="1" x14ac:dyDescent="0.25">
      <c r="D19" s="563"/>
      <c r="F19" s="564"/>
      <c r="K19" s="559" t="s">
        <v>81</v>
      </c>
      <c r="L19" s="540"/>
      <c r="M19" s="540"/>
      <c r="N19" s="540"/>
      <c r="O19" s="540"/>
      <c r="P19" s="540"/>
      <c r="Q19" s="540"/>
      <c r="R19" s="540"/>
    </row>
    <row r="20" spans="2:18" ht="12.75" customHeight="1" x14ac:dyDescent="0.35">
      <c r="B20" s="543"/>
      <c r="C20" s="543"/>
      <c r="D20" s="543"/>
      <c r="E20" s="543"/>
      <c r="F20" s="543"/>
      <c r="G20" s="543"/>
      <c r="H20" s="543"/>
      <c r="I20" s="543"/>
      <c r="K20" s="662" t="s">
        <v>568</v>
      </c>
      <c r="L20" s="662"/>
      <c r="M20" s="662"/>
      <c r="N20" s="662"/>
      <c r="O20" s="662"/>
      <c r="P20" s="662"/>
      <c r="Q20" s="662"/>
      <c r="R20" s="662"/>
    </row>
    <row r="21" spans="2:18" x14ac:dyDescent="0.25">
      <c r="D21" s="563"/>
      <c r="F21" s="564"/>
      <c r="K21" s="662"/>
      <c r="L21" s="662"/>
      <c r="M21" s="662"/>
      <c r="N21" s="662"/>
      <c r="O21" s="662"/>
      <c r="P21" s="662"/>
      <c r="Q21" s="662"/>
      <c r="R21" s="662"/>
    </row>
    <row r="22" spans="2:18" ht="19.5" customHeight="1" x14ac:dyDescent="0.35">
      <c r="B22" s="544" t="s">
        <v>101</v>
      </c>
    </row>
    <row r="23" spans="2:18" ht="29.15" customHeight="1" x14ac:dyDescent="0.3">
      <c r="B23" s="547"/>
      <c r="D23" s="568" t="str">
        <f>+CONCATENATE("Base year ","(",D13,")")</f>
        <v>Base year (2020)</v>
      </c>
      <c r="E23" s="559"/>
      <c r="F23" s="568" t="str">
        <f>+CONCATENATE("Target year ","(",D16,")")</f>
        <v>Target year (2025)</v>
      </c>
      <c r="G23" s="540"/>
    </row>
    <row r="24" spans="2:18" ht="19.5" customHeight="1" thickBot="1" x14ac:dyDescent="0.35">
      <c r="B24" s="549" t="s">
        <v>102</v>
      </c>
      <c r="D24" s="588" t="str">
        <f>IF($D$14="","",$D$14)</f>
        <v/>
      </c>
      <c r="E24" s="576"/>
      <c r="F24" s="589"/>
    </row>
    <row r="25" spans="2:18" ht="19.5" customHeight="1" thickTop="1" thickBot="1" x14ac:dyDescent="0.35">
      <c r="B25" s="549" t="s">
        <v>103</v>
      </c>
      <c r="D25" s="590" t="e">
        <f>IF($D$14*1000/$D$15="","",$D$14*1000/$D$15)</f>
        <v>#DIV/0!</v>
      </c>
      <c r="E25" s="576"/>
      <c r="F25" s="589"/>
    </row>
    <row r="26" spans="2:18" ht="19.5" customHeight="1" thickTop="1" thickBot="1" x14ac:dyDescent="0.35">
      <c r="B26" s="549" t="s">
        <v>519</v>
      </c>
      <c r="D26" s="591"/>
      <c r="E26" s="576"/>
      <c r="F26" s="591">
        <f>$D$14*(1-$F$27)</f>
        <v>0</v>
      </c>
    </row>
    <row r="27" spans="2:18" ht="19.5" customHeight="1" thickTop="1" thickBot="1" x14ac:dyDescent="0.35">
      <c r="B27" s="549" t="s">
        <v>559</v>
      </c>
      <c r="D27" s="592"/>
      <c r="E27" s="576"/>
      <c r="F27" s="592">
        <f>IF(D13&gt;=2020,0.042*(D16-2020),0.042*(D16-D13))</f>
        <v>0.21000000000000002</v>
      </c>
    </row>
    <row r="28" spans="2:18" ht="19.5" customHeight="1" thickTop="1" thickBot="1" x14ac:dyDescent="0.35">
      <c r="B28" s="549" t="s">
        <v>560</v>
      </c>
      <c r="D28" s="589"/>
      <c r="E28" s="576"/>
      <c r="F28" s="589">
        <f>$D$17*$D$18/1000</f>
        <v>0</v>
      </c>
    </row>
    <row r="29" spans="2:18" ht="19.5" customHeight="1" thickTop="1" thickBot="1" x14ac:dyDescent="0.35">
      <c r="B29" s="549" t="s">
        <v>561</v>
      </c>
      <c r="D29" s="589"/>
      <c r="E29" s="576"/>
      <c r="F29" s="592" t="e">
        <f>(D24-F28)/(D24)</f>
        <v>#VALUE!</v>
      </c>
    </row>
    <row r="30" spans="2:18" ht="19.5" customHeight="1" thickTop="1" x14ac:dyDescent="0.25">
      <c r="B30" s="593"/>
      <c r="D30" s="594"/>
      <c r="F30" s="594"/>
    </row>
    <row r="31" spans="2:18" ht="12.75" customHeight="1" x14ac:dyDescent="0.35">
      <c r="B31" s="543"/>
      <c r="C31" s="543"/>
      <c r="D31" s="543"/>
      <c r="E31" s="543"/>
      <c r="F31" s="543"/>
      <c r="G31" s="543"/>
      <c r="H31" s="543"/>
      <c r="I31" s="543"/>
    </row>
    <row r="32" spans="2:18" x14ac:dyDescent="0.25">
      <c r="D32" s="563"/>
      <c r="F32" s="564"/>
    </row>
    <row r="33" spans="2:6" ht="19.5" customHeight="1" x14ac:dyDescent="0.35">
      <c r="B33" s="544" t="s">
        <v>104</v>
      </c>
    </row>
    <row r="34" spans="2:6" ht="24.65" customHeight="1" x14ac:dyDescent="0.3">
      <c r="B34" s="547"/>
      <c r="D34" s="568" t="str">
        <f>+CONCATENATE("Company N2O from Nitric Acid Target ","(",D16,")")</f>
        <v>Company N2O from Nitric Acid Target (2025)</v>
      </c>
      <c r="E34" s="559"/>
    </row>
    <row r="35" spans="2:6" ht="19.5" customHeight="1" thickBot="1" x14ac:dyDescent="0.35">
      <c r="B35" s="549" t="s">
        <v>105</v>
      </c>
      <c r="D35" s="610" t="e">
        <f>IF(D25&lt;=D18,"N/A",IF(F26&lt;F28,"N/A",D18))</f>
        <v>#DIV/0!</v>
      </c>
      <c r="E35" s="576"/>
      <c r="F35" s="595" t="e">
        <f>IF(D25&lt;=D18,"No Specific Target Needed. Include emissions within corporate target.",IF(F26&lt;F28,"No Specific Target Needed. Include emissions within corporate target.","kg N2O / t Nitric Acid"))</f>
        <v>#DIV/0!</v>
      </c>
    </row>
    <row r="36" spans="2:6" ht="13" thickTop="1" x14ac:dyDescent="0.25"/>
  </sheetData>
  <sheetProtection algorithmName="SHA-512" hashValue="WlnkRi1O0gPVivs8AWk+iJzGTZkANnKdSvfL9fgvn+dO4YXzuI4gqk6zLm8c/HvXvZTNrDn224bJh2TcZMOmwg==" saltValue="7hgjrQl8zfXWN8GgdPfTfA==" spinCount="100000" sheet="1"/>
  <mergeCells count="2">
    <mergeCell ref="K20:R21"/>
    <mergeCell ref="K12:R17"/>
  </mergeCells>
  <conditionalFormatting sqref="D19 D21">
    <cfRule type="cellIs" dxfId="143" priority="46" operator="lessThan">
      <formula>100</formula>
    </cfRule>
    <cfRule type="cellIs" dxfId="142" priority="47" operator="lessThan">
      <formula>10</formula>
    </cfRule>
  </conditionalFormatting>
  <conditionalFormatting sqref="D32">
    <cfRule type="cellIs" dxfId="141" priority="15" operator="lessThan">
      <formula>100</formula>
    </cfRule>
    <cfRule type="cellIs" dxfId="140" priority="16" operator="lessThan">
      <formula>10</formula>
    </cfRule>
  </conditionalFormatting>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Lists!$J$3:$J$14</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90B9-9F95-471D-B2F8-47C3A3B1D0CD}">
  <sheetPr codeName="Hoja9">
    <tabColor rgb="FF00B050"/>
  </sheetPr>
  <dimension ref="B2:T51"/>
  <sheetViews>
    <sheetView zoomScale="85" zoomScaleNormal="85" workbookViewId="0">
      <selection activeCell="D15" sqref="D15"/>
    </sheetView>
  </sheetViews>
  <sheetFormatPr defaultColWidth="9.1796875" defaultRowHeight="12.5" x14ac:dyDescent="0.25"/>
  <cols>
    <col min="1" max="1" width="2.453125" style="537" customWidth="1"/>
    <col min="2" max="2" width="71.54296875" style="537" customWidth="1"/>
    <col min="3" max="3" width="3" style="537" customWidth="1"/>
    <col min="4" max="4" width="31.453125" style="537" customWidth="1"/>
    <col min="5" max="5" width="2.81640625" style="537" customWidth="1"/>
    <col min="6" max="6" width="31.453125" style="537" customWidth="1"/>
    <col min="7" max="7" width="2.81640625" style="537" customWidth="1"/>
    <col min="8" max="8" width="31.453125" style="537" customWidth="1"/>
    <col min="9" max="9" width="2.81640625" style="537" customWidth="1"/>
    <col min="10" max="12" width="14.453125" style="537" customWidth="1"/>
    <col min="13" max="34" width="11.453125" style="537" customWidth="1"/>
    <col min="35" max="16384" width="9.1796875" style="537"/>
  </cols>
  <sheetData>
    <row r="2" spans="2:20" ht="30" customHeight="1" x14ac:dyDescent="0.45">
      <c r="C2" s="538"/>
      <c r="D2" s="539" t="s">
        <v>106</v>
      </c>
    </row>
    <row r="3" spans="2:20" ht="30" customHeight="1" x14ac:dyDescent="0.6">
      <c r="D3" s="584" t="s">
        <v>107</v>
      </c>
      <c r="E3" s="540"/>
      <c r="F3" s="540"/>
    </row>
    <row r="4" spans="2:20" ht="20.25" customHeight="1" x14ac:dyDescent="0.25"/>
    <row r="5" spans="2:20" ht="20.149999999999999" customHeight="1" x14ac:dyDescent="0.25">
      <c r="D5" s="541" t="s">
        <v>1</v>
      </c>
      <c r="E5" s="540"/>
      <c r="F5" s="542" t="str">
        <f>+README!H5</f>
        <v>CONSULTATION DRAFT</v>
      </c>
    </row>
    <row r="6" spans="2:20" ht="20.149999999999999" customHeight="1" x14ac:dyDescent="0.25">
      <c r="D6" s="541" t="s">
        <v>2</v>
      </c>
      <c r="E6" s="540"/>
      <c r="F6" s="111" t="s">
        <v>3</v>
      </c>
    </row>
    <row r="7" spans="2:20" ht="19.5" customHeight="1" x14ac:dyDescent="0.25"/>
    <row r="8" spans="2:20" ht="12.75" customHeight="1" x14ac:dyDescent="0.35">
      <c r="B8" s="543"/>
      <c r="C8" s="543"/>
      <c r="D8" s="543"/>
      <c r="E8" s="543"/>
      <c r="F8" s="543"/>
      <c r="G8" s="543"/>
      <c r="H8" s="543"/>
      <c r="I8" s="543"/>
      <c r="J8" s="543"/>
      <c r="K8" s="543"/>
      <c r="L8" s="543"/>
      <c r="M8" s="543"/>
      <c r="N8" s="543"/>
      <c r="O8" s="543"/>
      <c r="P8" s="543"/>
      <c r="Q8" s="543"/>
      <c r="R8" s="543"/>
      <c r="S8" s="543"/>
    </row>
    <row r="9" spans="2:20" ht="20.149999999999999" customHeight="1" x14ac:dyDescent="0.35">
      <c r="B9" s="544"/>
      <c r="J9" s="547" t="s">
        <v>68</v>
      </c>
    </row>
    <row r="10" spans="2:20" ht="20.149999999999999" customHeight="1" x14ac:dyDescent="0.5">
      <c r="B10" s="544" t="s">
        <v>67</v>
      </c>
      <c r="D10" s="545"/>
    </row>
    <row r="11" spans="2:20" ht="12.75" customHeight="1" x14ac:dyDescent="0.3">
      <c r="D11" s="546"/>
      <c r="J11" s="664" t="s">
        <v>108</v>
      </c>
      <c r="K11" s="664"/>
      <c r="L11" s="664"/>
      <c r="M11" s="664"/>
      <c r="N11" s="664"/>
      <c r="O11" s="664"/>
      <c r="P11" s="664"/>
      <c r="Q11" s="664"/>
    </row>
    <row r="12" spans="2:20" ht="12.75" customHeight="1" thickBot="1" x14ac:dyDescent="0.3">
      <c r="J12" s="664"/>
      <c r="K12" s="664"/>
      <c r="L12" s="664"/>
      <c r="M12" s="664"/>
      <c r="N12" s="664"/>
      <c r="O12" s="664"/>
      <c r="P12" s="664"/>
      <c r="Q12" s="664"/>
      <c r="R12" s="548"/>
      <c r="S12" s="548"/>
      <c r="T12" s="548"/>
    </row>
    <row r="13" spans="2:20" ht="20.149999999999999" customHeight="1" thickTop="1" thickBot="1" x14ac:dyDescent="0.3">
      <c r="B13" s="549" t="s">
        <v>69</v>
      </c>
      <c r="C13" s="550" t="str">
        <f>""</f>
        <v/>
      </c>
      <c r="D13" s="551" t="s">
        <v>109</v>
      </c>
      <c r="E13" s="550"/>
      <c r="F13" s="552"/>
      <c r="J13" s="664"/>
      <c r="K13" s="664"/>
      <c r="L13" s="664"/>
      <c r="M13" s="664"/>
      <c r="N13" s="664"/>
      <c r="O13" s="664"/>
      <c r="P13" s="664"/>
      <c r="Q13" s="664"/>
      <c r="R13" s="548"/>
      <c r="S13" s="548"/>
      <c r="T13" s="548"/>
    </row>
    <row r="14" spans="2:20" ht="20.149999999999999" customHeight="1" thickTop="1" thickBot="1" x14ac:dyDescent="0.3">
      <c r="B14" s="553" t="s">
        <v>75</v>
      </c>
      <c r="C14" s="550" t="str">
        <f>""</f>
        <v/>
      </c>
      <c r="D14" s="115">
        <v>2020</v>
      </c>
      <c r="E14" s="550" t="str">
        <f>""</f>
        <v/>
      </c>
      <c r="F14" s="552" t="s">
        <v>76</v>
      </c>
      <c r="J14" s="664"/>
      <c r="K14" s="664"/>
      <c r="L14" s="664"/>
      <c r="M14" s="664"/>
      <c r="N14" s="664"/>
      <c r="O14" s="664"/>
      <c r="P14" s="664"/>
      <c r="Q14" s="664"/>
    </row>
    <row r="15" spans="2:20" ht="20.149999999999999" customHeight="1" thickTop="1" thickBot="1" x14ac:dyDescent="0.3">
      <c r="B15" s="554" t="s">
        <v>110</v>
      </c>
      <c r="C15" s="550" t="str">
        <f>""</f>
        <v/>
      </c>
      <c r="D15" s="116"/>
      <c r="E15" s="550" t="str">
        <f>""</f>
        <v/>
      </c>
      <c r="F15" s="552" t="s">
        <v>563</v>
      </c>
      <c r="J15" s="664"/>
      <c r="K15" s="664"/>
      <c r="L15" s="664"/>
      <c r="M15" s="664"/>
      <c r="N15" s="664"/>
      <c r="O15" s="664"/>
      <c r="P15" s="664"/>
      <c r="Q15" s="664"/>
    </row>
    <row r="16" spans="2:20" ht="20.149999999999999" customHeight="1" thickTop="1" thickBot="1" x14ac:dyDescent="0.3">
      <c r="B16" s="553" t="s">
        <v>79</v>
      </c>
      <c r="C16" s="550" t="str">
        <f>""</f>
        <v/>
      </c>
      <c r="D16" s="115"/>
      <c r="E16" s="550"/>
      <c r="F16" s="552" t="s">
        <v>80</v>
      </c>
      <c r="J16" s="664"/>
      <c r="K16" s="664"/>
      <c r="L16" s="664"/>
      <c r="M16" s="664"/>
      <c r="N16" s="664"/>
      <c r="O16" s="664"/>
      <c r="P16" s="664"/>
      <c r="Q16" s="664"/>
      <c r="R16" s="558"/>
      <c r="S16" s="558"/>
      <c r="T16" s="558"/>
    </row>
    <row r="17" spans="2:19" ht="20.149999999999999" customHeight="1" thickTop="1" thickBot="1" x14ac:dyDescent="0.35">
      <c r="B17" s="553" t="s">
        <v>117</v>
      </c>
      <c r="C17" s="550" t="str">
        <f>""</f>
        <v/>
      </c>
      <c r="D17" s="115" t="s">
        <v>282</v>
      </c>
      <c r="E17" s="550" t="str">
        <f>""</f>
        <v/>
      </c>
      <c r="F17" s="552" t="s">
        <v>93</v>
      </c>
      <c r="J17" s="547" t="s">
        <v>81</v>
      </c>
    </row>
    <row r="18" spans="2:19" ht="12.75" customHeight="1" thickTop="1" x14ac:dyDescent="0.25">
      <c r="D18" s="563"/>
      <c r="F18" s="564"/>
      <c r="J18" s="663" t="s">
        <v>568</v>
      </c>
      <c r="K18" s="663"/>
      <c r="L18" s="663"/>
      <c r="M18" s="663"/>
      <c r="N18" s="663"/>
      <c r="O18" s="663"/>
      <c r="P18" s="663"/>
      <c r="Q18" s="663"/>
    </row>
    <row r="19" spans="2:19" ht="12.75" customHeight="1" x14ac:dyDescent="0.25">
      <c r="D19" s="563"/>
      <c r="F19" s="564"/>
      <c r="J19" s="663"/>
      <c r="K19" s="663"/>
      <c r="L19" s="663"/>
      <c r="M19" s="663"/>
      <c r="N19" s="663"/>
      <c r="O19" s="663"/>
      <c r="P19" s="663"/>
      <c r="Q19" s="663"/>
    </row>
    <row r="20" spans="2:19" ht="12.75" customHeight="1" x14ac:dyDescent="0.35">
      <c r="B20" s="543"/>
      <c r="C20" s="543"/>
      <c r="D20" s="543"/>
      <c r="E20" s="543"/>
      <c r="F20" s="543"/>
      <c r="G20" s="543"/>
      <c r="H20" s="543"/>
      <c r="I20" s="543"/>
      <c r="J20" s="543"/>
      <c r="K20" s="543"/>
      <c r="L20" s="543"/>
      <c r="M20" s="543"/>
      <c r="N20" s="543"/>
      <c r="O20" s="543"/>
      <c r="P20" s="543"/>
      <c r="Q20" s="543"/>
      <c r="R20" s="543"/>
      <c r="S20" s="543"/>
    </row>
    <row r="21" spans="2:19" x14ac:dyDescent="0.25">
      <c r="D21" s="563"/>
      <c r="F21" s="564"/>
    </row>
    <row r="22" spans="2:19" ht="19.5" customHeight="1" x14ac:dyDescent="0.35">
      <c r="B22" s="544" t="s">
        <v>111</v>
      </c>
    </row>
    <row r="23" spans="2:19" ht="19.5" customHeight="1" x14ac:dyDescent="0.25">
      <c r="B23" s="593"/>
      <c r="D23" s="594"/>
      <c r="F23" s="594"/>
    </row>
    <row r="24" spans="2:19" ht="19.5" customHeight="1" x14ac:dyDescent="0.35">
      <c r="B24" s="544" t="s">
        <v>112</v>
      </c>
      <c r="D24" s="594"/>
      <c r="F24" s="594"/>
    </row>
    <row r="25" spans="2:19" ht="19.5" customHeight="1" x14ac:dyDescent="0.25">
      <c r="B25" s="113"/>
      <c r="D25" s="594"/>
      <c r="F25" s="594"/>
    </row>
    <row r="26" spans="2:19" ht="37.5" customHeight="1" x14ac:dyDescent="0.3">
      <c r="B26" s="547"/>
      <c r="D26" s="568" t="str">
        <f>+CONCATENATE("Base year ","(",D14,")")</f>
        <v>Base year (2020)</v>
      </c>
      <c r="E26" s="559"/>
      <c r="F26" s="568" t="str">
        <f>+CONCATENATE("Target year ","(",D16,")")</f>
        <v>Target year ()</v>
      </c>
      <c r="G26" s="540"/>
      <c r="H26" s="596" t="s">
        <v>87</v>
      </c>
      <c r="K26" s="597"/>
    </row>
    <row r="27" spans="2:19" ht="19.5" customHeight="1" thickBot="1" x14ac:dyDescent="0.35">
      <c r="B27" s="549" t="str">
        <f>IF(ISNUMBER(D15)=TRUE,"Scope 3 Category 11 N2O emissions from fertilizer use phase (tCO2e)","enter emissions data")</f>
        <v>enter emissions data</v>
      </c>
      <c r="D27" s="598" t="str">
        <f>IF(D15="","",D15)</f>
        <v/>
      </c>
      <c r="E27" s="547"/>
      <c r="F27" s="598" t="str">
        <f>+IF(D15="","",D27*(1-H27))</f>
        <v/>
      </c>
      <c r="H27" s="120" t="str">
        <f>+IF($D$27="","",IF($D$17=Lists!J30,Calculations!$D$77,Calculations!$D$73))</f>
        <v/>
      </c>
      <c r="K27" s="597"/>
    </row>
    <row r="28" spans="2:19" ht="19.5" customHeight="1" thickTop="1" x14ac:dyDescent="0.25"/>
    <row r="29" spans="2:19" ht="19.5" customHeight="1" x14ac:dyDescent="0.25">
      <c r="K29" s="599"/>
    </row>
    <row r="30" spans="2:19" ht="19.5" customHeight="1" x14ac:dyDescent="0.25"/>
    <row r="31" spans="2:19" ht="19.5" customHeight="1" x14ac:dyDescent="0.25"/>
    <row r="32" spans="2:19" ht="19.5" customHeight="1" x14ac:dyDescent="0.25"/>
    <row r="33" spans="12:13" ht="19.5" customHeight="1" x14ac:dyDescent="0.25"/>
    <row r="34" spans="12:13" ht="19.5" customHeight="1" x14ac:dyDescent="0.25"/>
    <row r="35" spans="12:13" ht="19.5" customHeight="1" x14ac:dyDescent="0.25"/>
    <row r="36" spans="12:13" ht="19.5" customHeight="1" x14ac:dyDescent="0.25">
      <c r="L36" s="600"/>
      <c r="M36" s="600"/>
    </row>
    <row r="37" spans="12:13" ht="19.5" customHeight="1" x14ac:dyDescent="0.25"/>
    <row r="38" spans="12:13" ht="19.5" customHeight="1" x14ac:dyDescent="0.25"/>
    <row r="39" spans="12:13" ht="19.5" customHeight="1" x14ac:dyDescent="0.25"/>
    <row r="40" spans="12:13" ht="19.5" customHeight="1" x14ac:dyDescent="0.25"/>
    <row r="41" spans="12:13" ht="19.5" customHeight="1" x14ac:dyDescent="0.25"/>
    <row r="42" spans="12:13" ht="19.5" customHeight="1" x14ac:dyDescent="0.25"/>
    <row r="43" spans="12:13" ht="19.5" customHeight="1" x14ac:dyDescent="0.25"/>
    <row r="44" spans="12:13" ht="19.5" customHeight="1" x14ac:dyDescent="0.25"/>
    <row r="45" spans="12:13" ht="19.5" customHeight="1" x14ac:dyDescent="0.25"/>
    <row r="46" spans="12:13" ht="19.5" customHeight="1" x14ac:dyDescent="0.25"/>
    <row r="47" spans="12:13" ht="19.5" customHeight="1" x14ac:dyDescent="0.25"/>
    <row r="48" spans="12:13" ht="19.5" customHeight="1" x14ac:dyDescent="0.25"/>
    <row r="49" ht="19.5" customHeight="1" x14ac:dyDescent="0.25"/>
    <row r="50" ht="19.5" customHeight="1" x14ac:dyDescent="0.25"/>
    <row r="51" ht="19.5" customHeight="1" x14ac:dyDescent="0.25"/>
  </sheetData>
  <sheetProtection algorithmName="SHA-512" hashValue="r2GThWriKen5Uzi/Gh/8rmR+8gI1ahFd9xoqPVSf0JReo869txKLjdwX/m0AAAfpaNIPL2ANxZbVKxqh7pwwog==" saltValue="F15huASEfkqp6akEw+y62Q==" spinCount="100000" sheet="1" objects="1" scenarios="1"/>
  <mergeCells count="2">
    <mergeCell ref="J18:Q19"/>
    <mergeCell ref="J11:Q16"/>
  </mergeCells>
  <conditionalFormatting sqref="B27">
    <cfRule type="expression" dxfId="139" priority="3">
      <formula>ISNUMBER(#REF!)=FALSE</formula>
    </cfRule>
  </conditionalFormatting>
  <hyperlinks>
    <hyperlink ref="F6" r:id="rId1" xr:uid="{2DC4BB72-6F9E-4C63-A101-6CD2137919FD}"/>
  </hyperlinks>
  <pageMargins left="0.7" right="0.7" top="0.75" bottom="0.75" header="0.3" footer="0.3"/>
  <pageSetup paperSize="9" orientation="portrait" horizontalDpi="4294967294"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8A9083B7-0537-4906-AEEF-EE47AEB15FBE}">
          <x14:formula1>
            <xm:f>Lists!$J$3:$J$14</xm:f>
          </x14:formula1>
          <xm:sqref>D14</xm:sqref>
        </x14:dataValidation>
        <x14:dataValidation type="list" allowBlank="1" showInputMessage="1" showErrorMessage="1" prompt="Base and target years: Near term targets must cover a minimum of 5 years and a maximum of 10 years from the date the target is submitted to the SBTi for an official validation" xr:uid="{9F23661E-DAA5-4EDC-BC92-EC59E1CCAAAC}">
          <x14:formula1>
            <xm:f>Lists!$K$2:$K$24</xm:f>
          </x14:formula1>
          <xm:sqref>D16</xm:sqref>
        </x14:dataValidation>
        <x14:dataValidation type="list" allowBlank="1" showInputMessage="1" showErrorMessage="1" prompt="Base and target years: Targets must cover a minimum of 5 years and a maximum of 10 years from the date the target is submitted to the SBTi for an official validation" xr:uid="{C6E5DBBB-94E0-40B5-A8E0-ACC2A8914BEF}">
          <x14:formula1>
            <xm:f>Lists!$J$30:$J$31</xm:f>
          </x14:formula1>
          <xm:sqref>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78D98-5047-4CC5-8BA8-42AF1AAA3C1B}">
  <sheetPr codeName="Sheet9">
    <tabColor rgb="FF7030A0"/>
  </sheetPr>
  <dimension ref="B2:X42"/>
  <sheetViews>
    <sheetView tabSelected="1" topLeftCell="A4" zoomScale="85" zoomScaleNormal="85" workbookViewId="0">
      <selection activeCell="D15" sqref="D15"/>
    </sheetView>
  </sheetViews>
  <sheetFormatPr defaultColWidth="10.81640625" defaultRowHeight="12.5" x14ac:dyDescent="0.25"/>
  <cols>
    <col min="1" max="1" width="2.453125" style="537" customWidth="1"/>
    <col min="2" max="2" width="60.453125" style="537" bestFit="1" customWidth="1"/>
    <col min="3" max="3" width="2.81640625" style="537" customWidth="1"/>
    <col min="4" max="4" width="30.54296875" style="537" customWidth="1"/>
    <col min="5" max="5" width="2.81640625" style="537" customWidth="1"/>
    <col min="6" max="6" width="30.54296875" style="537" customWidth="1"/>
    <col min="7" max="7" width="2.81640625" style="537" customWidth="1"/>
    <col min="8" max="8" width="30.54296875" style="537" customWidth="1"/>
    <col min="9" max="16384" width="10.81640625" style="537"/>
  </cols>
  <sheetData>
    <row r="2" spans="2:24" ht="30" customHeight="1" x14ac:dyDescent="0.45">
      <c r="C2" s="538"/>
      <c r="D2" s="539" t="s">
        <v>113</v>
      </c>
    </row>
    <row r="3" spans="2:24" ht="30" customHeight="1" x14ac:dyDescent="0.6">
      <c r="D3" s="584"/>
      <c r="E3" s="540"/>
      <c r="F3" s="540"/>
    </row>
    <row r="4" spans="2:24" ht="20.25" customHeight="1" x14ac:dyDescent="0.25"/>
    <row r="5" spans="2:24" ht="20.149999999999999" customHeight="1" x14ac:dyDescent="0.25">
      <c r="D5" s="541" t="s">
        <v>1</v>
      </c>
      <c r="E5" s="540"/>
      <c r="F5" s="542" t="str">
        <f>+README!H5</f>
        <v>CONSULTATION DRAFT</v>
      </c>
    </row>
    <row r="6" spans="2:24" ht="20.149999999999999" customHeight="1" x14ac:dyDescent="0.25">
      <c r="D6" s="541" t="s">
        <v>2</v>
      </c>
      <c r="E6" s="540"/>
      <c r="F6" s="111" t="s">
        <v>3</v>
      </c>
    </row>
    <row r="7" spans="2:24" ht="20.149999999999999" customHeight="1" x14ac:dyDescent="0.25">
      <c r="D7" s="541"/>
      <c r="E7" s="540"/>
      <c r="F7" s="111"/>
    </row>
    <row r="8" spans="2:24" ht="12.75" customHeight="1" x14ac:dyDescent="0.35">
      <c r="B8" s="543"/>
      <c r="C8" s="543"/>
      <c r="D8" s="543"/>
      <c r="E8" s="543"/>
      <c r="F8" s="543"/>
      <c r="G8" s="543"/>
      <c r="H8" s="543"/>
      <c r="I8" s="543"/>
    </row>
    <row r="9" spans="2:24" ht="12.75" customHeight="1" x14ac:dyDescent="0.35">
      <c r="B9" s="585"/>
      <c r="C9" s="585"/>
      <c r="D9" s="585"/>
      <c r="E9" s="585"/>
      <c r="F9" s="585"/>
      <c r="G9" s="585"/>
      <c r="H9" s="585"/>
      <c r="I9" s="585"/>
      <c r="K9" s="547" t="s">
        <v>68</v>
      </c>
      <c r="L9" s="585"/>
      <c r="M9" s="585"/>
      <c r="N9" s="585"/>
      <c r="O9" s="585"/>
      <c r="P9" s="585"/>
      <c r="Q9" s="585"/>
      <c r="R9" s="585"/>
      <c r="S9" s="585"/>
      <c r="T9" s="585"/>
      <c r="U9" s="585"/>
      <c r="V9" s="585"/>
      <c r="W9" s="585"/>
      <c r="X9" s="585"/>
    </row>
    <row r="10" spans="2:24" ht="20.149999999999999" customHeight="1" x14ac:dyDescent="0.35">
      <c r="B10" s="544" t="s">
        <v>67</v>
      </c>
    </row>
    <row r="11" spans="2:24" ht="12.75" customHeight="1" thickBot="1" x14ac:dyDescent="0.3">
      <c r="K11" s="664" t="s">
        <v>108</v>
      </c>
      <c r="L11" s="664"/>
      <c r="M11" s="664"/>
      <c r="N11" s="664"/>
      <c r="O11" s="664"/>
      <c r="P11" s="664"/>
      <c r="Q11" s="664"/>
      <c r="R11" s="664"/>
    </row>
    <row r="12" spans="2:24" ht="19.5" customHeight="1" thickTop="1" thickBot="1" x14ac:dyDescent="0.3">
      <c r="B12" s="549" t="s">
        <v>69</v>
      </c>
      <c r="C12" s="550" t="str">
        <f>""</f>
        <v/>
      </c>
      <c r="D12" s="586" t="s">
        <v>114</v>
      </c>
      <c r="E12" s="537" t="str">
        <f>""</f>
        <v/>
      </c>
      <c r="F12" s="552" t="s">
        <v>92</v>
      </c>
      <c r="K12" s="664"/>
      <c r="L12" s="664"/>
      <c r="M12" s="664"/>
      <c r="N12" s="664"/>
      <c r="O12" s="664"/>
      <c r="P12" s="664"/>
      <c r="Q12" s="664"/>
      <c r="R12" s="664"/>
    </row>
    <row r="13" spans="2:24" ht="19.5" customHeight="1" thickTop="1" thickBot="1" x14ac:dyDescent="0.3">
      <c r="B13" s="549" t="s">
        <v>75</v>
      </c>
      <c r="C13" s="550" t="str">
        <f>""</f>
        <v/>
      </c>
      <c r="D13" s="115">
        <v>2020</v>
      </c>
      <c r="E13" s="537" t="str">
        <f>""</f>
        <v/>
      </c>
      <c r="F13" s="552" t="s">
        <v>93</v>
      </c>
      <c r="K13" s="664"/>
      <c r="L13" s="664"/>
      <c r="M13" s="664"/>
      <c r="N13" s="664"/>
      <c r="O13" s="664"/>
      <c r="P13" s="664"/>
      <c r="Q13" s="664"/>
      <c r="R13" s="664"/>
    </row>
    <row r="14" spans="2:24" ht="19.5" customHeight="1" thickTop="1" thickBot="1" x14ac:dyDescent="0.3">
      <c r="B14" s="549" t="s">
        <v>115</v>
      </c>
      <c r="C14" s="550"/>
      <c r="D14" s="115">
        <v>0</v>
      </c>
      <c r="F14" s="552" t="s">
        <v>116</v>
      </c>
      <c r="K14" s="664"/>
      <c r="L14" s="664"/>
      <c r="M14" s="664"/>
      <c r="N14" s="664"/>
      <c r="O14" s="664"/>
      <c r="P14" s="664"/>
      <c r="Q14" s="664"/>
      <c r="R14" s="664"/>
    </row>
    <row r="15" spans="2:24" ht="19.5" customHeight="1" thickTop="1" thickBot="1" x14ac:dyDescent="0.3">
      <c r="B15" s="553" t="s">
        <v>117</v>
      </c>
      <c r="C15" s="550"/>
      <c r="D15" s="116" t="s">
        <v>118</v>
      </c>
      <c r="F15" s="552" t="s">
        <v>93</v>
      </c>
      <c r="K15" s="664"/>
      <c r="L15" s="664"/>
      <c r="M15" s="664"/>
      <c r="N15" s="664"/>
      <c r="O15" s="664"/>
      <c r="P15" s="664"/>
      <c r="Q15" s="664"/>
      <c r="R15" s="664"/>
    </row>
    <row r="16" spans="2:24" ht="19.5" customHeight="1" thickTop="1" thickBot="1" x14ac:dyDescent="0.3">
      <c r="B16" s="549" t="s">
        <v>119</v>
      </c>
      <c r="C16" s="550" t="str">
        <f>""</f>
        <v/>
      </c>
      <c r="D16" s="487">
        <v>2029</v>
      </c>
      <c r="F16" s="552" t="str">
        <f>IF($D$15=Lists!$J$30,"Select a target year", "If long term target is selected, please also select a target year for near term")</f>
        <v>If long term target is selected, please also select a target year for near term</v>
      </c>
      <c r="K16" s="664"/>
      <c r="L16" s="664"/>
      <c r="M16" s="664"/>
      <c r="N16" s="664"/>
      <c r="O16" s="664"/>
      <c r="P16" s="664"/>
      <c r="Q16" s="664"/>
      <c r="R16" s="664"/>
    </row>
    <row r="17" spans="2:18" ht="19.5" customHeight="1" thickTop="1" thickBot="1" x14ac:dyDescent="0.3">
      <c r="B17" s="549" t="s">
        <v>120</v>
      </c>
      <c r="C17" s="550"/>
      <c r="D17" s="487">
        <v>2050</v>
      </c>
      <c r="E17" s="550"/>
      <c r="F17" s="552" t="str">
        <f>IF($D$15=Lists!$J$30,"","Select a target year")</f>
        <v>Select a target year</v>
      </c>
      <c r="H17" s="117"/>
      <c r="K17" s="664"/>
      <c r="L17" s="664"/>
      <c r="M17" s="664"/>
      <c r="N17" s="664"/>
      <c r="O17" s="664"/>
      <c r="P17" s="664"/>
      <c r="Q17" s="664"/>
      <c r="R17" s="664"/>
    </row>
    <row r="18" spans="2:18" ht="12.75" customHeight="1" thickTop="1" x14ac:dyDescent="0.25">
      <c r="D18" s="563"/>
      <c r="F18" s="564"/>
    </row>
    <row r="19" spans="2:18" ht="12.75" customHeight="1" x14ac:dyDescent="0.35">
      <c r="B19" s="543"/>
      <c r="C19" s="543"/>
      <c r="D19" s="543"/>
      <c r="E19" s="543"/>
      <c r="F19" s="543"/>
      <c r="G19" s="543"/>
      <c r="H19" s="543"/>
      <c r="I19" s="543"/>
    </row>
    <row r="20" spans="2:18" ht="13" x14ac:dyDescent="0.3">
      <c r="D20" s="563"/>
      <c r="F20" s="564"/>
      <c r="K20" s="547" t="s">
        <v>81</v>
      </c>
    </row>
    <row r="21" spans="2:18" ht="19.5" customHeight="1" x14ac:dyDescent="0.35">
      <c r="B21" s="544" t="s">
        <v>101</v>
      </c>
      <c r="F21" s="547"/>
      <c r="G21" s="547"/>
      <c r="H21" s="547"/>
      <c r="K21" s="663" t="s">
        <v>568</v>
      </c>
      <c r="L21" s="663"/>
      <c r="M21" s="663"/>
      <c r="N21" s="663"/>
      <c r="O21" s="663"/>
      <c r="P21" s="663"/>
      <c r="Q21" s="663"/>
      <c r="R21" s="663"/>
    </row>
    <row r="22" spans="2:18" ht="29.15" customHeight="1" x14ac:dyDescent="0.3">
      <c r="B22" s="547"/>
      <c r="D22" s="568" t="str">
        <f>+CONCATENATE("Base year ","(",D13,")")</f>
        <v>Base year (2020)</v>
      </c>
      <c r="E22" s="559"/>
      <c r="F22" s="568" t="str">
        <f>+CONCATENATE("Near Term-Target year ","(",D16,")")</f>
        <v>Near Term-Target year (2029)</v>
      </c>
      <c r="G22" s="540"/>
      <c r="H22" s="568" t="str">
        <f>IF($D$15=Lists!$J$30,"",CONCATENATE("Long Term-Target year ","(",D17,")"))</f>
        <v>Long Term-Target year (2050)</v>
      </c>
      <c r="K22" s="663"/>
      <c r="L22" s="663"/>
      <c r="M22" s="663"/>
      <c r="N22" s="663"/>
      <c r="O22" s="663"/>
      <c r="P22" s="663"/>
      <c r="Q22" s="663"/>
      <c r="R22" s="663"/>
    </row>
    <row r="23" spans="2:18" ht="19.5" customHeight="1" thickBot="1" x14ac:dyDescent="0.35">
      <c r="B23" s="549" t="s">
        <v>121</v>
      </c>
      <c r="D23" s="588">
        <f>IF($D$14="","",$D$14)</f>
        <v>0</v>
      </c>
      <c r="E23" s="576"/>
      <c r="F23" s="589"/>
      <c r="H23" s="589"/>
    </row>
    <row r="24" spans="2:18" ht="19.5" customHeight="1" thickTop="1" thickBot="1" x14ac:dyDescent="0.35">
      <c r="B24" s="549" t="s">
        <v>593</v>
      </c>
      <c r="D24" s="589"/>
      <c r="E24" s="576"/>
      <c r="F24" s="588">
        <f>ROUND(Calculations!D130,0)</f>
        <v>13</v>
      </c>
      <c r="H24" s="589"/>
    </row>
    <row r="25" spans="2:18" ht="19.5" customHeight="1" thickTop="1" thickBot="1" x14ac:dyDescent="0.35">
      <c r="B25" s="549" t="s">
        <v>595</v>
      </c>
      <c r="D25" s="592"/>
      <c r="E25" s="576"/>
      <c r="F25" s="601">
        <f>ROUND(Calculations!D131,0)</f>
        <v>15</v>
      </c>
      <c r="H25" s="589"/>
    </row>
    <row r="26" spans="2:18" ht="19.5" customHeight="1" thickTop="1" thickBot="1" x14ac:dyDescent="0.35">
      <c r="B26" s="549" t="s">
        <v>594</v>
      </c>
      <c r="D26" s="589"/>
      <c r="E26" s="576"/>
      <c r="F26" s="589"/>
      <c r="H26" s="601">
        <f>IF($D$15=Lists!$J$31,ROUND(Calculations!D132,0),"")</f>
        <v>44</v>
      </c>
    </row>
    <row r="27" spans="2:18" ht="19.5" customHeight="1" thickTop="1" thickBot="1" x14ac:dyDescent="0.35">
      <c r="B27" s="549" t="s">
        <v>596</v>
      </c>
      <c r="D27" s="589"/>
      <c r="E27" s="576"/>
      <c r="F27" s="589"/>
      <c r="H27" s="601">
        <f>IF($D$15=Lists!$J$31,ROUND(Calculations!D133,0),"")</f>
        <v>83</v>
      </c>
    </row>
    <row r="28" spans="2:18" ht="19.5" customHeight="1" thickTop="1" x14ac:dyDescent="0.25">
      <c r="B28" s="593"/>
      <c r="D28" s="594"/>
      <c r="F28" s="594"/>
    </row>
    <row r="29" spans="2:18" ht="12.75" customHeight="1" x14ac:dyDescent="0.35">
      <c r="B29" s="543"/>
      <c r="C29" s="543"/>
      <c r="D29" s="543"/>
      <c r="E29" s="543"/>
      <c r="F29" s="543"/>
      <c r="G29" s="543"/>
      <c r="H29" s="543"/>
      <c r="I29" s="543"/>
    </row>
    <row r="30" spans="2:18" x14ac:dyDescent="0.25">
      <c r="D30" s="563"/>
      <c r="F30" s="564"/>
    </row>
    <row r="31" spans="2:18" ht="19.5" customHeight="1" x14ac:dyDescent="0.35">
      <c r="B31" s="544" t="s">
        <v>122</v>
      </c>
    </row>
    <row r="32" spans="2:18" ht="24.65" customHeight="1" x14ac:dyDescent="0.3">
      <c r="B32" s="547"/>
      <c r="D32" s="568" t="str">
        <f>+CONCATENATE("Near Term-Target year ","(",D16,")")</f>
        <v>Near Term-Target year (2029)</v>
      </c>
      <c r="E32" s="559"/>
      <c r="F32" s="568" t="str">
        <f>IF($D$15=Lists!$J$30,"",CONCATENATE("Long Term-Target year ","(",D17,")"))</f>
        <v>Long Term-Target year (2050)</v>
      </c>
    </row>
    <row r="33" spans="2:8" ht="19.5" customHeight="1" thickBot="1" x14ac:dyDescent="0.35">
      <c r="B33" s="549" t="s">
        <v>123</v>
      </c>
      <c r="D33" s="602">
        <f>IF(D14&lt;F24,F24,D14)</f>
        <v>13</v>
      </c>
      <c r="E33" s="576"/>
      <c r="F33" s="603"/>
      <c r="H33" s="547" t="str">
        <f>IF(D14&gt;F24, "Maintenance target - company has to maintain the % of carbon content in the target year as in their base year","")</f>
        <v/>
      </c>
    </row>
    <row r="34" spans="2:8" ht="13" thickTop="1" x14ac:dyDescent="0.25"/>
    <row r="35" spans="2:8" ht="19.5" customHeight="1" thickBot="1" x14ac:dyDescent="0.3">
      <c r="B35" s="549" t="s">
        <v>124</v>
      </c>
      <c r="D35" s="604"/>
      <c r="F35" s="605">
        <f>IF($D$15=Lists!J31,H26,"")</f>
        <v>44</v>
      </c>
    </row>
    <row r="36" spans="2:8" ht="13" thickTop="1" x14ac:dyDescent="0.25"/>
    <row r="38" spans="2:8" ht="13" x14ac:dyDescent="0.3">
      <c r="B38" s="547" t="s">
        <v>125</v>
      </c>
    </row>
    <row r="39" spans="2:8" x14ac:dyDescent="0.25">
      <c r="B39" s="537" t="str">
        <f>IF($D$14&lt;$F$24,"Company A will increase its share of purchased feedstocks that are composed of alternative non-fossil sources from "&amp;D14&amp;"% by weight of carbon to "&amp;D33&amp;"% by "&amp;D16&amp;" from a base year of "&amp;D13," Company A shall maintain their base year share of alternative feedstock of " &amp;D14&amp; "% in " &amp;D16)</f>
        <v>Company A will increase its share of purchased feedstocks that are composed of alternative non-fossil sources from 0% by weight of carbon to 13% by 2029 from a base year of 2020</v>
      </c>
    </row>
    <row r="41" spans="2:8" ht="13" x14ac:dyDescent="0.3">
      <c r="B41" s="547" t="s">
        <v>126</v>
      </c>
    </row>
    <row r="42" spans="2:8" x14ac:dyDescent="0.25">
      <c r="B42" s="537" t="str">
        <f>"Company A will increase its share of purchased feedstocks that are composed of alternative non-fossil sources from "&amp;D14&amp;"% by weight of carbon to "&amp;F35&amp;"% by "&amp;D17&amp;" from a base year of "&amp;D13</f>
        <v>Company A will increase its share of purchased feedstocks that are composed of alternative non-fossil sources from 0% by weight of carbon to 44% by 2050 from a base year of 2020</v>
      </c>
    </row>
  </sheetData>
  <sheetProtection algorithmName="SHA-512" hashValue="rCD2hbXVvVFXe9dDJJi/pO44kVJl2KsARSyc4/LPMSR9huehnxC5DuLmSJiBbKLREw9bMF1MSVEYndKqywPS4w==" saltValue="rOBz0Td1j5AluPyQlLY4oA==" spinCount="100000" sheet="1" objects="1" scenarios="1"/>
  <mergeCells count="2">
    <mergeCell ref="K21:R22"/>
    <mergeCell ref="K11:R17"/>
  </mergeCells>
  <conditionalFormatting sqref="D18 D20">
    <cfRule type="cellIs" dxfId="138" priority="24" operator="lessThan">
      <formula>100</formula>
    </cfRule>
    <cfRule type="cellIs" dxfId="137" priority="25" operator="lessThan">
      <formula>10</formula>
    </cfRule>
  </conditionalFormatting>
  <conditionalFormatting sqref="D30">
    <cfRule type="cellIs" dxfId="136" priority="21" operator="lessThan">
      <formula>100</formula>
    </cfRule>
    <cfRule type="cellIs" dxfId="135" priority="22" operator="lessThan">
      <formula>10</formula>
    </cfRule>
  </conditionalFormatting>
  <conditionalFormatting sqref="D33">
    <cfRule type="cellIs" dxfId="134" priority="13" operator="equal">
      <formula>"N/A"</formula>
    </cfRule>
    <cfRule type="expression" dxfId="133" priority="14">
      <formula>#REF!</formula>
    </cfRule>
  </conditionalFormatting>
  <hyperlinks>
    <hyperlink ref="F6" r:id="rId1" xr:uid="{E52388DF-90C1-45CD-9FD8-83C0AEB6074D}"/>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expression" priority="3" id="{2025D815-78A7-48A5-A545-48C5AA813627}">
            <xm:f>$D$15=Lists!$J$30</xm:f>
            <x14:dxf>
              <font>
                <color theme="0"/>
              </font>
              <fill>
                <patternFill patternType="none">
                  <bgColor auto="1"/>
                </patternFill>
              </fill>
              <border>
                <left/>
                <right/>
                <top/>
                <bottom/>
              </border>
            </x14:dxf>
          </x14:cfRule>
          <xm:sqref>B17:D17</xm:sqref>
        </x14:conditionalFormatting>
        <x14:conditionalFormatting xmlns:xm="http://schemas.microsoft.com/office/excel/2006/main">
          <x14:cfRule type="expression" priority="1" id="{E5493DE7-7E4C-43D0-89C1-831C4DF5D4F4}">
            <xm:f>$D$15=Lists!$J$30</xm:f>
            <x14:dxf>
              <font>
                <color theme="0"/>
              </font>
              <fill>
                <patternFill>
                  <bgColor theme="0"/>
                </patternFill>
              </fill>
            </x14:dxf>
          </x14:cfRule>
          <xm:sqref>B41:H42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Base and target years: Targets must cover a minimum of 5 years and a maximum of 10 years from the date the target is submitted to the SBTi for an official validation" xr:uid="{2B956183-BFE1-42A6-BDD0-0981C84EE7BB}">
          <x14:formula1>
            <xm:f>Lists!$J$8:$J$14</xm:f>
          </x14:formula1>
          <xm:sqref>D13</xm:sqref>
        </x14:dataValidation>
        <x14:dataValidation type="list" allowBlank="1" showInputMessage="1" showErrorMessage="1" xr:uid="{4F2D0A45-97E2-472B-B6AC-0BF9F8F50C80}">
          <x14:formula1>
            <xm:f>Lists!$J$30:$J$31</xm:f>
          </x14:formula1>
          <xm:sqref>D15</xm:sqref>
        </x14:dataValidation>
        <x14:dataValidation type="list" allowBlank="1" showInputMessage="1" showErrorMessage="1" xr:uid="{6E48E0C8-5779-44CE-A1F7-E5C0789E2C15}">
          <x14:formula1>
            <xm:f>Lists!$K$3:$K$9</xm:f>
          </x14:formula1>
          <xm:sqref>D16</xm:sqref>
        </x14:dataValidation>
        <x14:dataValidation type="list" allowBlank="1" showInputMessage="1" showErrorMessage="1" xr:uid="{0C6412E0-4920-4C76-B41A-3792095E451D}">
          <x14:formula1>
            <xm:f>Lists!$K$9:$K$24</xm:f>
          </x14:formula1>
          <xm:sqref>D17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133"/>
  <sheetViews>
    <sheetView zoomScale="85" zoomScaleNormal="85" workbookViewId="0">
      <pane xSplit="3" ySplit="1" topLeftCell="D32" activePane="bottomRight" state="frozen"/>
      <selection activeCell="B18" sqref="B18:O23"/>
      <selection pane="topRight" activeCell="B18" sqref="B18:O23"/>
      <selection pane="bottomLeft" activeCell="B18" sqref="B18:O23"/>
      <selection pane="bottomRight" activeCell="D77" sqref="D77"/>
    </sheetView>
  </sheetViews>
  <sheetFormatPr defaultColWidth="9.1796875" defaultRowHeight="12.5" x14ac:dyDescent="0.25"/>
  <cols>
    <col min="1" max="1" width="18.54296875" customWidth="1"/>
    <col min="2" max="2" width="70.6328125" customWidth="1"/>
    <col min="3" max="3" width="20.54296875" customWidth="1"/>
    <col min="4" max="4" width="18.453125" style="2" customWidth="1"/>
    <col min="5" max="24" width="13.54296875" style="2" customWidth="1"/>
    <col min="25" max="25" width="15.81640625" style="2" bestFit="1" customWidth="1"/>
    <col min="26" max="39" width="15.81640625" style="2" customWidth="1"/>
    <col min="40" max="40" width="13.1796875" style="2" customWidth="1"/>
    <col min="41" max="50" width="8.81640625" style="2" bestFit="1" customWidth="1"/>
    <col min="51" max="90" width="11.54296875" style="2" customWidth="1"/>
    <col min="91" max="91" width="11.54296875" customWidth="1"/>
  </cols>
  <sheetData>
    <row r="1" spans="1:91" s="1" customFormat="1" ht="13" x14ac:dyDescent="0.3">
      <c r="A1" s="1" t="s">
        <v>127</v>
      </c>
      <c r="B1" s="1" t="s">
        <v>128</v>
      </c>
      <c r="C1" s="1" t="s">
        <v>129</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1"/>
    </row>
    <row r="2" spans="1:91" ht="13" x14ac:dyDescent="0.3">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2.5" x14ac:dyDescent="0.45">
      <c r="A3" s="62" t="s">
        <v>130</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row>
    <row r="4" spans="1:91" ht="13" x14ac:dyDescent="0.3">
      <c r="A4" s="1" t="str">
        <f>"Sector: "&amp;'SDA Tool'!$D$15&amp;""</f>
        <v>Sector: Ammonia</v>
      </c>
      <c r="B4" t="str">
        <f>IF(ISTEXT('SDA Tool'!$D$15)=TRUE,'SDA Tool'!$D$15,"select SDA sector")</f>
        <v>Ammonia</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ht="13" x14ac:dyDescent="0.3">
      <c r="A5" s="1"/>
      <c r="C5" s="63"/>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ht="13" x14ac:dyDescent="0.3">
      <c r="A6" s="1" t="s">
        <v>131</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ht="13" x14ac:dyDescent="0.3">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25">
      <c r="A8" t="s">
        <v>132</v>
      </c>
      <c r="B8" t="s">
        <v>133</v>
      </c>
      <c r="C8" t="str">
        <f>INDEX(Lists!$D$2:$D$50,MATCH('SDA Tool'!$D$15,Lists!$B$2:$B$50,0))</f>
        <v>t</v>
      </c>
      <c r="D8" s="2">
        <f t="array" ref="D8">INDEX(Database!I$2:I$19,MATCH('SDA Tool'!$D$14&amp;$A8&amp;'SDA Tool'!$D$15,Database!$B$2:$B$19&amp;Database!$A$2:$A$19&amp;Database!$H$2:$H$19,0))</f>
        <v>185000000</v>
      </c>
      <c r="E8" s="2">
        <f t="array" ref="E8">INDEX(Database!J$2:J$19,MATCH('SDA Tool'!$D$14&amp;$A8&amp;'SDA Tool'!$D$15,Database!$B$2:$B$19&amp;Database!$A$2:$A$19&amp;Database!$H$2:$H$19,0))</f>
        <v>185000000</v>
      </c>
      <c r="F8" s="2">
        <f t="array" ref="F8">INDEX(Database!K$2:K$19,MATCH('SDA Tool'!$D$14&amp;$A8&amp;'SDA Tool'!$D$15,Database!$B$2:$B$19&amp;Database!$A$2:$A$19&amp;Database!$H$2:$H$19,0))</f>
        <v>185000000</v>
      </c>
      <c r="G8" s="2">
        <f t="array" ref="G8">INDEX(Database!L$2:L$19,MATCH('SDA Tool'!$D$14&amp;$A8&amp;'SDA Tool'!$D$15,Database!$B$2:$B$19&amp;Database!$A$2:$A$19&amp;Database!$H$2:$H$19,0))</f>
        <v>185000000</v>
      </c>
      <c r="H8" s="2">
        <f t="array" ref="H8">INDEX(Database!M$2:M$19,MATCH('SDA Tool'!$D$14&amp;$A8&amp;'SDA Tool'!$D$15,Database!$B$2:$B$19&amp;Database!$A$2:$A$19&amp;Database!$H$2:$H$19,0))</f>
        <v>185000000</v>
      </c>
      <c r="I8" s="2">
        <f t="array" ref="I8">INDEX(Database!N$2:N$19,MATCH('SDA Tool'!$D$14&amp;$A8&amp;'SDA Tool'!$D$15,Database!$B$2:$B$19&amp;Database!$A$2:$A$19&amp;Database!$H$2:$H$19,0))</f>
        <v>185000000</v>
      </c>
      <c r="J8" s="2">
        <f t="array" ref="J8">INDEX(Database!O$2:O$19,MATCH('SDA Tool'!$D$14&amp;$A8&amp;'SDA Tool'!$D$15,Database!$B$2:$B$19&amp;Database!$A$2:$A$19&amp;Database!$H$2:$H$19,0))</f>
        <v>185000000</v>
      </c>
      <c r="K8" s="2">
        <f t="array" ref="K8">INDEX(Database!P$2:P$19,MATCH('SDA Tool'!$D$14&amp;$A8&amp;'SDA Tool'!$D$15,Database!$B$2:$B$19&amp;Database!$A$2:$A$19&amp;Database!$H$2:$H$19,0))</f>
        <v>187000000</v>
      </c>
      <c r="L8" s="2">
        <f t="array" ref="L8">INDEX(Database!Q$2:Q$19,MATCH('SDA Tool'!$D$14&amp;$A8&amp;'SDA Tool'!$D$15,Database!$B$2:$B$19&amp;Database!$A$2:$A$19&amp;Database!$H$2:$H$19,0))</f>
        <v>189000000</v>
      </c>
      <c r="M8" s="2">
        <f t="array" ref="M8">INDEX(Database!R$2:R$19,MATCH('SDA Tool'!$D$14&amp;$A8&amp;'SDA Tool'!$D$15,Database!$B$2:$B$19&amp;Database!$A$2:$A$19&amp;Database!$H$2:$H$19,0))</f>
        <v>191000000</v>
      </c>
      <c r="N8" s="2">
        <f t="array" ref="N8">INDEX(Database!S$2:S$19,MATCH('SDA Tool'!$D$14&amp;$A8&amp;'SDA Tool'!$D$15,Database!$B$2:$B$19&amp;Database!$A$2:$A$19&amp;Database!$H$2:$H$19,0))</f>
        <v>193000000</v>
      </c>
      <c r="O8" s="2">
        <f t="array" ref="O8">INDEX(Database!T$2:T$19,MATCH('SDA Tool'!$D$14&amp;$A8&amp;'SDA Tool'!$D$15,Database!$B$2:$B$19&amp;Database!$A$2:$A$19&amp;Database!$H$2:$H$19,0))</f>
        <v>195000000</v>
      </c>
      <c r="P8" s="2">
        <f t="array" ref="P8">INDEX(Database!U$2:U$19,MATCH('SDA Tool'!$D$14&amp;$A8&amp;'SDA Tool'!$D$15,Database!$B$2:$B$19&amp;Database!$A$2:$A$19&amp;Database!$H$2:$H$19,0))</f>
        <v>197000000</v>
      </c>
      <c r="Q8" s="2">
        <f t="array" ref="Q8">INDEX(Database!V$2:V$19,MATCH('SDA Tool'!$D$14&amp;$A8&amp;'SDA Tool'!$D$15,Database!$B$2:$B$19&amp;Database!$A$2:$A$19&amp;Database!$H$2:$H$19,0))</f>
        <v>199000000</v>
      </c>
      <c r="R8" s="2">
        <f t="array" ref="R8">INDEX(Database!W$2:W$19,MATCH('SDA Tool'!$D$14&amp;$A8&amp;'SDA Tool'!$D$15,Database!$B$2:$B$19&amp;Database!$A$2:$A$19&amp;Database!$H$2:$H$19,0))</f>
        <v>201000000</v>
      </c>
      <c r="S8" s="2">
        <f t="array" ref="S8">INDEX(Database!X$2:X$19,MATCH('SDA Tool'!$D$14&amp;$A8&amp;'SDA Tool'!$D$15,Database!$B$2:$B$19&amp;Database!$A$2:$A$19&amp;Database!$H$2:$H$19,0))</f>
        <v>203000000</v>
      </c>
      <c r="T8" s="2">
        <f t="array" ref="T8">INDEX(Database!Y$2:Y$19,MATCH('SDA Tool'!$D$14&amp;$A8&amp;'SDA Tool'!$D$15,Database!$B$2:$B$19&amp;Database!$A$2:$A$19&amp;Database!$H$2:$H$19,0))</f>
        <v>205000000</v>
      </c>
      <c r="U8" s="2">
        <f t="array" ref="U8">INDEX(Database!Z$2:Z$19,MATCH('SDA Tool'!$D$14&amp;$A8&amp;'SDA Tool'!$D$15,Database!$B$2:$B$19&amp;Database!$A$2:$A$19&amp;Database!$H$2:$H$19,0))</f>
        <v>206500000</v>
      </c>
      <c r="V8" s="2">
        <f t="array" ref="V8">INDEX(Database!AA$2:AA$19,MATCH('SDA Tool'!$D$14&amp;$A8&amp;'SDA Tool'!$D$15,Database!$B$2:$B$19&amp;Database!$A$2:$A$19&amp;Database!$H$2:$H$19,0))</f>
        <v>208000000</v>
      </c>
      <c r="W8" s="2">
        <f t="array" ref="W8">INDEX(Database!AB$2:AB$19,MATCH('SDA Tool'!$D$14&amp;$A8&amp;'SDA Tool'!$D$15,Database!$B$2:$B$19&amp;Database!$A$2:$A$19&amp;Database!$H$2:$H$19,0))</f>
        <v>209500000</v>
      </c>
      <c r="X8" s="2">
        <f t="array" ref="X8">INDEX(Database!AC$2:AC$19,MATCH('SDA Tool'!$D$14&amp;$A8&amp;'SDA Tool'!$D$15,Database!$B$2:$B$19&amp;Database!$A$2:$A$19&amp;Database!$H$2:$H$19,0))</f>
        <v>211000000</v>
      </c>
      <c r="Y8" s="2">
        <f t="array" ref="Y8">INDEX(Database!AD$2:AD$19,MATCH('SDA Tool'!$D$14&amp;$A8&amp;'SDA Tool'!$D$15,Database!$B$2:$B$19&amp;Database!$A$2:$A$19&amp;Database!$H$2:$H$19,0))</f>
        <v>212500000</v>
      </c>
      <c r="Z8" s="2">
        <f t="array" ref="Z8">INDEX(Database!AE$2:AE$19,MATCH('SDA Tool'!$D$14&amp;$A8&amp;'SDA Tool'!$D$15,Database!$B$2:$B$19&amp;Database!$A$2:$A$19&amp;Database!$H$2:$H$19,0))</f>
        <v>214000000</v>
      </c>
      <c r="AA8" s="2">
        <f t="array" ref="AA8">INDEX(Database!AF$2:AF$19,MATCH('SDA Tool'!$D$14&amp;$A8&amp;'SDA Tool'!$D$15,Database!$B$2:$B$19&amp;Database!$A$2:$A$19&amp;Database!$H$2:$H$19,0))</f>
        <v>215500000</v>
      </c>
      <c r="AB8" s="2">
        <f t="array" ref="AB8">INDEX(Database!AG$2:AG$19,MATCH('SDA Tool'!$D$14&amp;$A8&amp;'SDA Tool'!$D$15,Database!$B$2:$B$19&amp;Database!$A$2:$A$19&amp;Database!$H$2:$H$19,0))</f>
        <v>217000000</v>
      </c>
      <c r="AC8" s="2">
        <f t="array" ref="AC8">INDEX(Database!AH$2:AH$19,MATCH('SDA Tool'!$D$14&amp;$A8&amp;'SDA Tool'!$D$15,Database!$B$2:$B$19&amp;Database!$A$2:$A$19&amp;Database!$H$2:$H$19,0))</f>
        <v>218500000</v>
      </c>
      <c r="AD8" s="2">
        <f t="array" ref="AD8">INDEX(Database!AI$2:AI$19,MATCH('SDA Tool'!$D$14&amp;$A8&amp;'SDA Tool'!$D$15,Database!$B$2:$B$19&amp;Database!$A$2:$A$19&amp;Database!$H$2:$H$19,0))</f>
        <v>220000000</v>
      </c>
      <c r="AE8" s="2">
        <f t="array" ref="AE8">INDEX(Database!AJ$2:AJ$19,MATCH('SDA Tool'!$D$14&amp;$A8&amp;'SDA Tool'!$D$15,Database!$B$2:$B$19&amp;Database!$A$2:$A$19&amp;Database!$H$2:$H$19,0))</f>
        <v>221000000</v>
      </c>
      <c r="AF8" s="2">
        <f t="array" ref="AF8">INDEX(Database!AK$2:AK$19,MATCH('SDA Tool'!$D$14&amp;$A8&amp;'SDA Tool'!$D$15,Database!$B$2:$B$19&amp;Database!$A$2:$A$19&amp;Database!$H$2:$H$19,0))</f>
        <v>222000000</v>
      </c>
      <c r="AG8" s="2">
        <f t="array" ref="AG8">INDEX(Database!AL$2:AL$19,MATCH('SDA Tool'!$D$14&amp;$A8&amp;'SDA Tool'!$D$15,Database!$B$2:$B$19&amp;Database!$A$2:$A$19&amp;Database!$H$2:$H$19,0))</f>
        <v>223000000</v>
      </c>
      <c r="AH8" s="2">
        <f t="array" ref="AH8">INDEX(Database!AM$2:AM$19,MATCH('SDA Tool'!$D$14&amp;$A8&amp;'SDA Tool'!$D$15,Database!$B$2:$B$19&amp;Database!$A$2:$A$19&amp;Database!$H$2:$H$19,0))</f>
        <v>224000000</v>
      </c>
      <c r="AI8" s="2">
        <f t="array" ref="AI8">INDEX(Database!AN$2:AN$19,MATCH('SDA Tool'!$D$14&amp;$A8&amp;'SDA Tool'!$D$15,Database!$B$2:$B$19&amp;Database!$A$2:$A$19&amp;Database!$H$2:$H$19,0))</f>
        <v>225000000</v>
      </c>
      <c r="AJ8" s="2">
        <f t="array" ref="AJ8">INDEX(Database!AO$2:AO$19,MATCH('SDA Tool'!$D$14&amp;$A8&amp;'SDA Tool'!$D$15,Database!$B$2:$B$19&amp;Database!$A$2:$A$19&amp;Database!$H$2:$H$19,0))</f>
        <v>226000000</v>
      </c>
      <c r="AK8" s="2">
        <f t="array" ref="AK8">INDEX(Database!AP$2:AP$19,MATCH('SDA Tool'!$D$14&amp;$A8&amp;'SDA Tool'!$D$15,Database!$B$2:$B$19&amp;Database!$A$2:$A$19&amp;Database!$H$2:$H$19,0))</f>
        <v>227000000</v>
      </c>
      <c r="AL8" s="2">
        <f t="array" ref="AL8">INDEX(Database!AQ$2:AQ$19,MATCH('SDA Tool'!$D$14&amp;$A8&amp;'SDA Tool'!$D$15,Database!$B$2:$B$19&amp;Database!$A$2:$A$19&amp;Database!$H$2:$H$19,0))</f>
        <v>228000000</v>
      </c>
      <c r="AM8" s="2">
        <f t="array" ref="AM8">INDEX(Database!AR$2:AR$19,MATCH('SDA Tool'!$D$14&amp;$A8&amp;'SDA Tool'!$D$15,Database!$B$2:$B$19&amp;Database!$A$2:$A$19&amp;Database!$H$2:$H$19,0))</f>
        <v>229000000</v>
      </c>
      <c r="AN8" s="2">
        <f t="array" ref="AN8">INDEX(Database!AS$2:AS$19,MATCH('SDA Tool'!$D$14&amp;$A8&amp;'SDA Tool'!$D$15,Database!$B$2:$B$19&amp;Database!$A$2:$A$19&amp;Database!$H$2:$H$19,0))</f>
        <v>230000000</v>
      </c>
      <c r="AO8" s="2">
        <f t="array" ref="AO8">INDEX(Database!AT$2:AT$19,MATCH('SDA Tool'!$D$14&amp;$A8&amp;'SDA Tool'!$D$15,Database!$B$2:$B$19&amp;Database!$A$2:$A$19&amp;Database!$H$2:$H$19,0))</f>
        <v>0</v>
      </c>
      <c r="AP8" s="2">
        <f t="array" ref="AP8">INDEX(Database!AU$2:AU$19,MATCH('SDA Tool'!$D$14&amp;$A8&amp;'SDA Tool'!$D$15,Database!$B$2:$B$19&amp;Database!$A$2:$A$19&amp;Database!$H$2:$H$19,0))</f>
        <v>0</v>
      </c>
      <c r="AQ8" s="2">
        <f t="array" ref="AQ8">INDEX(Database!AV$2:AV$19,MATCH('SDA Tool'!$D$14&amp;$A8&amp;'SDA Tool'!$D$15,Database!$B$2:$B$19&amp;Database!$A$2:$A$19&amp;Database!$H$2:$H$19,0))</f>
        <v>0</v>
      </c>
      <c r="AR8" s="2">
        <f t="array" ref="AR8">INDEX(Database!AW$2:AW$19,MATCH('SDA Tool'!$D$14&amp;$A8&amp;'SDA Tool'!$D$15,Database!$B$2:$B$19&amp;Database!$A$2:$A$19&amp;Database!$H$2:$H$19,0))</f>
        <v>0</v>
      </c>
      <c r="AS8" s="2">
        <f t="array" ref="AS8">INDEX(Database!AX$2:AX$19,MATCH('SDA Tool'!$D$14&amp;$A8&amp;'SDA Tool'!$D$15,Database!$B$2:$B$19&amp;Database!$A$2:$A$19&amp;Database!$H$2:$H$19,0))</f>
        <v>0</v>
      </c>
      <c r="AT8" s="2">
        <f t="array" ref="AT8">INDEX(Database!AY$2:AY$19,MATCH('SDA Tool'!$D$14&amp;$A8&amp;'SDA Tool'!$D$15,Database!$B$2:$B$19&amp;Database!$A$2:$A$19&amp;Database!$H$2:$H$19,0))</f>
        <v>0</v>
      </c>
      <c r="AU8" s="2">
        <f t="array" ref="AU8">INDEX(Database!AZ$2:AZ$19,MATCH('SDA Tool'!$D$14&amp;$A8&amp;'SDA Tool'!$D$15,Database!$B$2:$B$19&amp;Database!$A$2:$A$19&amp;Database!$H$2:$H$19,0))</f>
        <v>0</v>
      </c>
      <c r="AV8" s="2">
        <f t="array" ref="AV8">INDEX(Database!BA$2:BA$19,MATCH('SDA Tool'!$D$14&amp;$A8&amp;'SDA Tool'!$D$15,Database!$B$2:$B$19&amp;Database!$A$2:$A$19&amp;Database!$H$2:$H$19,0))</f>
        <v>0</v>
      </c>
      <c r="AW8" s="2">
        <f t="array" ref="AW8">INDEX(Database!BB$2:BB$19,MATCH('SDA Tool'!$D$14&amp;$A8&amp;'SDA Tool'!$D$15,Database!$B$2:$B$19&amp;Database!$A$2:$A$19&amp;Database!$H$2:$H$19,0))</f>
        <v>0</v>
      </c>
      <c r="AX8" s="2">
        <f t="array" ref="AX8">INDEX(Database!BC$2:BC$19,MATCH('SDA Tool'!$D$14&amp;$A8&amp;'SDA Tool'!$D$15,Database!$B$2:$B$19&amp;Database!$A$2:$A$19&amp;Database!$H$2:$H$19,0))</f>
        <v>0</v>
      </c>
    </row>
    <row r="9" spans="1:91" x14ac:dyDescent="0.25">
      <c r="A9" t="s">
        <v>134</v>
      </c>
      <c r="B9" t="s">
        <v>135</v>
      </c>
      <c r="C9" t="s">
        <v>136</v>
      </c>
      <c r="D9" s="2">
        <f t="array" ref="D9">INDEX(Database!I$2:I$19,MATCH('SDA Tool'!$D$14&amp;$A9&amp;'SDA Tool'!$D$15,Database!$B$2:$B$19&amp;Database!$A$2:$A$19&amp;Database!$H$2:$H$19,0))</f>
        <v>290</v>
      </c>
      <c r="E9" s="2">
        <f t="array" ref="E9">INDEX(Database!J$2:J$19,MATCH('SDA Tool'!$D$14&amp;$A9&amp;'SDA Tool'!$D$15,Database!$B$2:$B$19&amp;Database!$A$2:$A$19&amp;Database!$H$2:$H$19,0))</f>
        <v>290</v>
      </c>
      <c r="F9" s="2">
        <f t="array" ref="F9">INDEX(Database!K$2:K$19,MATCH('SDA Tool'!$D$14&amp;$A9&amp;'SDA Tool'!$D$15,Database!$B$2:$B$19&amp;Database!$A$2:$A$19&amp;Database!$H$2:$H$19,0))</f>
        <v>290</v>
      </c>
      <c r="G9" s="2">
        <f t="array" ref="G9">INDEX(Database!L$2:L$19,MATCH('SDA Tool'!$D$14&amp;$A9&amp;'SDA Tool'!$D$15,Database!$B$2:$B$19&amp;Database!$A$2:$A$19&amp;Database!$H$2:$H$19,0))</f>
        <v>290</v>
      </c>
      <c r="H9" s="2">
        <f t="array" ref="H9">INDEX(Database!M$2:M$19,MATCH('SDA Tool'!$D$14&amp;$A9&amp;'SDA Tool'!$D$15,Database!$B$2:$B$19&amp;Database!$A$2:$A$19&amp;Database!$H$2:$H$19,0))</f>
        <v>290</v>
      </c>
      <c r="I9" s="2">
        <f t="array" ref="I9">INDEX(Database!N$2:N$19,MATCH('SDA Tool'!$D$14&amp;$A9&amp;'SDA Tool'!$D$15,Database!$B$2:$B$19&amp;Database!$A$2:$A$19&amp;Database!$H$2:$H$19,0))</f>
        <v>290</v>
      </c>
      <c r="J9" s="2">
        <f t="array" ref="J9">INDEX(Database!O$2:O$19,MATCH('SDA Tool'!$D$14&amp;$A9&amp;'SDA Tool'!$D$15,Database!$B$2:$B$19&amp;Database!$A$2:$A$19&amp;Database!$H$2:$H$19,0))</f>
        <v>290</v>
      </c>
      <c r="K9" s="2">
        <f t="array" ref="K9">INDEX(Database!P$2:P$19,MATCH('SDA Tool'!$D$14&amp;$A9&amp;'SDA Tool'!$D$15,Database!$B$2:$B$19&amp;Database!$A$2:$A$19&amp;Database!$H$2:$H$19,0))</f>
        <v>333</v>
      </c>
      <c r="L9" s="2">
        <f t="array" ref="L9">INDEX(Database!Q$2:Q$19,MATCH('SDA Tool'!$D$14&amp;$A9&amp;'SDA Tool'!$D$15,Database!$B$2:$B$19&amp;Database!$A$2:$A$19&amp;Database!$H$2:$H$19,0))</f>
        <v>376</v>
      </c>
      <c r="M9" s="2">
        <f t="array" ref="M9">INDEX(Database!R$2:R$19,MATCH('SDA Tool'!$D$14&amp;$A9&amp;'SDA Tool'!$D$15,Database!$B$2:$B$19&amp;Database!$A$2:$A$19&amp;Database!$H$2:$H$19,0))</f>
        <v>419</v>
      </c>
      <c r="N9" s="2">
        <f t="array" ref="N9">INDEX(Database!S$2:S$19,MATCH('SDA Tool'!$D$14&amp;$A9&amp;'SDA Tool'!$D$15,Database!$B$2:$B$19&amp;Database!$A$2:$A$19&amp;Database!$H$2:$H$19,0))</f>
        <v>462</v>
      </c>
      <c r="O9" s="2">
        <f t="array" ref="O9">INDEX(Database!T$2:T$19,MATCH('SDA Tool'!$D$14&amp;$A9&amp;'SDA Tool'!$D$15,Database!$B$2:$B$19&amp;Database!$A$2:$A$19&amp;Database!$H$2:$H$19,0))</f>
        <v>505</v>
      </c>
      <c r="P9" s="2">
        <f t="array" ref="P9">INDEX(Database!U$2:U$19,MATCH('SDA Tool'!$D$14&amp;$A9&amp;'SDA Tool'!$D$15,Database!$B$2:$B$19&amp;Database!$A$2:$A$19&amp;Database!$H$2:$H$19,0))</f>
        <v>548</v>
      </c>
      <c r="Q9" s="2">
        <f t="array" ref="Q9">INDEX(Database!V$2:V$19,MATCH('SDA Tool'!$D$14&amp;$A9&amp;'SDA Tool'!$D$15,Database!$B$2:$B$19&amp;Database!$A$2:$A$19&amp;Database!$H$2:$H$19,0))</f>
        <v>591</v>
      </c>
      <c r="R9" s="2">
        <f t="array" ref="R9">INDEX(Database!W$2:W$19,MATCH('SDA Tool'!$D$14&amp;$A9&amp;'SDA Tool'!$D$15,Database!$B$2:$B$19&amp;Database!$A$2:$A$19&amp;Database!$H$2:$H$19,0))</f>
        <v>634</v>
      </c>
      <c r="S9" s="2">
        <f t="array" ref="S9">INDEX(Database!X$2:X$19,MATCH('SDA Tool'!$D$14&amp;$A9&amp;'SDA Tool'!$D$15,Database!$B$2:$B$19&amp;Database!$A$2:$A$19&amp;Database!$H$2:$H$19,0))</f>
        <v>677</v>
      </c>
      <c r="T9" s="2">
        <f t="array" ref="T9">INDEX(Database!Y$2:Y$19,MATCH('SDA Tool'!$D$14&amp;$A9&amp;'SDA Tool'!$D$15,Database!$B$2:$B$19&amp;Database!$A$2:$A$19&amp;Database!$H$2:$H$19,0))</f>
        <v>720</v>
      </c>
      <c r="U9" s="2">
        <f t="array" ref="U9">INDEX(Database!Z$2:Z$19,MATCH('SDA Tool'!$D$14&amp;$A9&amp;'SDA Tool'!$D$15,Database!$B$2:$B$19&amp;Database!$A$2:$A$19&amp;Database!$H$2:$H$19,0))</f>
        <v>900</v>
      </c>
      <c r="V9" s="2">
        <f t="array" ref="V9">INDEX(Database!AA$2:AA$19,MATCH('SDA Tool'!$D$14&amp;$A9&amp;'SDA Tool'!$D$15,Database!$B$2:$B$19&amp;Database!$A$2:$A$19&amp;Database!$H$2:$H$19,0))</f>
        <v>1080</v>
      </c>
      <c r="W9" s="2">
        <f t="array" ref="W9">INDEX(Database!AB$2:AB$19,MATCH('SDA Tool'!$D$14&amp;$A9&amp;'SDA Tool'!$D$15,Database!$B$2:$B$19&amp;Database!$A$2:$A$19&amp;Database!$H$2:$H$19,0))</f>
        <v>1260</v>
      </c>
      <c r="X9" s="2">
        <f t="array" ref="X9">INDEX(Database!AC$2:AC$19,MATCH('SDA Tool'!$D$14&amp;$A9&amp;'SDA Tool'!$D$15,Database!$B$2:$B$19&amp;Database!$A$2:$A$19&amp;Database!$H$2:$H$19,0))</f>
        <v>1440</v>
      </c>
      <c r="Y9" s="2">
        <f t="array" ref="Y9">INDEX(Database!AD$2:AD$19,MATCH('SDA Tool'!$D$14&amp;$A9&amp;'SDA Tool'!$D$15,Database!$B$2:$B$19&amp;Database!$A$2:$A$19&amp;Database!$H$2:$H$19,0))</f>
        <v>1620</v>
      </c>
      <c r="Z9" s="2">
        <f t="array" ref="Z9">INDEX(Database!AE$2:AE$19,MATCH('SDA Tool'!$D$14&amp;$A9&amp;'SDA Tool'!$D$15,Database!$B$2:$B$19&amp;Database!$A$2:$A$19&amp;Database!$H$2:$H$19,0))</f>
        <v>1800</v>
      </c>
      <c r="AA9" s="2">
        <f t="array" ref="AA9">INDEX(Database!AF$2:AF$19,MATCH('SDA Tool'!$D$14&amp;$A9&amp;'SDA Tool'!$D$15,Database!$B$2:$B$19&amp;Database!$A$2:$A$19&amp;Database!$H$2:$H$19,0))</f>
        <v>1980</v>
      </c>
      <c r="AB9" s="2">
        <f t="array" ref="AB9">INDEX(Database!AG$2:AG$19,MATCH('SDA Tool'!$D$14&amp;$A9&amp;'SDA Tool'!$D$15,Database!$B$2:$B$19&amp;Database!$A$2:$A$19&amp;Database!$H$2:$H$19,0))</f>
        <v>2160</v>
      </c>
      <c r="AC9" s="2">
        <f t="array" ref="AC9">INDEX(Database!AH$2:AH$19,MATCH('SDA Tool'!$D$14&amp;$A9&amp;'SDA Tool'!$D$15,Database!$B$2:$B$19&amp;Database!$A$2:$A$19&amp;Database!$H$2:$H$19,0))</f>
        <v>2340</v>
      </c>
      <c r="AD9" s="2">
        <f t="array" ref="AD9">INDEX(Database!AI$2:AI$19,MATCH('SDA Tool'!$D$14&amp;$A9&amp;'SDA Tool'!$D$15,Database!$B$2:$B$19&amp;Database!$A$2:$A$19&amp;Database!$H$2:$H$19,0))</f>
        <v>2520</v>
      </c>
      <c r="AE9" s="2">
        <f t="array" ref="AE9">INDEX(Database!AJ$2:AJ$19,MATCH('SDA Tool'!$D$14&amp;$A9&amp;'SDA Tool'!$D$15,Database!$B$2:$B$19&amp;Database!$A$2:$A$19&amp;Database!$H$2:$H$19,0))</f>
        <v>2700</v>
      </c>
      <c r="AF9" s="2">
        <f t="array" ref="AF9">INDEX(Database!AK$2:AK$19,MATCH('SDA Tool'!$D$14&amp;$A9&amp;'SDA Tool'!$D$15,Database!$B$2:$B$19&amp;Database!$A$2:$A$19&amp;Database!$H$2:$H$19,0))</f>
        <v>2880</v>
      </c>
      <c r="AG9" s="2">
        <f t="array" ref="AG9">INDEX(Database!AL$2:AL$19,MATCH('SDA Tool'!$D$14&amp;$A9&amp;'SDA Tool'!$D$15,Database!$B$2:$B$19&amp;Database!$A$2:$A$19&amp;Database!$H$2:$H$19,0))</f>
        <v>3060</v>
      </c>
      <c r="AH9" s="2">
        <f t="array" ref="AH9">INDEX(Database!AM$2:AM$19,MATCH('SDA Tool'!$D$14&amp;$A9&amp;'SDA Tool'!$D$15,Database!$B$2:$B$19&amp;Database!$A$2:$A$19&amp;Database!$H$2:$H$19,0))</f>
        <v>3240</v>
      </c>
      <c r="AI9" s="2">
        <f t="array" ref="AI9">INDEX(Database!AN$2:AN$19,MATCH('SDA Tool'!$D$14&amp;$A9&amp;'SDA Tool'!$D$15,Database!$B$2:$B$19&amp;Database!$A$2:$A$19&amp;Database!$H$2:$H$19,0))</f>
        <v>3420</v>
      </c>
      <c r="AJ9" s="2">
        <f t="array" ref="AJ9">INDEX(Database!AO$2:AO$19,MATCH('SDA Tool'!$D$14&amp;$A9&amp;'SDA Tool'!$D$15,Database!$B$2:$B$19&amp;Database!$A$2:$A$19&amp;Database!$H$2:$H$19,0))</f>
        <v>3600</v>
      </c>
      <c r="AK9" s="2">
        <f t="array" ref="AK9">INDEX(Database!AP$2:AP$19,MATCH('SDA Tool'!$D$14&amp;$A9&amp;'SDA Tool'!$D$15,Database!$B$2:$B$19&amp;Database!$A$2:$A$19&amp;Database!$H$2:$H$19,0))</f>
        <v>3780</v>
      </c>
      <c r="AL9" s="2">
        <f t="array" ref="AL9">INDEX(Database!AQ$2:AQ$19,MATCH('SDA Tool'!$D$14&amp;$A9&amp;'SDA Tool'!$D$15,Database!$B$2:$B$19&amp;Database!$A$2:$A$19&amp;Database!$H$2:$H$19,0))</f>
        <v>3960</v>
      </c>
      <c r="AM9" s="2">
        <f t="array" ref="AM9">INDEX(Database!AR$2:AR$19,MATCH('SDA Tool'!$D$14&amp;$A9&amp;'SDA Tool'!$D$15,Database!$B$2:$B$19&amp;Database!$A$2:$A$19&amp;Database!$H$2:$H$19,0))</f>
        <v>4140</v>
      </c>
      <c r="AN9" s="2">
        <f t="array" ref="AN9">INDEX(Database!AS$2:AS$19,MATCH('SDA Tool'!$D$14&amp;$A9&amp;'SDA Tool'!$D$15,Database!$B$2:$B$19&amp;Database!$A$2:$A$19&amp;Database!$H$2:$H$19,0))</f>
        <v>4320</v>
      </c>
      <c r="AO9" s="2">
        <f t="array" ref="AO9">INDEX(Database!AT$2:AT$19,MATCH('SDA Tool'!$D$14&amp;$A9&amp;'SDA Tool'!$D$15,Database!$B$2:$B$19&amp;Database!$A$2:$A$19&amp;Database!$H$2:$H$19,0))</f>
        <v>0</v>
      </c>
      <c r="AP9" s="2">
        <f t="array" ref="AP9">INDEX(Database!AU$2:AU$19,MATCH('SDA Tool'!$D$14&amp;$A9&amp;'SDA Tool'!$D$15,Database!$B$2:$B$19&amp;Database!$A$2:$A$19&amp;Database!$H$2:$H$19,0))</f>
        <v>0</v>
      </c>
      <c r="AQ9" s="2">
        <f t="array" ref="AQ9">INDEX(Database!AV$2:AV$19,MATCH('SDA Tool'!$D$14&amp;$A9&amp;'SDA Tool'!$D$15,Database!$B$2:$B$19&amp;Database!$A$2:$A$19&amp;Database!$H$2:$H$19,0))</f>
        <v>0</v>
      </c>
      <c r="AR9" s="2">
        <f t="array" ref="AR9">INDEX(Database!AW$2:AW$19,MATCH('SDA Tool'!$D$14&amp;$A9&amp;'SDA Tool'!$D$15,Database!$B$2:$B$19&amp;Database!$A$2:$A$19&amp;Database!$H$2:$H$19,0))</f>
        <v>0</v>
      </c>
      <c r="AS9" s="2">
        <f t="array" ref="AS9">INDEX(Database!AX$2:AX$19,MATCH('SDA Tool'!$D$14&amp;$A9&amp;'SDA Tool'!$D$15,Database!$B$2:$B$19&amp;Database!$A$2:$A$19&amp;Database!$H$2:$H$19,0))</f>
        <v>0</v>
      </c>
      <c r="AT9" s="2">
        <f t="array" ref="AT9">INDEX(Database!AY$2:AY$19,MATCH('SDA Tool'!$D$14&amp;$A9&amp;'SDA Tool'!$D$15,Database!$B$2:$B$19&amp;Database!$A$2:$A$19&amp;Database!$H$2:$H$19,0))</f>
        <v>0</v>
      </c>
      <c r="AU9" s="2">
        <f t="array" ref="AU9">INDEX(Database!AZ$2:AZ$19,MATCH('SDA Tool'!$D$14&amp;$A9&amp;'SDA Tool'!$D$15,Database!$B$2:$B$19&amp;Database!$A$2:$A$19&amp;Database!$H$2:$H$19,0))</f>
        <v>0</v>
      </c>
      <c r="AV9" s="2">
        <f t="array" ref="AV9">INDEX(Database!BA$2:BA$19,MATCH('SDA Tool'!$D$14&amp;$A9&amp;'SDA Tool'!$D$15,Database!$B$2:$B$19&amp;Database!$A$2:$A$19&amp;Database!$H$2:$H$19,0))</f>
        <v>0</v>
      </c>
      <c r="AW9" s="2">
        <f t="array" ref="AW9">INDEX(Database!BB$2:BB$19,MATCH('SDA Tool'!$D$14&amp;$A9&amp;'SDA Tool'!$D$15,Database!$B$2:$B$19&amp;Database!$A$2:$A$19&amp;Database!$H$2:$H$19,0))</f>
        <v>0</v>
      </c>
      <c r="AX9" s="2">
        <f t="array" ref="AX9">INDEX(Database!BC$2:BC$19,MATCH('SDA Tool'!$D$14&amp;$A9&amp;'SDA Tool'!$D$15,Database!$B$2:$B$19&amp;Database!$A$2:$A$19&amp;Database!$H$2:$H$19,0))</f>
        <v>0</v>
      </c>
    </row>
    <row r="10" spans="1:91" s="606" customFormat="1" ht="13" x14ac:dyDescent="0.3">
      <c r="A10" s="606" t="s">
        <v>134</v>
      </c>
      <c r="B10" s="606" t="s">
        <v>575</v>
      </c>
      <c r="C10" s="606" t="s">
        <v>136</v>
      </c>
      <c r="D10" s="607">
        <f t="shared" ref="D10:J10" si="0">D9</f>
        <v>290</v>
      </c>
      <c r="E10" s="607">
        <f t="shared" si="0"/>
        <v>290</v>
      </c>
      <c r="F10" s="607">
        <f t="shared" si="0"/>
        <v>290</v>
      </c>
      <c r="G10" s="607">
        <f t="shared" si="0"/>
        <v>290</v>
      </c>
      <c r="H10" s="607">
        <f t="shared" si="0"/>
        <v>290</v>
      </c>
      <c r="I10" s="607">
        <f t="shared" si="0"/>
        <v>290</v>
      </c>
      <c r="J10" s="607">
        <f t="shared" si="0"/>
        <v>290</v>
      </c>
      <c r="K10" s="607">
        <f>K13*3.6/K29</f>
        <v>317.39452831296325</v>
      </c>
      <c r="L10" s="607">
        <f t="shared" ref="L10:AX10" si="1">L13*3.6/L29</f>
        <v>349.41871654876348</v>
      </c>
      <c r="M10" s="607">
        <f t="shared" si="1"/>
        <v>387.35450303260711</v>
      </c>
      <c r="N10" s="607">
        <f t="shared" si="1"/>
        <v>433.00523815202399</v>
      </c>
      <c r="O10" s="607">
        <f t="shared" si="1"/>
        <v>488.9907890013431</v>
      </c>
      <c r="P10" s="607">
        <f t="shared" si="1"/>
        <v>548</v>
      </c>
      <c r="Q10" s="607">
        <f t="shared" si="1"/>
        <v>591</v>
      </c>
      <c r="R10" s="607">
        <f t="shared" si="1"/>
        <v>634</v>
      </c>
      <c r="S10" s="607">
        <f t="shared" si="1"/>
        <v>677</v>
      </c>
      <c r="T10" s="607">
        <f t="shared" si="1"/>
        <v>720</v>
      </c>
      <c r="U10" s="607">
        <f t="shared" si="1"/>
        <v>800.22615984070899</v>
      </c>
      <c r="V10" s="607">
        <f t="shared" si="1"/>
        <v>895.0165731330751</v>
      </c>
      <c r="W10" s="607">
        <f t="shared" si="1"/>
        <v>1008.7331623582053</v>
      </c>
      <c r="X10" s="607">
        <f t="shared" si="1"/>
        <v>1147.6728576156133</v>
      </c>
      <c r="Y10" s="607">
        <f t="shared" si="1"/>
        <v>1321.2744332003915</v>
      </c>
      <c r="Z10" s="607">
        <f t="shared" si="1"/>
        <v>1544.3572902350547</v>
      </c>
      <c r="AA10" s="607">
        <f t="shared" si="1"/>
        <v>1841.5927491324564</v>
      </c>
      <c r="AB10" s="607">
        <f t="shared" si="1"/>
        <v>2159.9999999999995</v>
      </c>
      <c r="AC10" s="607">
        <f t="shared" si="1"/>
        <v>2340</v>
      </c>
      <c r="AD10" s="607">
        <f t="shared" si="1"/>
        <v>2520</v>
      </c>
      <c r="AE10" s="607">
        <f t="shared" si="1"/>
        <v>2700</v>
      </c>
      <c r="AF10" s="607">
        <f t="shared" si="1"/>
        <v>2880</v>
      </c>
      <c r="AG10" s="607">
        <f t="shared" si="1"/>
        <v>3060.0000000000005</v>
      </c>
      <c r="AH10" s="607">
        <f t="shared" si="1"/>
        <v>3239.9999999999995</v>
      </c>
      <c r="AI10" s="607">
        <f t="shared" si="1"/>
        <v>3420</v>
      </c>
      <c r="AJ10" s="607">
        <f t="shared" si="1"/>
        <v>3600.0000000000005</v>
      </c>
      <c r="AK10" s="607">
        <f t="shared" si="1"/>
        <v>3780.0000000000005</v>
      </c>
      <c r="AL10" s="607">
        <f t="shared" si="1"/>
        <v>3960.0000000000005</v>
      </c>
      <c r="AM10" s="607">
        <f t="shared" si="1"/>
        <v>4140</v>
      </c>
      <c r="AN10" s="607">
        <f t="shared" si="1"/>
        <v>4320</v>
      </c>
      <c r="AO10" s="607">
        <f t="shared" si="1"/>
        <v>0</v>
      </c>
      <c r="AP10" s="607">
        <f t="shared" si="1"/>
        <v>0</v>
      </c>
      <c r="AQ10" s="607">
        <f t="shared" si="1"/>
        <v>0</v>
      </c>
      <c r="AR10" s="607">
        <f t="shared" si="1"/>
        <v>0</v>
      </c>
      <c r="AS10" s="607">
        <f t="shared" si="1"/>
        <v>0</v>
      </c>
      <c r="AT10" s="607">
        <f t="shared" si="1"/>
        <v>0</v>
      </c>
      <c r="AU10" s="607">
        <f t="shared" si="1"/>
        <v>0</v>
      </c>
      <c r="AV10" s="607">
        <f t="shared" si="1"/>
        <v>0</v>
      </c>
      <c r="AW10" s="607">
        <f t="shared" si="1"/>
        <v>0</v>
      </c>
      <c r="AX10" s="607">
        <f t="shared" si="1"/>
        <v>0</v>
      </c>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row>
    <row r="11" spans="1:91" x14ac:dyDescent="0.25">
      <c r="A11" t="s">
        <v>137</v>
      </c>
      <c r="B11" s="528" t="s">
        <v>578</v>
      </c>
      <c r="C11" t="s">
        <v>138</v>
      </c>
      <c r="D11" s="2">
        <f t="array" ref="D11">INDEX(Database!I$2:I$19,MATCH('SDA Tool'!$D$14&amp;$A11&amp;'SDA Tool'!$D$15,Database!$B$2:$B$19&amp;Database!$A$2:$A$19&amp;Database!$H$2:$H$19,0))</f>
        <v>450</v>
      </c>
      <c r="E11" s="2">
        <f t="array" ref="E11">INDEX(Database!J$2:J$19,MATCH('SDA Tool'!$D$14&amp;$A11&amp;'SDA Tool'!$D$15,Database!$B$2:$B$19&amp;Database!$A$2:$A$19&amp;Database!$H$2:$H$19,0))</f>
        <v>450</v>
      </c>
      <c r="F11" s="2">
        <f t="array" ref="F11">INDEX(Database!K$2:K$19,MATCH('SDA Tool'!$D$14&amp;$A11&amp;'SDA Tool'!$D$15,Database!$B$2:$B$19&amp;Database!$A$2:$A$19&amp;Database!$H$2:$H$19,0))</f>
        <v>450</v>
      </c>
      <c r="G11" s="2">
        <f t="array" ref="G11">INDEX(Database!L$2:L$19,MATCH('SDA Tool'!$D$14&amp;$A11&amp;'SDA Tool'!$D$15,Database!$B$2:$B$19&amp;Database!$A$2:$A$19&amp;Database!$H$2:$H$19,0))</f>
        <v>450</v>
      </c>
      <c r="H11" s="2">
        <f t="array" ref="H11">INDEX(Database!M$2:M$19,MATCH('SDA Tool'!$D$14&amp;$A11&amp;'SDA Tool'!$D$15,Database!$B$2:$B$19&amp;Database!$A$2:$A$19&amp;Database!$H$2:$H$19,0))</f>
        <v>450</v>
      </c>
      <c r="I11" s="2">
        <f t="array" ref="I11">INDEX(Database!N$2:N$19,MATCH('SDA Tool'!$D$14&amp;$A11&amp;'SDA Tool'!$D$15,Database!$B$2:$B$19&amp;Database!$A$2:$A$19&amp;Database!$H$2:$H$19,0))</f>
        <v>450</v>
      </c>
      <c r="J11" s="2">
        <f t="array" ref="J11">INDEX(Database!O$2:O$19,MATCH('SDA Tool'!$D$14&amp;$A11&amp;'SDA Tool'!$D$15,Database!$B$2:$B$19&amp;Database!$A$2:$A$19&amp;Database!$H$2:$H$19,0))</f>
        <v>450</v>
      </c>
      <c r="K11" s="2">
        <f t="array" ref="K11">INDEX(Database!P$2:P$19,MATCH('SDA Tool'!$D$14&amp;$A11&amp;'SDA Tool'!$D$15,Database!$B$2:$B$19&amp;Database!$A$2:$A$19&amp;Database!$H$2:$H$19,0))</f>
        <v>439</v>
      </c>
      <c r="L11" s="2">
        <f t="array" ref="L11">INDEX(Database!Q$2:Q$19,MATCH('SDA Tool'!$D$14&amp;$A11&amp;'SDA Tool'!$D$15,Database!$B$2:$B$19&amp;Database!$A$2:$A$19&amp;Database!$H$2:$H$19,0))</f>
        <v>428</v>
      </c>
      <c r="M11" s="2">
        <f t="array" ref="M11">INDEX(Database!R$2:R$19,MATCH('SDA Tool'!$D$14&amp;$A11&amp;'SDA Tool'!$D$15,Database!$B$2:$B$19&amp;Database!$A$2:$A$19&amp;Database!$H$2:$H$19,0))</f>
        <v>417</v>
      </c>
      <c r="N11" s="2">
        <f t="array" ref="N11">INDEX(Database!S$2:S$19,MATCH('SDA Tool'!$D$14&amp;$A11&amp;'SDA Tool'!$D$15,Database!$B$2:$B$19&amp;Database!$A$2:$A$19&amp;Database!$H$2:$H$19,0))</f>
        <v>406</v>
      </c>
      <c r="O11" s="2">
        <f t="array" ref="O11">INDEX(Database!T$2:T$19,MATCH('SDA Tool'!$D$14&amp;$A11&amp;'SDA Tool'!$D$15,Database!$B$2:$B$19&amp;Database!$A$2:$A$19&amp;Database!$H$2:$H$19,0))</f>
        <v>395</v>
      </c>
      <c r="P11" s="2">
        <f t="array" ref="P11">INDEX(Database!U$2:U$19,MATCH('SDA Tool'!$D$14&amp;$A11&amp;'SDA Tool'!$D$15,Database!$B$2:$B$19&amp;Database!$A$2:$A$19&amp;Database!$H$2:$H$19,0))</f>
        <v>384</v>
      </c>
      <c r="Q11" s="2">
        <f t="array" ref="Q11">INDEX(Database!V$2:V$19,MATCH('SDA Tool'!$D$14&amp;$A11&amp;'SDA Tool'!$D$15,Database!$B$2:$B$19&amp;Database!$A$2:$A$19&amp;Database!$H$2:$H$19,0))</f>
        <v>373</v>
      </c>
      <c r="R11" s="2">
        <f t="array" ref="R11">INDEX(Database!W$2:W$19,MATCH('SDA Tool'!$D$14&amp;$A11&amp;'SDA Tool'!$D$15,Database!$B$2:$B$19&amp;Database!$A$2:$A$19&amp;Database!$H$2:$H$19,0))</f>
        <v>362</v>
      </c>
      <c r="S11" s="2">
        <f t="array" ref="S11">INDEX(Database!X$2:X$19,MATCH('SDA Tool'!$D$14&amp;$A11&amp;'SDA Tool'!$D$15,Database!$B$2:$B$19&amp;Database!$A$2:$A$19&amp;Database!$H$2:$H$19,0))</f>
        <v>351</v>
      </c>
      <c r="T11" s="2">
        <f t="array" ref="T11">INDEX(Database!Y$2:Y$19,MATCH('SDA Tool'!$D$14&amp;$A11&amp;'SDA Tool'!$D$15,Database!$B$2:$B$19&amp;Database!$A$2:$A$19&amp;Database!$H$2:$H$19,0))</f>
        <v>340</v>
      </c>
      <c r="U11" s="2">
        <f t="array" ref="U11">INDEX(Database!Z$2:Z$19,MATCH('SDA Tool'!$D$14&amp;$A11&amp;'SDA Tool'!$D$15,Database!$B$2:$B$19&amp;Database!$A$2:$A$19&amp;Database!$H$2:$H$19,0))</f>
        <v>320.5</v>
      </c>
      <c r="V11" s="2">
        <f t="array" ref="V11">INDEX(Database!AA$2:AA$19,MATCH('SDA Tool'!$D$14&amp;$A11&amp;'SDA Tool'!$D$15,Database!$B$2:$B$19&amp;Database!$A$2:$A$19&amp;Database!$H$2:$H$19,0))</f>
        <v>301</v>
      </c>
      <c r="W11" s="2">
        <f t="array" ref="W11">INDEX(Database!AB$2:AB$19,MATCH('SDA Tool'!$D$14&amp;$A11&amp;'SDA Tool'!$D$15,Database!$B$2:$B$19&amp;Database!$A$2:$A$19&amp;Database!$H$2:$H$19,0))</f>
        <v>281.5</v>
      </c>
      <c r="X11" s="2">
        <f t="array" ref="X11">INDEX(Database!AC$2:AC$19,MATCH('SDA Tool'!$D$14&amp;$A11&amp;'SDA Tool'!$D$15,Database!$B$2:$B$19&amp;Database!$A$2:$A$19&amp;Database!$H$2:$H$19,0))</f>
        <v>262</v>
      </c>
      <c r="Y11" s="2">
        <f t="array" ref="Y11">INDEX(Database!AD$2:AD$19,MATCH('SDA Tool'!$D$14&amp;$A11&amp;'SDA Tool'!$D$15,Database!$B$2:$B$19&amp;Database!$A$2:$A$19&amp;Database!$H$2:$H$19,0))</f>
        <v>242.5</v>
      </c>
      <c r="Z11" s="2">
        <f t="array" ref="Z11">INDEX(Database!AE$2:AE$19,MATCH('SDA Tool'!$D$14&amp;$A11&amp;'SDA Tool'!$D$15,Database!$B$2:$B$19&amp;Database!$A$2:$A$19&amp;Database!$H$2:$H$19,0))</f>
        <v>223</v>
      </c>
      <c r="AA11" s="2">
        <f t="array" ref="AA11">INDEX(Database!AF$2:AF$19,MATCH('SDA Tool'!$D$14&amp;$A11&amp;'SDA Tool'!$D$15,Database!$B$2:$B$19&amp;Database!$A$2:$A$19&amp;Database!$H$2:$H$19,0))</f>
        <v>203.5</v>
      </c>
      <c r="AB11" s="2">
        <f t="array" ref="AB11">INDEX(Database!AG$2:AG$19,MATCH('SDA Tool'!$D$14&amp;$A11&amp;'SDA Tool'!$D$15,Database!$B$2:$B$19&amp;Database!$A$2:$A$19&amp;Database!$H$2:$H$19,0))</f>
        <v>184</v>
      </c>
      <c r="AC11" s="2">
        <f t="array" ref="AC11">INDEX(Database!AH$2:AH$19,MATCH('SDA Tool'!$D$14&amp;$A11&amp;'SDA Tool'!$D$15,Database!$B$2:$B$19&amp;Database!$A$2:$A$19&amp;Database!$H$2:$H$19,0))</f>
        <v>164.5</v>
      </c>
      <c r="AD11" s="2">
        <f t="array" ref="AD11">INDEX(Database!AI$2:AI$19,MATCH('SDA Tool'!$D$14&amp;$A11&amp;'SDA Tool'!$D$15,Database!$B$2:$B$19&amp;Database!$A$2:$A$19&amp;Database!$H$2:$H$19,0))</f>
        <v>145</v>
      </c>
      <c r="AE11" s="2">
        <f t="array" ref="AE11">INDEX(Database!AJ$2:AJ$19,MATCH('SDA Tool'!$D$14&amp;$A11&amp;'SDA Tool'!$D$15,Database!$B$2:$B$19&amp;Database!$A$2:$A$19&amp;Database!$H$2:$H$19,0))</f>
        <v>132.5</v>
      </c>
      <c r="AF11" s="2">
        <f t="array" ref="AF11">INDEX(Database!AK$2:AK$19,MATCH('SDA Tool'!$D$14&amp;$A11&amp;'SDA Tool'!$D$15,Database!$B$2:$B$19&amp;Database!$A$2:$A$19&amp;Database!$H$2:$H$19,0))</f>
        <v>120</v>
      </c>
      <c r="AG11" s="2">
        <f t="array" ref="AG11">INDEX(Database!AL$2:AL$19,MATCH('SDA Tool'!$D$14&amp;$A11&amp;'SDA Tool'!$D$15,Database!$B$2:$B$19&amp;Database!$A$2:$A$19&amp;Database!$H$2:$H$19,0))</f>
        <v>107.5</v>
      </c>
      <c r="AH11" s="2">
        <f t="array" ref="AH11">INDEX(Database!AM$2:AM$19,MATCH('SDA Tool'!$D$14&amp;$A11&amp;'SDA Tool'!$D$15,Database!$B$2:$B$19&amp;Database!$A$2:$A$19&amp;Database!$H$2:$H$19,0))</f>
        <v>95</v>
      </c>
      <c r="AI11" s="2">
        <f t="array" ref="AI11">INDEX(Database!AN$2:AN$19,MATCH('SDA Tool'!$D$14&amp;$A11&amp;'SDA Tool'!$D$15,Database!$B$2:$B$19&amp;Database!$A$2:$A$19&amp;Database!$H$2:$H$19,0))</f>
        <v>82.5</v>
      </c>
      <c r="AJ11" s="2">
        <f t="array" ref="AJ11">INDEX(Database!AO$2:AO$19,MATCH('SDA Tool'!$D$14&amp;$A11&amp;'SDA Tool'!$D$15,Database!$B$2:$B$19&amp;Database!$A$2:$A$19&amp;Database!$H$2:$H$19,0))</f>
        <v>70</v>
      </c>
      <c r="AK11" s="2">
        <f t="array" ref="AK11">INDEX(Database!AP$2:AP$19,MATCH('SDA Tool'!$D$14&amp;$A11&amp;'SDA Tool'!$D$15,Database!$B$2:$B$19&amp;Database!$A$2:$A$19&amp;Database!$H$2:$H$19,0))</f>
        <v>57.5</v>
      </c>
      <c r="AL11" s="2">
        <f t="array" ref="AL11">INDEX(Database!AQ$2:AQ$19,MATCH('SDA Tool'!$D$14&amp;$A11&amp;'SDA Tool'!$D$15,Database!$B$2:$B$19&amp;Database!$A$2:$A$19&amp;Database!$H$2:$H$19,0))</f>
        <v>45</v>
      </c>
      <c r="AM11" s="2">
        <f t="array" ref="AM11">INDEX(Database!AR$2:AR$19,MATCH('SDA Tool'!$D$14&amp;$A11&amp;'SDA Tool'!$D$15,Database!$B$2:$B$19&amp;Database!$A$2:$A$19&amp;Database!$H$2:$H$19,0))</f>
        <v>32.5</v>
      </c>
      <c r="AN11" s="2">
        <f t="array" ref="AN11">INDEX(Database!AS$2:AS$19,MATCH('SDA Tool'!$D$14&amp;$A11&amp;'SDA Tool'!$D$15,Database!$B$2:$B$19&amp;Database!$A$2:$A$19&amp;Database!$H$2:$H$19,0))</f>
        <v>20</v>
      </c>
      <c r="AO11" s="2">
        <f t="array" ref="AO11">INDEX(Database!AT$2:AT$19,MATCH('SDA Tool'!$D$14&amp;$A11&amp;'SDA Tool'!$D$15,Database!$B$2:$B$19&amp;Database!$A$2:$A$19&amp;Database!$H$2:$H$19,0))</f>
        <v>0</v>
      </c>
      <c r="AP11" s="2">
        <f t="array" ref="AP11">INDEX(Database!AU$2:AU$19,MATCH('SDA Tool'!$D$14&amp;$A11&amp;'SDA Tool'!$D$15,Database!$B$2:$B$19&amp;Database!$A$2:$A$19&amp;Database!$H$2:$H$19,0))</f>
        <v>0</v>
      </c>
      <c r="AQ11" s="2">
        <f t="array" ref="AQ11">INDEX(Database!AV$2:AV$19,MATCH('SDA Tool'!$D$14&amp;$A11&amp;'SDA Tool'!$D$15,Database!$B$2:$B$19&amp;Database!$A$2:$A$19&amp;Database!$H$2:$H$19,0))</f>
        <v>0</v>
      </c>
      <c r="AR11" s="2">
        <f t="array" ref="AR11">INDEX(Database!AW$2:AW$19,MATCH('SDA Tool'!$D$14&amp;$A11&amp;'SDA Tool'!$D$15,Database!$B$2:$B$19&amp;Database!$A$2:$A$19&amp;Database!$H$2:$H$19,0))</f>
        <v>0</v>
      </c>
      <c r="AS11" s="2">
        <f t="array" ref="AS11">INDEX(Database!AX$2:AX$19,MATCH('SDA Tool'!$D$14&amp;$A11&amp;'SDA Tool'!$D$15,Database!$B$2:$B$19&amp;Database!$A$2:$A$19&amp;Database!$H$2:$H$19,0))</f>
        <v>0</v>
      </c>
      <c r="AT11" s="2">
        <f t="array" ref="AT11">INDEX(Database!AY$2:AY$19,MATCH('SDA Tool'!$D$14&amp;$A11&amp;'SDA Tool'!$D$15,Database!$B$2:$B$19&amp;Database!$A$2:$A$19&amp;Database!$H$2:$H$19,0))</f>
        <v>0</v>
      </c>
      <c r="AU11" s="2">
        <f t="array" ref="AU11">INDEX(Database!AZ$2:AZ$19,MATCH('SDA Tool'!$D$14&amp;$A11&amp;'SDA Tool'!$D$15,Database!$B$2:$B$19&amp;Database!$A$2:$A$19&amp;Database!$H$2:$H$19,0))</f>
        <v>0</v>
      </c>
      <c r="AV11" s="2">
        <f t="array" ref="AV11">INDEX(Database!BA$2:BA$19,MATCH('SDA Tool'!$D$14&amp;$A11&amp;'SDA Tool'!$D$15,Database!$B$2:$B$19&amp;Database!$A$2:$A$19&amp;Database!$H$2:$H$19,0))</f>
        <v>0</v>
      </c>
      <c r="AW11" s="2">
        <f t="array" ref="AW11">INDEX(Database!BB$2:BB$19,MATCH('SDA Tool'!$D$14&amp;$A11&amp;'SDA Tool'!$D$15,Database!$B$2:$B$19&amp;Database!$A$2:$A$19&amp;Database!$H$2:$H$19,0))</f>
        <v>0</v>
      </c>
      <c r="AX11" s="2">
        <f t="array" ref="AX11">INDEX(Database!BC$2:BC$19,MATCH('SDA Tool'!$D$14&amp;$A11&amp;'SDA Tool'!$D$15,Database!$B$2:$B$19&amp;Database!$A$2:$A$19&amp;Database!$H$2:$H$19,0))</f>
        <v>0</v>
      </c>
    </row>
    <row r="12" spans="1:91" x14ac:dyDescent="0.25">
      <c r="A12" t="s">
        <v>139</v>
      </c>
      <c r="B12" s="516" t="s">
        <v>579</v>
      </c>
      <c r="D12" s="518">
        <f>IFERROR(D9*(D29/3.6),"")</f>
        <v>37.387396598288788</v>
      </c>
      <c r="E12" s="518">
        <f t="shared" ref="E12:AX12" si="2">IFERROR(E9*(E29/3.6),"")</f>
        <v>36.691569311522834</v>
      </c>
      <c r="F12" s="518">
        <f t="shared" si="2"/>
        <v>36.018504320332625</v>
      </c>
      <c r="G12" s="518">
        <f t="shared" si="2"/>
        <v>35.367102679751405</v>
      </c>
      <c r="H12" s="518">
        <f t="shared" si="2"/>
        <v>34.736335065943706</v>
      </c>
      <c r="I12" s="518">
        <f t="shared" si="2"/>
        <v>34.125236348808983</v>
      </c>
      <c r="J12" s="518">
        <f t="shared" si="2"/>
        <v>33.532900664506087</v>
      </c>
      <c r="K12" s="518">
        <f>IFERROR(K9*(K29/3.6),"")</f>
        <v>35.181627045158038</v>
      </c>
      <c r="L12" s="518">
        <f t="shared" si="2"/>
        <v>36.08384454727603</v>
      </c>
      <c r="M12" s="518">
        <f t="shared" si="2"/>
        <v>36.272420401539293</v>
      </c>
      <c r="N12" s="518">
        <f t="shared" si="2"/>
        <v>35.778320311133626</v>
      </c>
      <c r="O12" s="518">
        <f t="shared" si="2"/>
        <v>34.630744006773227</v>
      </c>
      <c r="P12" s="518">
        <f t="shared" si="2"/>
        <v>32.857249368681629</v>
      </c>
      <c r="Q12" s="518">
        <f t="shared" si="2"/>
        <v>30.4838662249477</v>
      </c>
      <c r="R12" s="518">
        <f t="shared" si="2"/>
        <v>27.535200814313406</v>
      </c>
      <c r="S12" s="518">
        <f t="shared" si="2"/>
        <v>24.034531794839371</v>
      </c>
      <c r="T12" s="518">
        <f t="shared" si="2"/>
        <v>20.003898586044006</v>
      </c>
      <c r="U12" s="518">
        <f t="shared" si="2"/>
        <v>22.498025721907588</v>
      </c>
      <c r="V12" s="518">
        <f t="shared" si="2"/>
        <v>24.138335670478487</v>
      </c>
      <c r="W12" s="518">
        <f t="shared" si="2"/>
        <v>24.986699316488892</v>
      </c>
      <c r="X12" s="518">
        <f t="shared" si="2"/>
        <v>25.09915066193118</v>
      </c>
      <c r="Y12" s="518">
        <f t="shared" si="2"/>
        <v>24.52655927875384</v>
      </c>
      <c r="Z12" s="518">
        <f t="shared" si="2"/>
        <v>23.315211889470771</v>
      </c>
      <c r="AA12" s="518">
        <f t="shared" si="2"/>
        <v>21.507317086812847</v>
      </c>
      <c r="AB12" s="518">
        <f t="shared" si="2"/>
        <v>19.141444787837681</v>
      </c>
      <c r="AC12" s="518">
        <f t="shared" si="2"/>
        <v>16.252910060878754</v>
      </c>
      <c r="AD12" s="518">
        <f t="shared" si="2"/>
        <v>12.874109370592434</v>
      </c>
      <c r="AE12" s="518">
        <f t="shared" si="2"/>
        <v>12.259456456731812</v>
      </c>
      <c r="AF12" s="518">
        <f t="shared" si="2"/>
        <v>11.491801251060787</v>
      </c>
      <c r="AG12" s="518">
        <f t="shared" si="2"/>
        <v>10.578262618226749</v>
      </c>
      <c r="AH12" s="518">
        <f t="shared" si="2"/>
        <v>9.525524533923285</v>
      </c>
      <c r="AI12" s="518">
        <f t="shared" si="2"/>
        <v>8.3398687943554872</v>
      </c>
      <c r="AJ12" s="518">
        <f t="shared" si="2"/>
        <v>7.0272048172293866</v>
      </c>
      <c r="AK12" s="518">
        <f t="shared" si="2"/>
        <v>5.5930968315796497</v>
      </c>
      <c r="AL12" s="518">
        <f t="shared" si="2"/>
        <v>4.0427887195152596</v>
      </c>
      <c r="AM12" s="518">
        <f t="shared" si="2"/>
        <v>2.381226743100131</v>
      </c>
      <c r="AN12" s="518">
        <f t="shared" si="2"/>
        <v>0.61308036348371642</v>
      </c>
      <c r="AO12" s="518">
        <f t="shared" si="2"/>
        <v>0</v>
      </c>
      <c r="AP12" s="518">
        <f t="shared" si="2"/>
        <v>0</v>
      </c>
      <c r="AQ12" s="518">
        <f t="shared" si="2"/>
        <v>0</v>
      </c>
      <c r="AR12" s="518">
        <f t="shared" si="2"/>
        <v>0</v>
      </c>
      <c r="AS12" s="518">
        <f t="shared" si="2"/>
        <v>0</v>
      </c>
      <c r="AT12" s="518">
        <f t="shared" si="2"/>
        <v>0</v>
      </c>
      <c r="AU12" s="518">
        <f t="shared" si="2"/>
        <v>0</v>
      </c>
      <c r="AV12" s="518">
        <f t="shared" si="2"/>
        <v>0</v>
      </c>
      <c r="AW12" s="518">
        <f t="shared" si="2"/>
        <v>0</v>
      </c>
      <c r="AX12" s="518">
        <f t="shared" si="2"/>
        <v>0</v>
      </c>
    </row>
    <row r="13" spans="1:91" s="606" customFormat="1" ht="13" x14ac:dyDescent="0.3">
      <c r="A13" s="606" t="s">
        <v>139</v>
      </c>
      <c r="B13" s="608" t="s">
        <v>580</v>
      </c>
      <c r="C13" s="606" t="s">
        <v>138</v>
      </c>
      <c r="D13" s="609">
        <f t="shared" ref="D13:I13" si="3">IFERROR(D9*(D29/3.6),"")</f>
        <v>37.387396598288788</v>
      </c>
      <c r="E13" s="609">
        <f t="shared" si="3"/>
        <v>36.691569311522834</v>
      </c>
      <c r="F13" s="609">
        <f t="shared" si="3"/>
        <v>36.018504320332625</v>
      </c>
      <c r="G13" s="609">
        <f t="shared" si="3"/>
        <v>35.367102679751405</v>
      </c>
      <c r="H13" s="609">
        <f t="shared" si="3"/>
        <v>34.736335065943706</v>
      </c>
      <c r="I13" s="609">
        <f t="shared" si="3"/>
        <v>34.125236348808983</v>
      </c>
      <c r="J13" s="609">
        <f>IFERROR(J9*(J29/3.6),"")</f>
        <v>33.532900664506087</v>
      </c>
      <c r="K13" s="609">
        <f>IF(K12&lt;J13,K12,J13)</f>
        <v>33.532900664506087</v>
      </c>
      <c r="L13" s="609">
        <f t="shared" ref="L13:AX13" si="4">IF(L12&lt;K13,L12,K13)</f>
        <v>33.532900664506087</v>
      </c>
      <c r="M13" s="609">
        <f t="shared" si="4"/>
        <v>33.532900664506087</v>
      </c>
      <c r="N13" s="609">
        <f t="shared" si="4"/>
        <v>33.532900664506087</v>
      </c>
      <c r="O13" s="609">
        <f t="shared" si="4"/>
        <v>33.532900664506087</v>
      </c>
      <c r="P13" s="609">
        <f t="shared" si="4"/>
        <v>32.857249368681629</v>
      </c>
      <c r="Q13" s="609">
        <f t="shared" si="4"/>
        <v>30.4838662249477</v>
      </c>
      <c r="R13" s="609">
        <f t="shared" si="4"/>
        <v>27.535200814313406</v>
      </c>
      <c r="S13" s="609">
        <f t="shared" si="4"/>
        <v>24.034531794839371</v>
      </c>
      <c r="T13" s="609">
        <f t="shared" si="4"/>
        <v>20.003898586044006</v>
      </c>
      <c r="U13" s="609">
        <f t="shared" si="4"/>
        <v>20.003898586044006</v>
      </c>
      <c r="V13" s="609">
        <f t="shared" si="4"/>
        <v>20.003898586044006</v>
      </c>
      <c r="W13" s="609">
        <f t="shared" si="4"/>
        <v>20.003898586044006</v>
      </c>
      <c r="X13" s="609">
        <f t="shared" si="4"/>
        <v>20.003898586044006</v>
      </c>
      <c r="Y13" s="609">
        <f t="shared" si="4"/>
        <v>20.003898586044006</v>
      </c>
      <c r="Z13" s="609">
        <f t="shared" si="4"/>
        <v>20.003898586044006</v>
      </c>
      <c r="AA13" s="609">
        <f t="shared" si="4"/>
        <v>20.003898586044006</v>
      </c>
      <c r="AB13" s="609">
        <f t="shared" si="4"/>
        <v>19.141444787837681</v>
      </c>
      <c r="AC13" s="609">
        <f t="shared" si="4"/>
        <v>16.252910060878754</v>
      </c>
      <c r="AD13" s="609">
        <f t="shared" si="4"/>
        <v>12.874109370592434</v>
      </c>
      <c r="AE13" s="609">
        <f t="shared" si="4"/>
        <v>12.259456456731812</v>
      </c>
      <c r="AF13" s="609">
        <f t="shared" si="4"/>
        <v>11.491801251060787</v>
      </c>
      <c r="AG13" s="609">
        <f t="shared" si="4"/>
        <v>10.578262618226749</v>
      </c>
      <c r="AH13" s="609">
        <f t="shared" si="4"/>
        <v>9.525524533923285</v>
      </c>
      <c r="AI13" s="609">
        <f t="shared" si="4"/>
        <v>8.3398687943554872</v>
      </c>
      <c r="AJ13" s="609">
        <f t="shared" si="4"/>
        <v>7.0272048172293866</v>
      </c>
      <c r="AK13" s="609">
        <f t="shared" si="4"/>
        <v>5.5930968315796497</v>
      </c>
      <c r="AL13" s="609">
        <f t="shared" si="4"/>
        <v>4.0427887195152596</v>
      </c>
      <c r="AM13" s="609">
        <f t="shared" si="4"/>
        <v>2.381226743100131</v>
      </c>
      <c r="AN13" s="609">
        <f t="shared" si="4"/>
        <v>0.61308036348371642</v>
      </c>
      <c r="AO13" s="609">
        <f t="shared" si="4"/>
        <v>0</v>
      </c>
      <c r="AP13" s="609">
        <f t="shared" si="4"/>
        <v>0</v>
      </c>
      <c r="AQ13" s="609">
        <f t="shared" si="4"/>
        <v>0</v>
      </c>
      <c r="AR13" s="609">
        <f t="shared" si="4"/>
        <v>0</v>
      </c>
      <c r="AS13" s="609">
        <f t="shared" si="4"/>
        <v>0</v>
      </c>
      <c r="AT13" s="609">
        <f t="shared" si="4"/>
        <v>0</v>
      </c>
      <c r="AU13" s="609">
        <f t="shared" si="4"/>
        <v>0</v>
      </c>
      <c r="AV13" s="609">
        <f t="shared" si="4"/>
        <v>0</v>
      </c>
      <c r="AW13" s="609">
        <f t="shared" si="4"/>
        <v>0</v>
      </c>
      <c r="AX13" s="609">
        <f t="shared" si="4"/>
        <v>0</v>
      </c>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row>
    <row r="14" spans="1:91" x14ac:dyDescent="0.25">
      <c r="A14" t="s">
        <v>140</v>
      </c>
      <c r="B14" t="s">
        <v>581</v>
      </c>
      <c r="C14" t="str">
        <f>INDEX(Lists!$E$2:$E$50,MATCH('SDA Tool'!$D$15,Lists!$B$2:$B$50,0))</f>
        <v>tCO2/t</v>
      </c>
      <c r="D14" s="4" t="e">
        <f>IF(D$1&gt;='SDA Tool'!$D$16,IFERROR(D11*1000000/D$8,""),NA())</f>
        <v>#N/A</v>
      </c>
      <c r="E14" s="2" t="e">
        <f>IF(E$1&gt;='SDA Tool'!$D$16,IFERROR(E11*1000000/E$8,""),NA())</f>
        <v>#N/A</v>
      </c>
      <c r="F14" s="2" t="e">
        <f>IF(F$1&gt;='SDA Tool'!$D$16,IFERROR(F11*1000000/F$8,""),NA())</f>
        <v>#N/A</v>
      </c>
      <c r="G14" s="2" t="e">
        <f>IF(G$1&gt;='SDA Tool'!$D$16,IFERROR(G11*1000000/G$8,""),NA())</f>
        <v>#N/A</v>
      </c>
      <c r="H14" s="2" t="e">
        <f>IF(H$1&gt;='SDA Tool'!$D$16,IFERROR(H11*1000000/H$8,""),NA())</f>
        <v>#N/A</v>
      </c>
      <c r="I14" s="2" t="e">
        <f>IF(I$1&gt;='SDA Tool'!$D$16,IFERROR(I11*1000000/I$8,""),NA())</f>
        <v>#N/A</v>
      </c>
      <c r="J14" s="519">
        <f>IF(J$1&gt;='SDA Tool'!$D$16,IFERROR(J11*1000000/J$8,""),NA())</f>
        <v>2.4324324324324325</v>
      </c>
      <c r="K14" s="519">
        <f>IF(K$1&gt;='SDA Tool'!$D$16,IFERROR(K11*1000000/K$8,""),NA())</f>
        <v>2.3475935828877006</v>
      </c>
      <c r="L14" s="519">
        <f>IF(L$1&gt;='SDA Tool'!$D$16,IFERROR(L11*1000000/L$8,""),NA())</f>
        <v>2.2645502645502646</v>
      </c>
      <c r="M14" s="519">
        <f>IF(M$1&gt;='SDA Tool'!$D$16,IFERROR(M11*1000000/M$8,""),NA())</f>
        <v>2.1832460732984291</v>
      </c>
      <c r="N14" s="519">
        <f>IF(N$1&gt;='SDA Tool'!$D$16,IFERROR(N11*1000000/N$8,""),NA())</f>
        <v>2.1036269430051813</v>
      </c>
      <c r="O14" s="519">
        <f>IF(O$1&gt;='SDA Tool'!$D$16,IFERROR(O11*1000000/O$8,""),NA())</f>
        <v>2.0256410256410255</v>
      </c>
      <c r="P14" s="519">
        <f>IF(P$1&gt;='SDA Tool'!$D$16,IFERROR(P11*1000000/P$8,""),NA())</f>
        <v>1.9492385786802031</v>
      </c>
      <c r="Q14" s="519">
        <f>IF(Q$1&gt;='SDA Tool'!$D$16,IFERROR(Q11*1000000/Q$8,""),NA())</f>
        <v>1.8743718592964824</v>
      </c>
      <c r="R14" s="519">
        <f>IF(R$1&gt;='SDA Tool'!$D$16,IFERROR(R11*1000000/R$8,""),NA())</f>
        <v>1.8009950248756219</v>
      </c>
      <c r="S14" s="519">
        <f>IF(S$1&gt;='SDA Tool'!$D$16,IFERROR(S11*1000000/S$8,""),NA())</f>
        <v>1.729064039408867</v>
      </c>
      <c r="T14" s="519">
        <f>IF(T$1&gt;='SDA Tool'!$D$16,IFERROR(T11*1000000/T$8,""),NA())</f>
        <v>1.6585365853658536</v>
      </c>
      <c r="U14" s="519">
        <f>IF(U$1&gt;='SDA Tool'!$D$16,IFERROR(U11*1000000/U$8,""),NA())</f>
        <v>1.5520581113801453</v>
      </c>
      <c r="V14" s="519">
        <f>IF(V$1&gt;='SDA Tool'!$D$16,IFERROR(V11*1000000/V$8,""),NA())</f>
        <v>1.4471153846153846</v>
      </c>
      <c r="W14" s="519">
        <f>IF(W$1&gt;='SDA Tool'!$D$16,IFERROR(W11*1000000/W$8,""),NA())</f>
        <v>1.3436754176610979</v>
      </c>
      <c r="X14" s="519">
        <f>IF(X$1&gt;='SDA Tool'!$D$16,IFERROR(X11*1000000/X$8,""),NA())</f>
        <v>1.2417061611374407</v>
      </c>
      <c r="Y14" s="519">
        <f>IF(Y$1&gt;='SDA Tool'!$D$16,IFERROR(Y11*1000000/Y$8,""),NA())</f>
        <v>1.1411764705882352</v>
      </c>
      <c r="Z14" s="519">
        <f>IF(Z$1&gt;='SDA Tool'!$D$16,IFERROR(Z11*1000000/Z$8,""),NA())</f>
        <v>1.0420560747663552</v>
      </c>
      <c r="AA14" s="519">
        <f>IF(AA$1&gt;='SDA Tool'!$D$16,IFERROR(AA11*1000000/AA$8,""),NA())</f>
        <v>0.94431554524361949</v>
      </c>
      <c r="AB14" s="519">
        <f>IF(AB$1&gt;='SDA Tool'!$D$16,IFERROR(AB11*1000000/AB$8,""),NA())</f>
        <v>0.84792626728110598</v>
      </c>
      <c r="AC14" s="519">
        <f>IF(AC$1&gt;='SDA Tool'!$D$16,IFERROR(AC11*1000000/AC$8,""),NA())</f>
        <v>0.75286041189931352</v>
      </c>
      <c r="AD14" s="519">
        <f>IF(AD$1&gt;='SDA Tool'!$D$16,IFERROR(AD11*1000000/AD$8,""),NA())</f>
        <v>0.65909090909090906</v>
      </c>
      <c r="AE14" s="519">
        <f>IF(AE$1&gt;='SDA Tool'!$D$16,IFERROR(AE11*1000000/AE$8,""),NA())</f>
        <v>0.59954751131221717</v>
      </c>
      <c r="AF14" s="519">
        <f>IF(AF$1&gt;='SDA Tool'!$D$16,IFERROR(AF11*1000000/AF$8,""),NA())</f>
        <v>0.54054054054054057</v>
      </c>
      <c r="AG14" s="519">
        <f>IF(AG$1&gt;='SDA Tool'!$D$16,IFERROR(AG11*1000000/AG$8,""),NA())</f>
        <v>0.4820627802690583</v>
      </c>
      <c r="AH14" s="519">
        <f>IF(AH$1&gt;='SDA Tool'!$D$16,IFERROR(AH11*1000000/AH$8,""),NA())</f>
        <v>0.42410714285714285</v>
      </c>
      <c r="AI14" s="519">
        <f>IF(AI$1&gt;='SDA Tool'!$D$16,IFERROR(AI11*1000000/AI$8,""),NA())</f>
        <v>0.36666666666666664</v>
      </c>
      <c r="AJ14" s="519">
        <f>IF(AJ$1&gt;='SDA Tool'!$D$16,IFERROR(AJ11*1000000/AJ$8,""),NA())</f>
        <v>0.30973451327433627</v>
      </c>
      <c r="AK14" s="519">
        <f>IF(AK$1&gt;='SDA Tool'!$D$16,IFERROR(AK11*1000000/AK$8,""),NA())</f>
        <v>0.25330396475770928</v>
      </c>
      <c r="AL14" s="519">
        <f>IF(AL$1&gt;='SDA Tool'!$D$16,IFERROR(AL11*1000000/AL$8,""),NA())</f>
        <v>0.19736842105263158</v>
      </c>
      <c r="AM14" s="519">
        <f>IF(AM$1&gt;='SDA Tool'!$D$16,IFERROR(AM11*1000000/AM$8,""),NA())</f>
        <v>0.14192139737991266</v>
      </c>
      <c r="AN14" s="519">
        <f>IF(AN$1&gt;='SDA Tool'!$D$16,IFERROR(AN11*1000000/AN$8,""),NA())</f>
        <v>8.6956521739130432E-2</v>
      </c>
      <c r="AO14" s="2" t="str">
        <f>IF(AO$1&gt;='SDA Tool'!$D$16,IFERROR(AO11*1000000/AO$8,""),NA())</f>
        <v/>
      </c>
      <c r="AP14" s="2" t="str">
        <f>IF(AP$1&gt;='SDA Tool'!$D$16,IFERROR(AP11*1000000/AP$8,""),NA())</f>
        <v/>
      </c>
      <c r="AQ14" s="2" t="str">
        <f>IF(AQ$1&gt;='SDA Tool'!$D$16,IFERROR(AQ11*1000000/AQ$8,""),NA())</f>
        <v/>
      </c>
      <c r="AR14" s="2" t="str">
        <f>IF(AR$1&gt;='SDA Tool'!$D$16,IFERROR(AR11*1000000/AR$8,""),NA())</f>
        <v/>
      </c>
      <c r="AS14" s="2" t="str">
        <f>IF(AS$1&gt;='SDA Tool'!$D$16,IFERROR(AS11*1000000/AS$8,""),NA())</f>
        <v/>
      </c>
      <c r="AT14" s="2" t="str">
        <f>IF(AT$1&gt;='SDA Tool'!$D$16,IFERROR(AT11*1000000/AT$8,""),NA())</f>
        <v/>
      </c>
      <c r="AU14" s="2" t="str">
        <f>IF(AU$1&gt;='SDA Tool'!$D$16,IFERROR(AU11*1000000/AU$8,""),NA())</f>
        <v/>
      </c>
      <c r="AV14" s="2" t="str">
        <f>IF(AV$1&gt;='SDA Tool'!$D$16,IFERROR(AV11*1000000/AV$8,""),NA())</f>
        <v/>
      </c>
      <c r="AW14" s="2" t="str">
        <f>IF(AW$1&gt;='SDA Tool'!$D$16,IFERROR(AW11*1000000/AW$8,""),NA())</f>
        <v/>
      </c>
      <c r="AX14" s="2" t="str">
        <f>IF(AX$1&gt;='SDA Tool'!$D$16,IFERROR(AX11*1000000/AX$8,""),NA())</f>
        <v/>
      </c>
    </row>
    <row r="15" spans="1:91" x14ac:dyDescent="0.25">
      <c r="A15" t="s">
        <v>141</v>
      </c>
      <c r="B15" t="s">
        <v>582</v>
      </c>
      <c r="C15" t="str">
        <f>INDEX(Lists!$E$2:$E$50,MATCH('SDA Tool'!$D$15,Lists!$B$2:$B$50,0))</f>
        <v>tCO2/t</v>
      </c>
      <c r="D15" s="2" t="e">
        <f>IF(D$1&gt;='SDA Tool'!$D$16,IFERROR(D13*1000000/D$8,NA()),NA())</f>
        <v>#N/A</v>
      </c>
      <c r="E15" s="2" t="e">
        <f>IF(E$1&gt;='SDA Tool'!$D$16,IFERROR(E13*1000000/E$8,NA()),NA())</f>
        <v>#N/A</v>
      </c>
      <c r="F15" s="2" t="e">
        <f>IF(F$1&gt;='SDA Tool'!$D$16,IFERROR(F13*1000000/F$8,NA()),NA())</f>
        <v>#N/A</v>
      </c>
      <c r="G15" s="2" t="e">
        <f>IF(G$1&gt;='SDA Tool'!$D$16,IFERROR(G13*1000000/G$8,NA()),NA())</f>
        <v>#N/A</v>
      </c>
      <c r="H15" s="2" t="e">
        <f>IF(H$1&gt;='SDA Tool'!$D$16,IFERROR(H13*1000000/H$8,NA()),NA())</f>
        <v>#N/A</v>
      </c>
      <c r="I15" s="2" t="e">
        <f>IF(I$1&gt;='SDA Tool'!$D$16,IFERROR(I13*1000000/I$8,NA()),NA())</f>
        <v>#N/A</v>
      </c>
      <c r="J15" s="519">
        <f>IF(J$1&gt;='SDA Tool'!$D$16,IFERROR(J13*1000000/J$8,NA()),NA())</f>
        <v>0.18125892251084372</v>
      </c>
      <c r="K15" s="519">
        <f>IF(K$1&gt;='SDA Tool'!$D$16,IFERROR(K13*1000000/K$8,NA()),NA())</f>
        <v>0.17932032440912346</v>
      </c>
      <c r="L15" s="519">
        <f>IF(L$1&gt;='SDA Tool'!$D$16,IFERROR(L13*1000000/L$8,NA()),NA())</f>
        <v>0.17742275483865655</v>
      </c>
      <c r="M15" s="519">
        <f>IF(M$1&gt;='SDA Tool'!$D$16,IFERROR(M13*1000000/M$8,NA()),NA())</f>
        <v>0.17556492494505807</v>
      </c>
      <c r="N15" s="519">
        <f>IF(N$1&gt;='SDA Tool'!$D$16,IFERROR(N13*1000000/N$8,NA()),NA())</f>
        <v>0.17374559929795902</v>
      </c>
      <c r="O15" s="519">
        <f>IF(O$1&gt;='SDA Tool'!$D$16,IFERROR(O13*1000000/O$8,NA()),NA())</f>
        <v>0.17196359315131327</v>
      </c>
      <c r="P15" s="519">
        <f>IF(P$1&gt;='SDA Tool'!$D$16,IFERROR(P13*1000000/P$8,NA()),NA())</f>
        <v>0.16678806786132805</v>
      </c>
      <c r="Q15" s="519">
        <f>IF(Q$1&gt;='SDA Tool'!$D$16,IFERROR(Q13*1000000/Q$8,NA()),NA())</f>
        <v>0.1531852574117975</v>
      </c>
      <c r="R15" s="519">
        <f>IF(R$1&gt;='SDA Tool'!$D$16,IFERROR(R13*1000000/R$8,NA()),NA())</f>
        <v>0.13699104882742988</v>
      </c>
      <c r="S15" s="519">
        <f>IF(S$1&gt;='SDA Tool'!$D$16,IFERROR(S13*1000000/S$8,NA()),NA())</f>
        <v>0.11839670834896242</v>
      </c>
      <c r="T15" s="519">
        <f>IF(T$1&gt;='SDA Tool'!$D$16,IFERROR(T13*1000000/T$8,NA()),NA())</f>
        <v>9.7579993102653695E-2</v>
      </c>
      <c r="U15" s="519">
        <f>IF(U$1&gt;='SDA Tool'!$D$16,IFERROR(U13*1000000/U$8,NA()),NA())</f>
        <v>9.6871179593433443E-2</v>
      </c>
      <c r="V15" s="519">
        <f>IF(V$1&gt;='SDA Tool'!$D$16,IFERROR(V13*1000000/V$8,NA()),NA())</f>
        <v>9.6172589355980803E-2</v>
      </c>
      <c r="W15" s="519">
        <f>IF(W$1&gt;='SDA Tool'!$D$16,IFERROR(W13*1000000/W$8,NA()),NA())</f>
        <v>9.548400279734609E-2</v>
      </c>
      <c r="X15" s="519">
        <f>IF(X$1&gt;='SDA Tool'!$D$16,IFERROR(X13*1000000/X$8,NA()),NA())</f>
        <v>9.4805206568928935E-2</v>
      </c>
      <c r="Y15" s="519">
        <f>IF(Y$1&gt;='SDA Tool'!$D$16,IFERROR(Y13*1000000/Y$8,NA()),NA())</f>
        <v>9.4135993346089436E-2</v>
      </c>
      <c r="Z15" s="519">
        <f>IF(Z$1&gt;='SDA Tool'!$D$16,IFERROR(Z13*1000000/Z$8,NA()),NA())</f>
        <v>9.347616161702807E-2</v>
      </c>
      <c r="AA15" s="519">
        <f>IF(AA$1&gt;='SDA Tool'!$D$16,IFERROR(AA13*1000000/AA$8,NA()),NA())</f>
        <v>9.2825515480482623E-2</v>
      </c>
      <c r="AB15" s="519">
        <f>IF(AB$1&gt;='SDA Tool'!$D$16,IFERROR(AB13*1000000/AB$8,NA()),NA())</f>
        <v>8.8209422985427097E-2</v>
      </c>
      <c r="AC15" s="519">
        <f>IF(AC$1&gt;='SDA Tool'!$D$16,IFERROR(AC13*1000000/AC$8,NA()),NA())</f>
        <v>7.4384027738575526E-2</v>
      </c>
      <c r="AD15" s="519">
        <f>IF(AD$1&gt;='SDA Tool'!$D$16,IFERROR(AD13*1000000/AD$8,NA()),NA())</f>
        <v>5.8518678957238335E-2</v>
      </c>
      <c r="AE15" s="519">
        <f>IF(AE$1&gt;='SDA Tool'!$D$16,IFERROR(AE13*1000000/AE$8,NA()),NA())</f>
        <v>5.5472653650370185E-2</v>
      </c>
      <c r="AF15" s="519">
        <f>IF(AF$1&gt;='SDA Tool'!$D$16,IFERROR(AF13*1000000/AF$8,NA()),NA())</f>
        <v>5.176487050027382E-2</v>
      </c>
      <c r="AG15" s="519">
        <f>IF(AG$1&gt;='SDA Tool'!$D$16,IFERROR(AG13*1000000/AG$8,NA()),NA())</f>
        <v>4.7436155238684968E-2</v>
      </c>
      <c r="AH15" s="519">
        <f>IF(AH$1&gt;='SDA Tool'!$D$16,IFERROR(AH13*1000000/AH$8,NA()),NA())</f>
        <v>4.2524663097871805E-2</v>
      </c>
      <c r="AI15" s="519">
        <f>IF(AI$1&gt;='SDA Tool'!$D$16,IFERROR(AI13*1000000/AI$8,NA()),NA())</f>
        <v>3.7066083530468835E-2</v>
      </c>
      <c r="AJ15" s="519">
        <f>IF(AJ$1&gt;='SDA Tool'!$D$16,IFERROR(AJ13*1000000/AJ$8,NA()),NA())</f>
        <v>3.1093826624908789E-2</v>
      </c>
      <c r="AK15" s="519">
        <f>IF(AK$1&gt;='SDA Tool'!$D$16,IFERROR(AK13*1000000/AK$8,NA()),NA())</f>
        <v>2.4639193090659251E-2</v>
      </c>
      <c r="AL15" s="519">
        <f>IF(AL$1&gt;='SDA Tool'!$D$16,IFERROR(AL13*1000000/AL$8,NA()),NA())</f>
        <v>1.7731529471558156E-2</v>
      </c>
      <c r="AM15" s="519">
        <f>IF(AM$1&gt;='SDA Tool'!$D$16,IFERROR(AM13*1000000/AM$8,NA()),NA())</f>
        <v>1.0398370057205812E-2</v>
      </c>
      <c r="AN15" s="519">
        <f>IF(AN$1&gt;='SDA Tool'!$D$16,IFERROR(AN13*1000000/AN$8,NA()),NA())</f>
        <v>2.6655667977552888E-3</v>
      </c>
      <c r="AO15" s="2" t="e">
        <f>IF(AO$1&gt;='SDA Tool'!$D$16,IFERROR(AO13*1000000/AO$8,NA()),NA())</f>
        <v>#N/A</v>
      </c>
      <c r="AP15" s="2" t="e">
        <f>IF(AP$1&gt;='SDA Tool'!$D$16,IFERROR(AP13*1000000/AP$8,NA()),NA())</f>
        <v>#N/A</v>
      </c>
      <c r="AQ15" s="2" t="e">
        <f>IF(AQ$1&gt;='SDA Tool'!$D$16,IFERROR(AQ13*1000000/AQ$8,NA()),NA())</f>
        <v>#N/A</v>
      </c>
      <c r="AR15" s="2" t="e">
        <f>IF(AR$1&gt;='SDA Tool'!$D$16,IFERROR(AR13*1000000/AR$8,NA()),NA())</f>
        <v>#N/A</v>
      </c>
      <c r="AS15" s="2" t="e">
        <f>IF(AS$1&gt;='SDA Tool'!$D$16,IFERROR(AS13*1000000/AS$8,NA()),NA())</f>
        <v>#N/A</v>
      </c>
      <c r="AT15" s="2" t="e">
        <f>IF(AT$1&gt;='SDA Tool'!$D$16,IFERROR(AT13*1000000/AT$8,NA()),NA())</f>
        <v>#N/A</v>
      </c>
      <c r="AU15" s="2" t="e">
        <f>IF(AU$1&gt;='SDA Tool'!$D$16,IFERROR(AU13*1000000/AU$8,NA()),NA())</f>
        <v>#N/A</v>
      </c>
      <c r="AV15" s="2" t="e">
        <f>IF(AV$1&gt;='SDA Tool'!$D$16,IFERROR(AV13*1000000/AV$8,NA()),NA())</f>
        <v>#N/A</v>
      </c>
      <c r="AW15" s="2" t="e">
        <f>IF(AW$1&gt;='SDA Tool'!$D$16,IFERROR(AW13*1000000/AW$8,NA()),NA())</f>
        <v>#N/A</v>
      </c>
      <c r="AX15" s="2" t="e">
        <f>IF(AX$1&gt;='SDA Tool'!$D$16,IFERROR(AX13*1000000/AX$8,NA()),NA())</f>
        <v>#N/A</v>
      </c>
    </row>
    <row r="16" spans="1:91" x14ac:dyDescent="0.25">
      <c r="A16" t="s">
        <v>142</v>
      </c>
      <c r="B16" t="s">
        <v>558</v>
      </c>
      <c r="C16" t="str">
        <f>INDEX(Lists!$E$2:$E$50,MATCH('SDA Tool'!$D$15,Lists!$B$2:$B$50,0))</f>
        <v>tCO2/t</v>
      </c>
      <c r="D16" s="2" t="e">
        <f>IF(D1&gt;='SDA Tool'!$D16,Calculations!D14+Calculations!D15,NA())</f>
        <v>#N/A</v>
      </c>
      <c r="E16" s="2" t="e">
        <f>IF(OR(E1&gt;='SDA Tool'!$D16,'SDA Tool'!$D$15="Power"),Calculations!E14+Calculations!E15,NA())</f>
        <v>#N/A</v>
      </c>
      <c r="F16" s="2" t="e">
        <f>IF(OR(F1&gt;='SDA Tool'!$D16,'SDA Tool'!$D$15="Power"),Calculations!F14+Calculations!F15,NA())</f>
        <v>#N/A</v>
      </c>
      <c r="G16" s="2" t="e">
        <f>IF(OR(G1&gt;='SDA Tool'!$D16,'SDA Tool'!$D$15="Power"),Calculations!G14+Calculations!G15,NA())</f>
        <v>#N/A</v>
      </c>
      <c r="H16" s="2" t="e">
        <f>IF(OR(H1&gt;='SDA Tool'!$D16,'SDA Tool'!$D$15="Power"),Calculations!H14+Calculations!H15,NA())</f>
        <v>#N/A</v>
      </c>
      <c r="I16" s="2" t="e">
        <f>IF(OR(I1&gt;='SDA Tool'!$D16,'SDA Tool'!$D$15="Power"),Calculations!I14+Calculations!I15,NA())</f>
        <v>#N/A</v>
      </c>
      <c r="J16" s="519">
        <f>IF(OR(J1&gt;='SDA Tool'!$D16,'SDA Tool'!$D$15="Power"),Calculations!J14+Calculations!J15,NA())</f>
        <v>2.6136913549432763</v>
      </c>
      <c r="K16" s="519">
        <f>IF(OR(K1&gt;='SDA Tool'!$D16,'SDA Tool'!$D$15="Power"),Calculations!K14+Calculations!K15,NA())</f>
        <v>2.5269139072968239</v>
      </c>
      <c r="L16" s="519">
        <f>IF(OR(L1&gt;='SDA Tool'!$D16,'SDA Tool'!$D$15="Power"),Calculations!L14+Calculations!L15,NA())</f>
        <v>2.4419730193889211</v>
      </c>
      <c r="M16" s="519">
        <f>IF(OR(M1&gt;='SDA Tool'!$D16,'SDA Tool'!$D$15="Power"),Calculations!M14+Calculations!M15,NA())</f>
        <v>2.3588109982434871</v>
      </c>
      <c r="N16" s="519">
        <f>IF(OR(N1&gt;='SDA Tool'!$D16,'SDA Tool'!$D$15="Power"),Calculations!N14+Calculations!N15,NA())</f>
        <v>2.2773725423031403</v>
      </c>
      <c r="O16" s="519">
        <f>IF(OR(O1&gt;='SDA Tool'!$D16,'SDA Tool'!$D$15="Power"),Calculations!O14+Calculations!O15,NA())</f>
        <v>2.1976046187923388</v>
      </c>
      <c r="P16" s="519">
        <f>IF(OR(P1&gt;='SDA Tool'!$D16,'SDA Tool'!$D$15="Power"),Calculations!P14+Calculations!P15,NA())</f>
        <v>2.1160266465415312</v>
      </c>
      <c r="Q16" s="519">
        <f>IF(OR(Q1&gt;='SDA Tool'!$D16,'SDA Tool'!$D$15="Power"),Calculations!Q14+Calculations!Q15,NA())</f>
        <v>2.0275571167082798</v>
      </c>
      <c r="R16" s="519">
        <f>IF(OR(R1&gt;='SDA Tool'!$D16,'SDA Tool'!$D$15="Power"),Calculations!R14+Calculations!R15,NA())</f>
        <v>1.9379860737030519</v>
      </c>
      <c r="S16" s="519">
        <f>IF(OR(S1&gt;='SDA Tool'!$D16,'SDA Tool'!$D$15="Power"),Calculations!S14+Calculations!S15,NA())</f>
        <v>1.8474607477578293</v>
      </c>
      <c r="T16" s="519">
        <f>IF(OR(T1&gt;='SDA Tool'!$D16,'SDA Tool'!$D$15="Power"),Calculations!T14+Calculations!T15,NA())</f>
        <v>1.7561165784685073</v>
      </c>
      <c r="U16" s="519">
        <f>IF(OR(U1&gt;='SDA Tool'!$D16,'SDA Tool'!$D$15="Power"),Calculations!U14+Calculations!U15,NA())</f>
        <v>1.6489292909735787</v>
      </c>
      <c r="V16" s="519">
        <f>IF(OR(V1&gt;='SDA Tool'!$D16,'SDA Tool'!$D$15="Power"),Calculations!V14+Calculations!V15,NA())</f>
        <v>1.5432879739713654</v>
      </c>
      <c r="W16" s="519">
        <f>IF(OR(W1&gt;='SDA Tool'!$D16,'SDA Tool'!$D$15="Power"),Calculations!W14+Calculations!W15,NA())</f>
        <v>1.4391594204584439</v>
      </c>
      <c r="X16" s="519">
        <f>IF(OR(X1&gt;='SDA Tool'!$D16,'SDA Tool'!$D$15="Power"),Calculations!X14+Calculations!X15,NA())</f>
        <v>1.3365113677063696</v>
      </c>
      <c r="Y16" s="519">
        <f>IF(OR(Y1&gt;='SDA Tool'!$D16,'SDA Tool'!$D$15="Power"),Calculations!Y14+Calculations!Y15,NA())</f>
        <v>1.2353124639343247</v>
      </c>
      <c r="Z16" s="519">
        <f>IF(OR(Z1&gt;='SDA Tool'!$D16,'SDA Tool'!$D$15="Power"),Calculations!Z14+Calculations!Z15,NA())</f>
        <v>1.1355322363833833</v>
      </c>
      <c r="AA16" s="519">
        <f>IF(OR(AA1&gt;='SDA Tool'!$D16,'SDA Tool'!$D$15="Power"),Calculations!AA14+Calculations!AA15,NA())</f>
        <v>1.0371410607241021</v>
      </c>
      <c r="AB16" s="519">
        <f>IF(OR(AB1&gt;='SDA Tool'!$D16,'SDA Tool'!$D$15="Power"),Calculations!AB14+Calculations!AB15,NA())</f>
        <v>0.93613569026653309</v>
      </c>
      <c r="AC16" s="519">
        <f>IF(OR(AC1&gt;='SDA Tool'!$D16,'SDA Tool'!$D$15="Power"),Calculations!AC14+Calculations!AC15,NA())</f>
        <v>0.82724443963788907</v>
      </c>
      <c r="AD16" s="519">
        <f>IF(OR(AD1&gt;='SDA Tool'!$D16,'SDA Tool'!$D$15="Power"),Calculations!AD14+Calculations!AD15,NA())</f>
        <v>0.71760958804814745</v>
      </c>
      <c r="AE16" s="519">
        <f>IF(OR(AE1&gt;='SDA Tool'!$D16,'SDA Tool'!$D$15="Power"),Calculations!AE14+Calculations!AE15,NA())</f>
        <v>0.6550201649625873</v>
      </c>
      <c r="AF16" s="519">
        <f>IF(OR(AF1&gt;='SDA Tool'!$D16,'SDA Tool'!$D$15="Power"),Calculations!AF14+Calculations!AF15,NA())</f>
        <v>0.59230541104081436</v>
      </c>
      <c r="AG16" s="519">
        <f>IF(OR(AG1&gt;='SDA Tool'!$D16,'SDA Tool'!$D$15="Power"),Calculations!AG14+Calculations!AG15,NA())</f>
        <v>0.5294989355077433</v>
      </c>
      <c r="AH16" s="519">
        <f>IF(OR(AH1&gt;='SDA Tool'!$D16,'SDA Tool'!$D$15="Power"),Calculations!AH14+Calculations!AH15,NA())</f>
        <v>0.46663180595501463</v>
      </c>
      <c r="AI16" s="519">
        <f>IF(OR(AI1&gt;='SDA Tool'!$D16,'SDA Tool'!$D$15="Power"),Calculations!AI14+Calculations!AI15,NA())</f>
        <v>0.4037327501971355</v>
      </c>
      <c r="AJ16" s="519">
        <f>IF(OR(AJ1&gt;='SDA Tool'!$D16,'SDA Tool'!$D$15="Power"),Calculations!AJ14+Calculations!AJ15,NA())</f>
        <v>0.34082833989924505</v>
      </c>
      <c r="AK16" s="519">
        <f>IF(OR(AK1&gt;='SDA Tool'!$D16,'SDA Tool'!$D$15="Power"),Calculations!AK14+Calculations!AK15,NA())</f>
        <v>0.27794315784836854</v>
      </c>
      <c r="AL16" s="519">
        <f>IF(OR(AL1&gt;='SDA Tool'!$D16,'SDA Tool'!$D$15="Power"),Calculations!AL14+Calculations!AL15,NA())</f>
        <v>0.21509995052418973</v>
      </c>
      <c r="AM16" s="519">
        <f>IF(OR(AM1&gt;='SDA Tool'!$D16,'SDA Tool'!$D$15="Power"),Calculations!AM14+Calculations!AM15,NA())</f>
        <v>0.15231976743711848</v>
      </c>
      <c r="AN16" s="519">
        <f>IF(OR(AN1&gt;='SDA Tool'!$D16,'SDA Tool'!$D$15="Power"),Calculations!AN14+Calculations!AN15,NA())</f>
        <v>8.9622088536885719E-2</v>
      </c>
      <c r="AO16" s="2" t="e">
        <f>IF(OR(AO1&gt;='SDA Tool'!$D16,'SDA Tool'!$D$15="Power"),Calculations!AO14+Calculations!AO15,NA())</f>
        <v>#VALUE!</v>
      </c>
      <c r="AP16" s="2" t="e">
        <f>IF(OR(AP1&gt;='SDA Tool'!$D16,'SDA Tool'!$D$15="Power"),Calculations!AP14+Calculations!AP15,NA())</f>
        <v>#VALUE!</v>
      </c>
      <c r="AQ16" s="2" t="e">
        <f>IF(OR(AQ1&gt;='SDA Tool'!$D16,'SDA Tool'!$D$15="Power"),Calculations!AQ14+Calculations!AQ15,NA())</f>
        <v>#VALUE!</v>
      </c>
      <c r="AR16" s="2" t="e">
        <f>IF(OR(AR1&gt;='SDA Tool'!$D16,'SDA Tool'!$D$15="Power"),Calculations!AR14+Calculations!AR15,NA())</f>
        <v>#VALUE!</v>
      </c>
      <c r="AS16" s="2" t="e">
        <f>IF(OR(AS1&gt;='SDA Tool'!$D16,'SDA Tool'!$D$15="Power"),Calculations!AS14+Calculations!AS15,NA())</f>
        <v>#VALUE!</v>
      </c>
      <c r="AT16" s="2" t="e">
        <f>IF(OR(AT1&gt;='SDA Tool'!$D16,'SDA Tool'!$D$15="Power"),Calculations!AT14+Calculations!AT15,NA())</f>
        <v>#VALUE!</v>
      </c>
      <c r="AU16" s="2" t="e">
        <f>IF(OR(AU1&gt;='SDA Tool'!$D16,'SDA Tool'!$D$15="Power"),Calculations!AU14+Calculations!AU15,NA())</f>
        <v>#VALUE!</v>
      </c>
      <c r="AV16" s="2" t="e">
        <f>IF(OR(AV1&gt;='SDA Tool'!$D16,'SDA Tool'!$D$15="Power"),Calculations!AV14+Calculations!AV15,NA())</f>
        <v>#VALUE!</v>
      </c>
      <c r="AW16" s="2" t="e">
        <f>IF(OR(AW1&gt;='SDA Tool'!$D16,'SDA Tool'!$D$15="Power"),Calculations!AW14+Calculations!AW15,NA())</f>
        <v>#VALUE!</v>
      </c>
      <c r="AX16" s="2" t="e">
        <f>IF(OR(AX1&gt;='SDA Tool'!$D16,'SDA Tool'!$D$15="Power"),Calculations!AX14+Calculations!AX15,NA())</f>
        <v>#VALUE!</v>
      </c>
    </row>
    <row r="17" spans="1:90" s="422" customFormat="1" x14ac:dyDescent="0.25">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row>
    <row r="19" spans="1:90" x14ac:dyDescent="0.25">
      <c r="A19" t="s">
        <v>143</v>
      </c>
    </row>
    <row r="20" spans="1:90" x14ac:dyDescent="0.25">
      <c r="B20" t="s">
        <v>133</v>
      </c>
      <c r="D20" s="519">
        <f>IF('SDA Tool'!$D$13=Lists!$N$3,NA(),+D8/$D8)</f>
        <v>1</v>
      </c>
      <c r="E20" s="519">
        <f>IF('SDA Tool'!$D$13=Lists!$N$3,NA(),+E8/$D8)</f>
        <v>1</v>
      </c>
      <c r="F20" s="519">
        <f>IF('SDA Tool'!$D$13=Lists!$N$3,NA(),+F8/$D8)</f>
        <v>1</v>
      </c>
      <c r="G20" s="519">
        <f>IF('SDA Tool'!$D$13=Lists!$N$3,NA(),+G8/$D8)</f>
        <v>1</v>
      </c>
      <c r="H20" s="519">
        <f>IF('SDA Tool'!$D$13=Lists!$N$3,NA(),+H8/$D8)</f>
        <v>1</v>
      </c>
      <c r="I20" s="519">
        <f>IF('SDA Tool'!$D$13=Lists!$N$3,NA(),+I8/$D8)</f>
        <v>1</v>
      </c>
      <c r="J20" s="519">
        <f>IF('SDA Tool'!$D$13=Lists!$N$3,NA(),+J8/$D8)</f>
        <v>1</v>
      </c>
      <c r="K20" s="519">
        <f>IF('SDA Tool'!$D$13=Lists!$N$3,NA(),+K8/$D8)</f>
        <v>1.0108108108108107</v>
      </c>
      <c r="L20" s="519">
        <f>IF('SDA Tool'!$D$13=Lists!$N$3,NA(),+L8/$D8)</f>
        <v>1.0216216216216216</v>
      </c>
      <c r="M20" s="519">
        <f>IF('SDA Tool'!$D$13=Lists!$N$3,NA(),+M8/$D8)</f>
        <v>1.0324324324324323</v>
      </c>
      <c r="N20" s="519">
        <f>IF('SDA Tool'!$D$13=Lists!$N$3,NA(),+N8/$D8)</f>
        <v>1.0432432432432432</v>
      </c>
      <c r="O20" s="519">
        <f>IF('SDA Tool'!$D$13=Lists!$N$3,NA(),+O8/$D8)</f>
        <v>1.0540540540540539</v>
      </c>
      <c r="P20" s="519">
        <f>IF('SDA Tool'!$D$13=Lists!$N$3,NA(),+P8/$D8)</f>
        <v>1.0648648648648649</v>
      </c>
      <c r="Q20" s="519">
        <f>IF('SDA Tool'!$D$13=Lists!$N$3,NA(),+Q8/$D8)</f>
        <v>1.0756756756756756</v>
      </c>
      <c r="R20" s="519">
        <f>IF('SDA Tool'!$D$13=Lists!$N$3,NA(),+R8/$D8)</f>
        <v>1.0864864864864865</v>
      </c>
      <c r="S20" s="519">
        <f>IF('SDA Tool'!$D$13=Lists!$N$3,NA(),+S8/$D8)</f>
        <v>1.0972972972972972</v>
      </c>
      <c r="T20" s="519">
        <f>IF('SDA Tool'!$D$13=Lists!$N$3,NA(),+T8/$D8)</f>
        <v>1.1081081081081081</v>
      </c>
      <c r="U20" s="519">
        <f>IF('SDA Tool'!$D$13=Lists!$N$3,NA(),+U8/$D8)</f>
        <v>1.1162162162162161</v>
      </c>
      <c r="V20" s="519">
        <f>IF('SDA Tool'!$D$13=Lists!$N$3,NA(),+V8/$D8)</f>
        <v>1.1243243243243244</v>
      </c>
      <c r="W20" s="519">
        <f>IF('SDA Tool'!$D$13=Lists!$N$3,NA(),+W8/$D8)</f>
        <v>1.1324324324324324</v>
      </c>
      <c r="X20" s="519">
        <f>IF('SDA Tool'!$D$13=Lists!$N$3,NA(),+X8/$D8)</f>
        <v>1.1405405405405404</v>
      </c>
      <c r="Y20" s="519">
        <f>IF('SDA Tool'!$D$13=Lists!$N$3,NA(),+Y8/$D8)</f>
        <v>1.1486486486486487</v>
      </c>
      <c r="Z20" s="519">
        <f>IF('SDA Tool'!$D$13=Lists!$N$3,NA(),+Z8/$D8)</f>
        <v>1.1567567567567567</v>
      </c>
      <c r="AA20" s="519">
        <f>IF('SDA Tool'!$D$13=Lists!$N$3,NA(),+AA8/$D8)</f>
        <v>1.164864864864865</v>
      </c>
      <c r="AB20" s="519">
        <f>IF('SDA Tool'!$D$13=Lists!$N$3,NA(),+AB8/$D8)</f>
        <v>1.172972972972973</v>
      </c>
      <c r="AC20" s="519">
        <f>IF('SDA Tool'!$D$13=Lists!$N$3,NA(),+AC8/$D8)</f>
        <v>1.181081081081081</v>
      </c>
      <c r="AD20" s="519">
        <f>IF('SDA Tool'!$D$13=Lists!$N$3,NA(),+AD8/$D8)</f>
        <v>1.1891891891891893</v>
      </c>
      <c r="AE20" s="519">
        <f>IF('SDA Tool'!$D$13=Lists!$N$3,NA(),+AE8/$D8)</f>
        <v>1.1945945945945946</v>
      </c>
      <c r="AF20" s="519">
        <f>IF('SDA Tool'!$D$13=Lists!$N$3,NA(),+AF8/$D8)</f>
        <v>1.2</v>
      </c>
      <c r="AG20" s="519">
        <f>IF('SDA Tool'!$D$13=Lists!$N$3,NA(),+AG8/$D8)</f>
        <v>1.2054054054054053</v>
      </c>
      <c r="AH20" s="519">
        <f>IF('SDA Tool'!$D$13=Lists!$N$3,NA(),+AH8/$D8)</f>
        <v>1.2108108108108109</v>
      </c>
      <c r="AI20" s="519">
        <f>IF('SDA Tool'!$D$13=Lists!$N$3,NA(),+AI8/$D8)</f>
        <v>1.2162162162162162</v>
      </c>
      <c r="AJ20" s="519">
        <f>IF('SDA Tool'!$D$13=Lists!$N$3,NA(),+AJ8/$D8)</f>
        <v>1.2216216216216216</v>
      </c>
      <c r="AK20" s="519">
        <f>IF('SDA Tool'!$D$13=Lists!$N$3,NA(),+AK8/$D8)</f>
        <v>1.2270270270270269</v>
      </c>
      <c r="AL20" s="519">
        <f>IF('SDA Tool'!$D$13=Lists!$N$3,NA(),+AL8/$D8)</f>
        <v>1.2324324324324325</v>
      </c>
      <c r="AM20" s="519">
        <f>IF('SDA Tool'!$D$13=Lists!$N$3,NA(),+AM8/$D8)</f>
        <v>1.2378378378378379</v>
      </c>
      <c r="AN20" s="519">
        <f>IF('SDA Tool'!$D$13=Lists!$N$3,NA(),+AN8/$D8)</f>
        <v>1.2432432432432432</v>
      </c>
      <c r="AO20" s="529">
        <f>IF(OR('SDA Tool'!$D$13=Lists!$N$3, 'SDA Tool'!$D$14=Lists!$A$3),NA(),+AO8/$D8)</f>
        <v>0</v>
      </c>
      <c r="AP20" s="529">
        <f>IF(OR('SDA Tool'!$D$13=Lists!$N$3, 'SDA Tool'!$D$14=Lists!$A$3),NA(),+AP8/$D8)</f>
        <v>0</v>
      </c>
      <c r="AQ20" s="529">
        <f>IF(OR('SDA Tool'!$D$13=Lists!$N$3, 'SDA Tool'!$D$14=Lists!$A$3),NA(),+AQ8/$D8)</f>
        <v>0</v>
      </c>
      <c r="AR20" s="529">
        <f>IF(OR('SDA Tool'!$D$13=Lists!$N$3, 'SDA Tool'!$D$14=Lists!$A$3),NA(),+AR8/$D8)</f>
        <v>0</v>
      </c>
      <c r="AS20" s="529">
        <f>IF(OR('SDA Tool'!$D$13=Lists!$N$3, 'SDA Tool'!$D$14=Lists!$A$3),NA(),+AS8/$D8)</f>
        <v>0</v>
      </c>
      <c r="AT20" s="529">
        <f>IF(OR('SDA Tool'!$D$13=Lists!$N$3, 'SDA Tool'!$D$14=Lists!$A$3),NA(),+AT8/$D8)</f>
        <v>0</v>
      </c>
      <c r="AU20" s="529">
        <f>IF(OR('SDA Tool'!$D$13=Lists!$N$3, 'SDA Tool'!$D$14=Lists!$A$3),NA(),+AU8/$D8)</f>
        <v>0</v>
      </c>
      <c r="AV20" s="529">
        <f>IF(OR('SDA Tool'!$D$13=Lists!$N$3, 'SDA Tool'!$D$14=Lists!$A$3),NA(),+AV8/$D8)</f>
        <v>0</v>
      </c>
      <c r="AW20" s="529">
        <f>IF(OR('SDA Tool'!$D$13=Lists!$N$3, 'SDA Tool'!$D$14=Lists!$A$3),NA(),+AW8/$D8)</f>
        <v>0</v>
      </c>
      <c r="AX20" s="529">
        <f>IF(OR('SDA Tool'!$D$13=Lists!$N$3, 'SDA Tool'!$D$14=Lists!$A$3),NA(),+AX8/$D8)</f>
        <v>0</v>
      </c>
    </row>
    <row r="21" spans="1:90" x14ac:dyDescent="0.25">
      <c r="B21" s="528" t="s">
        <v>135</v>
      </c>
      <c r="D21" s="519">
        <f>+D10/$D10</f>
        <v>1</v>
      </c>
      <c r="E21" s="519">
        <f t="shared" ref="E21:AX21" si="5">+E10/$D10</f>
        <v>1</v>
      </c>
      <c r="F21" s="519">
        <f t="shared" si="5"/>
        <v>1</v>
      </c>
      <c r="G21" s="519">
        <f t="shared" si="5"/>
        <v>1</v>
      </c>
      <c r="H21" s="519">
        <f t="shared" si="5"/>
        <v>1</v>
      </c>
      <c r="I21" s="519">
        <f t="shared" si="5"/>
        <v>1</v>
      </c>
      <c r="J21" s="519">
        <f t="shared" si="5"/>
        <v>1</v>
      </c>
      <c r="K21" s="519">
        <f t="shared" si="5"/>
        <v>1.094463890734356</v>
      </c>
      <c r="L21" s="519">
        <f t="shared" si="5"/>
        <v>1.204892126030219</v>
      </c>
      <c r="M21" s="519">
        <f t="shared" si="5"/>
        <v>1.3357051828710591</v>
      </c>
      <c r="N21" s="519">
        <f t="shared" si="5"/>
        <v>1.4931215108690483</v>
      </c>
      <c r="O21" s="519">
        <f t="shared" si="5"/>
        <v>1.6861751344873901</v>
      </c>
      <c r="P21" s="519">
        <f t="shared" si="5"/>
        <v>1.8896551724137931</v>
      </c>
      <c r="Q21" s="519">
        <f t="shared" si="5"/>
        <v>2.0379310344827588</v>
      </c>
      <c r="R21" s="519">
        <f t="shared" si="5"/>
        <v>2.1862068965517243</v>
      </c>
      <c r="S21" s="519">
        <f t="shared" si="5"/>
        <v>2.3344827586206898</v>
      </c>
      <c r="T21" s="519">
        <f t="shared" si="5"/>
        <v>2.4827586206896552</v>
      </c>
      <c r="U21" s="519">
        <f t="shared" si="5"/>
        <v>2.7594005511748585</v>
      </c>
      <c r="V21" s="519">
        <f t="shared" si="5"/>
        <v>3.086264045286466</v>
      </c>
      <c r="W21" s="519">
        <f t="shared" si="5"/>
        <v>3.4783902150282939</v>
      </c>
      <c r="X21" s="519">
        <f t="shared" si="5"/>
        <v>3.9574926124676324</v>
      </c>
      <c r="Y21" s="519">
        <f t="shared" si="5"/>
        <v>4.5561187351737642</v>
      </c>
      <c r="Z21" s="519">
        <f t="shared" si="5"/>
        <v>5.3253699663277754</v>
      </c>
      <c r="AA21" s="519">
        <f t="shared" si="5"/>
        <v>6.3503198245946777</v>
      </c>
      <c r="AB21" s="519">
        <f t="shared" si="5"/>
        <v>7.4482758620689635</v>
      </c>
      <c r="AC21" s="519">
        <f t="shared" si="5"/>
        <v>8.068965517241379</v>
      </c>
      <c r="AD21" s="519">
        <f t="shared" si="5"/>
        <v>8.6896551724137936</v>
      </c>
      <c r="AE21" s="519">
        <f t="shared" si="5"/>
        <v>9.3103448275862064</v>
      </c>
      <c r="AF21" s="519">
        <f t="shared" si="5"/>
        <v>9.931034482758621</v>
      </c>
      <c r="AG21" s="519">
        <f t="shared" si="5"/>
        <v>10.551724137931036</v>
      </c>
      <c r="AH21" s="519">
        <f t="shared" si="5"/>
        <v>11.172413793103447</v>
      </c>
      <c r="AI21" s="519">
        <f t="shared" si="5"/>
        <v>11.793103448275861</v>
      </c>
      <c r="AJ21" s="519">
        <f t="shared" si="5"/>
        <v>12.413793103448278</v>
      </c>
      <c r="AK21" s="519">
        <f t="shared" si="5"/>
        <v>13.03448275862069</v>
      </c>
      <c r="AL21" s="519">
        <f t="shared" si="5"/>
        <v>13.655172413793105</v>
      </c>
      <c r="AM21" s="519">
        <f t="shared" si="5"/>
        <v>14.275862068965518</v>
      </c>
      <c r="AN21" s="519">
        <f t="shared" si="5"/>
        <v>14.896551724137931</v>
      </c>
      <c r="AO21" s="519">
        <f t="shared" si="5"/>
        <v>0</v>
      </c>
      <c r="AP21" s="519">
        <f t="shared" si="5"/>
        <v>0</v>
      </c>
      <c r="AQ21" s="519">
        <f t="shared" si="5"/>
        <v>0</v>
      </c>
      <c r="AR21" s="519">
        <f t="shared" si="5"/>
        <v>0</v>
      </c>
      <c r="AS21" s="519">
        <f t="shared" si="5"/>
        <v>0</v>
      </c>
      <c r="AT21" s="519">
        <f t="shared" si="5"/>
        <v>0</v>
      </c>
      <c r="AU21" s="519">
        <f t="shared" si="5"/>
        <v>0</v>
      </c>
      <c r="AV21" s="519">
        <f t="shared" si="5"/>
        <v>0</v>
      </c>
      <c r="AW21" s="519">
        <f t="shared" si="5"/>
        <v>0</v>
      </c>
      <c r="AX21" s="519">
        <f t="shared" si="5"/>
        <v>0</v>
      </c>
    </row>
    <row r="22" spans="1:90" x14ac:dyDescent="0.25">
      <c r="B22" s="528" t="s">
        <v>539</v>
      </c>
      <c r="D22" s="519">
        <f t="shared" ref="D22:AN22" si="6">(D13*1000000/D8)/($D13*1000000/$D8)</f>
        <v>1</v>
      </c>
      <c r="E22" s="519">
        <f t="shared" si="6"/>
        <v>0.98138872052947901</v>
      </c>
      <c r="F22" s="519">
        <f t="shared" si="6"/>
        <v>0.96338626375448622</v>
      </c>
      <c r="G22" s="519">
        <f t="shared" si="6"/>
        <v>0.9459632362144772</v>
      </c>
      <c r="H22" s="519">
        <f t="shared" si="6"/>
        <v>0.92909210660400932</v>
      </c>
      <c r="I22" s="519">
        <f t="shared" si="6"/>
        <v>0.91274706060627087</v>
      </c>
      <c r="J22" s="519">
        <f t="shared" si="6"/>
        <v>0.89690386909798581</v>
      </c>
      <c r="K22" s="519">
        <f t="shared" si="6"/>
        <v>0.8873113143482747</v>
      </c>
      <c r="L22" s="519">
        <f t="shared" si="6"/>
        <v>0.87792177663030357</v>
      </c>
      <c r="M22" s="519">
        <f t="shared" si="6"/>
        <v>0.86872887844569313</v>
      </c>
      <c r="N22" s="519">
        <f t="shared" si="6"/>
        <v>0.85972650664832839</v>
      </c>
      <c r="O22" s="519">
        <f t="shared" si="6"/>
        <v>0.85090879888783266</v>
      </c>
      <c r="P22" s="519">
        <f t="shared" si="6"/>
        <v>0.82529930837061682</v>
      </c>
      <c r="Q22" s="519">
        <f t="shared" si="6"/>
        <v>0.75798999662040167</v>
      </c>
      <c r="R22" s="519">
        <f t="shared" si="6"/>
        <v>0.67785795051144282</v>
      </c>
      <c r="S22" s="519">
        <f t="shared" si="6"/>
        <v>0.58584959204034437</v>
      </c>
      <c r="T22" s="519">
        <f t="shared" si="6"/>
        <v>0.48284449751757208</v>
      </c>
      <c r="U22" s="519">
        <f t="shared" si="6"/>
        <v>0.47933715249928455</v>
      </c>
      <c r="V22" s="519">
        <f t="shared" si="6"/>
        <v>0.47588039418799166</v>
      </c>
      <c r="W22" s="519">
        <f t="shared" si="6"/>
        <v>0.47247313599571489</v>
      </c>
      <c r="X22" s="519">
        <f t="shared" si="6"/>
        <v>0.46911432223271216</v>
      </c>
      <c r="Y22" s="519">
        <f t="shared" si="6"/>
        <v>0.46580292701695181</v>
      </c>
      <c r="Z22" s="519">
        <f t="shared" si="6"/>
        <v>0.46253795322944985</v>
      </c>
      <c r="AA22" s="519">
        <f t="shared" si="6"/>
        <v>0.45931843151323554</v>
      </c>
      <c r="AB22" s="519">
        <f t="shared" si="6"/>
        <v>0.43647712162581859</v>
      </c>
      <c r="AC22" s="519">
        <f t="shared" si="6"/>
        <v>0.36806641766188958</v>
      </c>
      <c r="AD22" s="519">
        <f t="shared" si="6"/>
        <v>0.28956163285208775</v>
      </c>
      <c r="AE22" s="519">
        <f t="shared" si="6"/>
        <v>0.27448931616137706</v>
      </c>
      <c r="AF22" s="519">
        <f t="shared" si="6"/>
        <v>0.25614249490131574</v>
      </c>
      <c r="AG22" s="519">
        <f t="shared" si="6"/>
        <v>0.23472318261278399</v>
      </c>
      <c r="AH22" s="519">
        <f t="shared" si="6"/>
        <v>0.21042017869375684</v>
      </c>
      <c r="AI22" s="519">
        <f t="shared" si="6"/>
        <v>0.18341008139225687</v>
      </c>
      <c r="AJ22" s="519">
        <f t="shared" si="6"/>
        <v>0.15385821022561944</v>
      </c>
      <c r="AK22" s="519">
        <f t="shared" si="6"/>
        <v>0.12191944710000459</v>
      </c>
      <c r="AL22" s="519">
        <f t="shared" si="6"/>
        <v>8.7739004335712398E-2</v>
      </c>
      <c r="AM22" s="519">
        <f t="shared" si="6"/>
        <v>5.1453126871934228E-2</v>
      </c>
      <c r="AN22" s="519">
        <f t="shared" si="6"/>
        <v>1.3189735110020974E-2</v>
      </c>
      <c r="AO22" s="519" t="e">
        <f>IF(OR('SDA Tool'!$D$13=Lists!$N$3,'SDA Tool'!$D$14=Lists!$A$3),NA(),IF('SDA Tool'!$D$15=Lists!$B$2,NA(),(AO13*1000000/AO8)/($D13*1000000/$D8)))</f>
        <v>#N/A</v>
      </c>
      <c r="AP22" s="519" t="e">
        <f>IF(OR('SDA Tool'!$D$13=Lists!$N$3,'SDA Tool'!$D$14=Lists!$A$3),NA(),IF('SDA Tool'!$D$15=Lists!$B$2,NA(),(AP13*1000000/AP8)/($D13*1000000/$D8)))</f>
        <v>#N/A</v>
      </c>
      <c r="AQ22" s="519" t="e">
        <f>IF(OR('SDA Tool'!$D$13=Lists!$N$3,'SDA Tool'!$D$14=Lists!$A$3),NA(),IF('SDA Tool'!$D$15=Lists!$B$2,NA(),(AQ13*1000000/AQ8)/($D13*1000000/$D8)))</f>
        <v>#N/A</v>
      </c>
      <c r="AR22" s="519" t="e">
        <f>IF(OR('SDA Tool'!$D$13=Lists!$N$3,'SDA Tool'!$D$14=Lists!$A$3),NA(),IF('SDA Tool'!$D$15=Lists!$B$2,NA(),(AR13*1000000/AR8)/($D13*1000000/$D8)))</f>
        <v>#N/A</v>
      </c>
      <c r="AS22" s="519" t="e">
        <f>IF(OR('SDA Tool'!$D$13=Lists!$N$3,'SDA Tool'!$D$14=Lists!$A$3),NA(),IF('SDA Tool'!$D$15=Lists!$B$2,NA(),(AS13*1000000/AS8)/($D13*1000000/$D8)))</f>
        <v>#N/A</v>
      </c>
      <c r="AT22" s="519" t="e">
        <f>IF(OR('SDA Tool'!$D$13=Lists!$N$3,'SDA Tool'!$D$14=Lists!$A$3),NA(),IF('SDA Tool'!$D$15=Lists!$B$2,NA(),(AT13*1000000/AT8)/($D13*1000000/$D8)))</f>
        <v>#N/A</v>
      </c>
      <c r="AU22" s="519" t="e">
        <f>IF(OR('SDA Tool'!$D$13=Lists!$N$3,'SDA Tool'!$D$14=Lists!$A$3),NA(),IF('SDA Tool'!$D$15=Lists!$B$2,NA(),(AU13*1000000/AU8)/($D13*1000000/$D8)))</f>
        <v>#N/A</v>
      </c>
      <c r="AV22" s="519" t="e">
        <f>IF(OR('SDA Tool'!$D$13=Lists!$N$3,'SDA Tool'!$D$14=Lists!$A$3),NA(),IF('SDA Tool'!$D$15=Lists!$B$2,NA(),(AV13*1000000/AV8)/($D13*1000000/$D8)))</f>
        <v>#N/A</v>
      </c>
      <c r="AW22" s="519" t="e">
        <f>IF(OR('SDA Tool'!$D$13=Lists!$N$3,'SDA Tool'!$D$14=Lists!$A$3),NA(),IF('SDA Tool'!$D$15=Lists!$B$2,NA(),(AW13*1000000/AW8)/($D13*1000000/$D8)))</f>
        <v>#N/A</v>
      </c>
      <c r="AX22" s="519" t="e">
        <f>IF(OR('SDA Tool'!$D$13=Lists!$N$3,'SDA Tool'!$D$14=Lists!$A$3),NA(),IF('SDA Tool'!$D$15=Lists!$B$2,NA(),(AX13*1000000/AX8)/($D13*1000000/$D8)))</f>
        <v>#N/A</v>
      </c>
    </row>
    <row r="23" spans="1:90" x14ac:dyDescent="0.25">
      <c r="B23" s="528" t="s">
        <v>540</v>
      </c>
      <c r="D23" s="519">
        <f>IF('SDA Tool'!$D$13=Lists!$N$3,NA(),(D11*1000000/D8)/($D11*1000000/$D8))</f>
        <v>1</v>
      </c>
      <c r="E23" s="519">
        <f>IF('SDA Tool'!$D$13=Lists!$N$3,NA(),(E11*1000000/E8)/($D11*1000000/$D8))</f>
        <v>1</v>
      </c>
      <c r="F23" s="519">
        <f>IF('SDA Tool'!$D$13=Lists!$N$3,NA(),(F11*1000000/F8)/($D11*1000000/$D8))</f>
        <v>1</v>
      </c>
      <c r="G23" s="519">
        <f>IF('SDA Tool'!$D$13=Lists!$N$3,NA(),(G11*1000000/G8)/($D11*1000000/$D8))</f>
        <v>1</v>
      </c>
      <c r="H23" s="519">
        <f>IF('SDA Tool'!$D$13=Lists!$N$3,NA(),(H11*1000000/H8)/($D11*1000000/$D8))</f>
        <v>1</v>
      </c>
      <c r="I23" s="519">
        <f>IF('SDA Tool'!$D$13=Lists!$N$3,NA(),(I11*1000000/I8)/($D11*1000000/$D8))</f>
        <v>1</v>
      </c>
      <c r="J23" s="519">
        <f>IF('SDA Tool'!$D$13=Lists!$N$3,NA(),(J11*1000000/J8)/($D11*1000000/$D8))</f>
        <v>1</v>
      </c>
      <c r="K23" s="519">
        <f>IF('SDA Tool'!$D$13=Lists!$N$3,NA(),(K11*1000000/K8)/($D11*1000000/$D8))</f>
        <v>0.96512180629827693</v>
      </c>
      <c r="L23" s="519">
        <f>IF('SDA Tool'!$D$13=Lists!$N$3,NA(),(L11*1000000/L8)/($D11*1000000/$D8))</f>
        <v>0.93098177542621985</v>
      </c>
      <c r="M23" s="519">
        <f>IF('SDA Tool'!$D$13=Lists!$N$3,NA(),(M11*1000000/M8)/($D11*1000000/$D8))</f>
        <v>0.89755671902268752</v>
      </c>
      <c r="N23" s="519">
        <f>IF('SDA Tool'!$D$13=Lists!$N$3,NA(),(N11*1000000/N8)/($D11*1000000/$D8))</f>
        <v>0.86482440990213005</v>
      </c>
      <c r="O23" s="519">
        <f>IF('SDA Tool'!$D$13=Lists!$N$3,NA(),(O11*1000000/O8)/($D11*1000000/$D8))</f>
        <v>0.83276353276353277</v>
      </c>
      <c r="P23" s="519">
        <f>IF('SDA Tool'!$D$13=Lists!$N$3,NA(),(P11*1000000/P8)/($D11*1000000/$D8))</f>
        <v>0.80135363790186132</v>
      </c>
      <c r="Q23" s="519">
        <f>IF('SDA Tool'!$D$13=Lists!$N$3,NA(),(Q11*1000000/Q8)/($D11*1000000/$D8))</f>
        <v>0.77057509771077615</v>
      </c>
      <c r="R23" s="519">
        <f>IF('SDA Tool'!$D$13=Lists!$N$3,NA(),(R11*1000000/R8)/($D11*1000000/$D8))</f>
        <v>0.74040906578220012</v>
      </c>
      <c r="S23" s="519">
        <f>IF('SDA Tool'!$D$13=Lists!$N$3,NA(),(S11*1000000/S8)/($D11*1000000/$D8))</f>
        <v>0.71083743842364533</v>
      </c>
      <c r="T23" s="519">
        <f>IF('SDA Tool'!$D$13=Lists!$N$3,NA(),(T11*1000000/T8)/($D11*1000000/$D8))</f>
        <v>0.68184281842818428</v>
      </c>
      <c r="U23" s="519">
        <f>IF('SDA Tool'!$D$13=Lists!$N$3,NA(),(U11*1000000/U8)/($D11*1000000/$D8))</f>
        <v>0.63806833467850421</v>
      </c>
      <c r="V23" s="519">
        <f>IF('SDA Tool'!$D$13=Lists!$N$3,NA(),(V11*1000000/V8)/($D11*1000000/$D8))</f>
        <v>0.59492521367521367</v>
      </c>
      <c r="W23" s="519">
        <f>IF('SDA Tool'!$D$13=Lists!$N$3,NA(),(W11*1000000/W8)/($D11*1000000/$D8))</f>
        <v>0.55239989392734024</v>
      </c>
      <c r="X23" s="519">
        <f>IF('SDA Tool'!$D$13=Lists!$N$3,NA(),(X11*1000000/X8)/($D11*1000000/$D8))</f>
        <v>0.51047919957872556</v>
      </c>
      <c r="Y23" s="519">
        <f>IF('SDA Tool'!$D$13=Lists!$N$3,NA(),(Y11*1000000/Y8)/($D11*1000000/$D8))</f>
        <v>0.46915032679738561</v>
      </c>
      <c r="Z23" s="519">
        <f>IF('SDA Tool'!$D$13=Lists!$N$3,NA(),(Z11*1000000/Z8)/($D11*1000000/$D8))</f>
        <v>0.42840083073727936</v>
      </c>
      <c r="AA23" s="519">
        <f>IF('SDA Tool'!$D$13=Lists!$N$3,NA(),(AA11*1000000/AA8)/($D11*1000000/$D8))</f>
        <v>0.38821861304459915</v>
      </c>
      <c r="AB23" s="519">
        <f>IF('SDA Tool'!$D$13=Lists!$N$3,NA(),(AB11*1000000/AB8)/($D11*1000000/$D8))</f>
        <v>0.34859190988223243</v>
      </c>
      <c r="AC23" s="519">
        <f>IF('SDA Tool'!$D$13=Lists!$N$3,NA(),(AC11*1000000/AC8)/($D11*1000000/$D8))</f>
        <v>0.30950928044749554</v>
      </c>
      <c r="AD23" s="519">
        <f>IF('SDA Tool'!$D$13=Lists!$N$3,NA(),(AD11*1000000/AD8)/($D11*1000000/$D8))</f>
        <v>0.27095959595959596</v>
      </c>
      <c r="AE23" s="519">
        <f>IF('SDA Tool'!$D$13=Lists!$N$3,NA(),(AE11*1000000/AE8)/($D11*1000000/$D8))</f>
        <v>0.24648064353946705</v>
      </c>
      <c r="AF23" s="519">
        <f>IF('SDA Tool'!$D$13=Lists!$N$3,NA(),(AF11*1000000/AF8)/($D11*1000000/$D8))</f>
        <v>0.22222222222222224</v>
      </c>
      <c r="AG23" s="519">
        <f>IF('SDA Tool'!$D$13=Lists!$N$3,NA(),(AG11*1000000/AG8)/($D11*1000000/$D8))</f>
        <v>0.19818136522172397</v>
      </c>
      <c r="AH23" s="519">
        <f>IF('SDA Tool'!$D$13=Lists!$N$3,NA(),(AH11*1000000/AH8)/($D11*1000000/$D8))</f>
        <v>0.17435515873015872</v>
      </c>
      <c r="AI23" s="519">
        <f>IF('SDA Tool'!$D$13=Lists!$N$3,NA(),(AI11*1000000/AI8)/($D11*1000000/$D8))</f>
        <v>0.15074074074074073</v>
      </c>
      <c r="AJ23" s="519">
        <f>IF('SDA Tool'!$D$13=Lists!$N$3,NA(),(AJ11*1000000/AJ8)/($D11*1000000/$D8))</f>
        <v>0.12733529990167158</v>
      </c>
      <c r="AK23" s="519">
        <f>IF('SDA Tool'!$D$13=Lists!$N$3,NA(),(AK11*1000000/AK8)/($D11*1000000/$D8))</f>
        <v>0.10413607440039159</v>
      </c>
      <c r="AL23" s="519">
        <f>IF('SDA Tool'!$D$13=Lists!$N$3,NA(),(AL11*1000000/AL8)/($D11*1000000/$D8))</f>
        <v>8.1140350877192985E-2</v>
      </c>
      <c r="AM23" s="519">
        <f>IF('SDA Tool'!$D$13=Lists!$N$3,NA(),(AM11*1000000/AM8)/($D11*1000000/$D8))</f>
        <v>5.8345463367297429E-2</v>
      </c>
      <c r="AN23" s="519">
        <f>IF('SDA Tool'!$D$13=Lists!$N$3,NA(),(AN11*1000000/AN8)/($D11*1000000/$D8))</f>
        <v>3.5748792270531397E-2</v>
      </c>
      <c r="AO23" s="519" t="e">
        <f>IF(OR('SDA Tool'!$D$13=Lists!$N$3,'SDA Tool'!$D$14=Lists!$A$3),NA(),(AO11*1000000/AO8)/($D11*1000000/$D8))</f>
        <v>#DIV/0!</v>
      </c>
      <c r="AP23" s="519" t="e">
        <f>IF(OR('SDA Tool'!$D$13=Lists!$N$3,'SDA Tool'!$D$14=Lists!$A$3),NA(),(AP11*1000000/AP8)/($D11*1000000/$D8))</f>
        <v>#DIV/0!</v>
      </c>
      <c r="AQ23" s="519" t="e">
        <f>IF(OR('SDA Tool'!$D$13=Lists!$N$3,'SDA Tool'!$D$14=Lists!$A$3),NA(),(AQ11*1000000/AQ8)/($D11*1000000/$D8))</f>
        <v>#DIV/0!</v>
      </c>
      <c r="AR23" s="519" t="e">
        <f>IF(OR('SDA Tool'!$D$13=Lists!$N$3,'SDA Tool'!$D$14=Lists!$A$3),NA(),(AR11*1000000/AR8)/($D11*1000000/$D8))</f>
        <v>#DIV/0!</v>
      </c>
      <c r="AS23" s="519" t="e">
        <f>IF(OR('SDA Tool'!$D$13=Lists!$N$3,'SDA Tool'!$D$14=Lists!$A$3),NA(),(AS11*1000000/AS8)/($D11*1000000/$D8))</f>
        <v>#DIV/0!</v>
      </c>
      <c r="AT23" s="519" t="e">
        <f>IF(OR('SDA Tool'!$D$13=Lists!$N$3,'SDA Tool'!$D$14=Lists!$A$3),NA(),(AT11*1000000/AT8)/($D11*1000000/$D8))</f>
        <v>#DIV/0!</v>
      </c>
      <c r="AU23" s="519" t="e">
        <f>IF(OR('SDA Tool'!$D$13=Lists!$N$3,'SDA Tool'!$D$14=Lists!$A$3),NA(),(AU11*1000000/AU8)/($D11*1000000/$D8))</f>
        <v>#DIV/0!</v>
      </c>
      <c r="AV23" s="519" t="e">
        <f>IF(OR('SDA Tool'!$D$13=Lists!$N$3,'SDA Tool'!$D$14=Lists!$A$3),NA(),(AV11*1000000/AV8)/($D11*1000000/$D8))</f>
        <v>#DIV/0!</v>
      </c>
      <c r="AW23" s="519" t="e">
        <f>IF(OR('SDA Tool'!$D$13=Lists!$N$3,'SDA Tool'!$D$14=Lists!$A$3),NA(),(AW11*1000000/AW8)/($D11*1000000/$D8))</f>
        <v>#DIV/0!</v>
      </c>
      <c r="AX23" s="519" t="e">
        <f>IF(OR('SDA Tool'!$D$13=Lists!$N$3,'SDA Tool'!$D$14=Lists!$A$3),NA(),(AX11*1000000/AX8)/($D11*1000000/$D8))</f>
        <v>#DIV/0!</v>
      </c>
    </row>
    <row r="24" spans="1:90" x14ac:dyDescent="0.25">
      <c r="B24" t="s">
        <v>144</v>
      </c>
      <c r="D24" s="63">
        <f>HLOOKUP('SDA Tool'!$D$20,$D$1:$CL$15,ROW($A$8),)/HLOOKUP('SDA Tool'!$D$16,$D$1:$CL$15,ROW($A$8),)-1</f>
        <v>0.10810810810810811</v>
      </c>
    </row>
    <row r="26" spans="1:90" ht="13" x14ac:dyDescent="0.3">
      <c r="A26" s="1" t="s">
        <v>145</v>
      </c>
    </row>
    <row r="27" spans="1:90" x14ac:dyDescent="0.25">
      <c r="D27" s="519"/>
    </row>
    <row r="28" spans="1:90" s="482" customFormat="1" hidden="1" x14ac:dyDescent="0.25">
      <c r="A28" s="482" t="s">
        <v>146</v>
      </c>
      <c r="B28" s="482" t="s">
        <v>147</v>
      </c>
      <c r="C28" s="482" t="s">
        <v>148</v>
      </c>
      <c r="D28" s="532" cm="1">
        <f t="array" ref="D28">IF(AND(OR('SDA Tool'!$D$15=Lists!$B$2, 'SDA Tool'!$D$15=Lists!$B$3,'SDA Tool'!$D$15=Lists!$B$4),'SDA Tool'!$D$14=Lists!$A$2), INDEX(Database!I$2:I$19,MATCH($A28&amp;$B28&amp;"IEA NZE",Database!$A$2:$A$19&amp;Database!$D$2:$D$19&amp;Database!$B$2:$B$19,)), INDEX(Database!I$2:I$19,MATCH($A28&amp;$B28&amp;'SDA Tool'!$D$14,Database!$A$2:$A$19&amp;Database!$D$2:$D$19&amp;Database!$B$2:$B$19,)))</f>
        <v>0.57202495010378573</v>
      </c>
      <c r="E28" s="532" cm="1">
        <f t="array" ref="E28">IF(AND(OR('SDA Tool'!$D$15=Lists!$B$2, 'SDA Tool'!$D$15=Lists!$B$3,'SDA Tool'!$D$15=Lists!$B$4),'SDA Tool'!$D$14=Lists!$A$2), INDEX(Database!J$2:J$19,MATCH($A28&amp;$B28&amp;"IEA NZE",Database!$A$2:$A$19&amp;Database!$D$2:$D$19&amp;Database!$B$2:$B$19,)), INDEX(Database!J$2:J$19,MATCH($A28&amp;$B28&amp;'SDA Tool'!$D$14,Database!$A$2:$A$19&amp;Database!$D$2:$D$19&amp;Database!$B$2:$B$19,)))</f>
        <v>0.5462795847930102</v>
      </c>
      <c r="F28" s="532" cm="1">
        <f t="array" ref="F28">IF(AND(OR('SDA Tool'!$D$15=Lists!$B$2, 'SDA Tool'!$D$15=Lists!$B$3,'SDA Tool'!$D$15=Lists!$B$4),'SDA Tool'!$D$14=Lists!$A$2), INDEX(Database!K$2:K$19,MATCH($A28&amp;$B28&amp;"IEA NZE",Database!$A$2:$A$19&amp;Database!$D$2:$D$19&amp;Database!$B$2:$B$19,)), INDEX(Database!K$2:K$19,MATCH($A28&amp;$B28&amp;'SDA Tool'!$D$14,Database!$A$2:$A$19&amp;Database!$D$2:$D$19&amp;Database!$B$2:$B$19,)))</f>
        <v>0.52139984873939516</v>
      </c>
      <c r="G28" s="532" cm="1">
        <f t="array" ref="G28">IF(AND(OR('SDA Tool'!$D$15=Lists!$B$2, 'SDA Tool'!$D$15=Lists!$B$3,'SDA Tool'!$D$15=Lists!$B$4),'SDA Tool'!$D$14=Lists!$A$2), INDEX(Database!L$2:L$19,MATCH($A28&amp;$B28&amp;"IEA NZE",Database!$A$2:$A$19&amp;Database!$D$2:$D$19&amp;Database!$B$2:$B$19,)), INDEX(Database!L$2:L$19,MATCH($A28&amp;$B28&amp;'SDA Tool'!$D$14,Database!$A$2:$A$19&amp;Database!$D$2:$D$19&amp;Database!$B$2:$B$19,)))</f>
        <v>0.49734280652806911</v>
      </c>
      <c r="H28" s="532" cm="1">
        <f t="array" ref="H28">IF(AND(OR('SDA Tool'!$D$15=Lists!$B$2, 'SDA Tool'!$D$15=Lists!$B$3,'SDA Tool'!$D$15=Lists!$B$4),'SDA Tool'!$D$14=Lists!$A$2), INDEX(Database!M$2:M$19,MATCH($A28&amp;$B28&amp;"IEA NZE",Database!$A$2:$A$19&amp;Database!$D$2:$D$19&amp;Database!$B$2:$B$19,)), INDEX(Database!M$2:M$19,MATCH($A28&amp;$B28&amp;'SDA Tool'!$D$14,Database!$A$2:$A$19&amp;Database!$D$2:$D$19&amp;Database!$B$2:$B$19,)))</f>
        <v>0.4740683160370745</v>
      </c>
      <c r="I28" s="532" cm="1">
        <f t="array" ref="I28">IF(AND(OR('SDA Tool'!$D$15=Lists!$B$2, 'SDA Tool'!$D$15=Lists!$B$3,'SDA Tool'!$D$15=Lists!$B$4),'SDA Tool'!$D$14=Lists!$A$2), INDEX(Database!N$2:N$19,MATCH($A28&amp;$B28&amp;"IEA NZE",Database!$A$2:$A$19&amp;Database!$D$2:$D$19&amp;Database!$B$2:$B$19,)), INDEX(Database!N$2:N$19,MATCH($A28&amp;$B28&amp;'SDA Tool'!$D$14,Database!$A$2:$A$19&amp;Database!$D$2:$D$19&amp;Database!$B$2:$B$19,)))</f>
        <v>0.46800000000000003</v>
      </c>
      <c r="J28" s="532" cm="1">
        <f t="array" ref="J28">IF(AND(OR('SDA Tool'!$D$15=Lists!$B$2, 'SDA Tool'!$D$15=Lists!$B$3,'SDA Tool'!$D$15=Lists!$B$4),'SDA Tool'!$D$14=Lists!$A$2), INDEX(Database!O$2:O$19,MATCH($A28&amp;$B28&amp;"IEA NZE",Database!$A$2:$A$19&amp;Database!$D$2:$D$19&amp;Database!$B$2:$B$19,)), INDEX(Database!O$2:O$19,MATCH($A28&amp;$B28&amp;'SDA Tool'!$D$14,Database!$A$2:$A$19&amp;Database!$D$2:$D$19&amp;Database!$B$2:$B$19,)))</f>
        <v>0.438</v>
      </c>
      <c r="K28" s="532" cm="1">
        <f t="array" ref="K28">IF(AND(OR('SDA Tool'!$D$15=Lists!$B$2, 'SDA Tool'!$D$15=Lists!$B$3,'SDA Tool'!$D$15=Lists!$B$4),'SDA Tool'!$D$14=Lists!$A$2), INDEX(Database!P$2:P$19,MATCH($A28&amp;$B28&amp;"IEA NZE",Database!$A$2:$A$19&amp;Database!$D$2:$D$19&amp;Database!$B$2:$B$19,)), INDEX(Database!P$2:P$19,MATCH($A28&amp;$B28&amp;'SDA Tool'!$D$14,Database!$A$2:$A$19&amp;Database!$D$2:$D$19&amp;Database!$B$2:$B$19,)))</f>
        <v>0.40800000000000003</v>
      </c>
      <c r="L28" s="532" cm="1">
        <f t="array" ref="L28">IF(AND(OR('SDA Tool'!$D$15=Lists!$B$2, 'SDA Tool'!$D$15=Lists!$B$3,'SDA Tool'!$D$15=Lists!$B$4),'SDA Tool'!$D$14=Lists!$A$2), INDEX(Database!Q$2:Q$19,MATCH($A28&amp;$B28&amp;"IEA NZE",Database!$A$2:$A$19&amp;Database!$D$2:$D$19&amp;Database!$B$2:$B$19,)), INDEX(Database!Q$2:Q$19,MATCH($A28&amp;$B28&amp;'SDA Tool'!$D$14,Database!$A$2:$A$19&amp;Database!$D$2:$D$19&amp;Database!$B$2:$B$19,)))</f>
        <v>0.378</v>
      </c>
      <c r="M28" s="532" cm="1">
        <f t="array" ref="M28">IF(AND(OR('SDA Tool'!$D$15=Lists!$B$2, 'SDA Tool'!$D$15=Lists!$B$3,'SDA Tool'!$D$15=Lists!$B$4),'SDA Tool'!$D$14=Lists!$A$2), INDEX(Database!R$2:R$19,MATCH($A28&amp;$B28&amp;"IEA NZE",Database!$A$2:$A$19&amp;Database!$D$2:$D$19&amp;Database!$B$2:$B$19,)), INDEX(Database!R$2:R$19,MATCH($A28&amp;$B28&amp;'SDA Tool'!$D$14,Database!$A$2:$A$19&amp;Database!$D$2:$D$19&amp;Database!$B$2:$B$19,)))</f>
        <v>0.34800000000000003</v>
      </c>
      <c r="N28" s="532" cm="1">
        <f t="array" ref="N28">IF(AND(OR('SDA Tool'!$D$15=Lists!$B$2, 'SDA Tool'!$D$15=Lists!$B$3,'SDA Tool'!$D$15=Lists!$B$4),'SDA Tool'!$D$14=Lists!$A$2), INDEX(Database!S$2:S$19,MATCH($A28&amp;$B28&amp;"IEA NZE",Database!$A$2:$A$19&amp;Database!$D$2:$D$19&amp;Database!$B$2:$B$19,)), INDEX(Database!S$2:S$19,MATCH($A28&amp;$B28&amp;'SDA Tool'!$D$14,Database!$A$2:$A$19&amp;Database!$D$2:$D$19&amp;Database!$B$2:$B$19,)))</f>
        <v>0.318</v>
      </c>
      <c r="O28" s="532" cm="1">
        <f t="array" ref="O28">IF(AND(OR('SDA Tool'!$D$15=Lists!$B$2, 'SDA Tool'!$D$15=Lists!$B$3,'SDA Tool'!$D$15=Lists!$B$4),'SDA Tool'!$D$14=Lists!$A$2), INDEX(Database!T$2:T$19,MATCH($A28&amp;$B28&amp;"IEA NZE",Database!$A$2:$A$19&amp;Database!$D$2:$D$19&amp;Database!$B$2:$B$19,)), INDEX(Database!T$2:T$19,MATCH($A28&amp;$B28&amp;'SDA Tool'!$D$14,Database!$A$2:$A$19&amp;Database!$D$2:$D$19&amp;Database!$B$2:$B$19,)))</f>
        <v>0.28800000000000003</v>
      </c>
      <c r="P28" s="532" cm="1">
        <f t="array" ref="P28">IF(AND(OR('SDA Tool'!$D$15=Lists!$B$2, 'SDA Tool'!$D$15=Lists!$B$3,'SDA Tool'!$D$15=Lists!$B$4),'SDA Tool'!$D$14=Lists!$A$2), INDEX(Database!U$2:U$19,MATCH($A28&amp;$B28&amp;"IEA NZE",Database!$A$2:$A$19&amp;Database!$D$2:$D$19&amp;Database!$B$2:$B$19,)), INDEX(Database!U$2:U$19,MATCH($A28&amp;$B28&amp;'SDA Tool'!$D$14,Database!$A$2:$A$19&amp;Database!$D$2:$D$19&amp;Database!$B$2:$B$19,)))</f>
        <v>0.25800000000000001</v>
      </c>
      <c r="Q28" s="532" cm="1">
        <f t="array" ref="Q28">IF(AND(OR('SDA Tool'!$D$15=Lists!$B$2, 'SDA Tool'!$D$15=Lists!$B$3,'SDA Tool'!$D$15=Lists!$B$4),'SDA Tool'!$D$14=Lists!$A$2), INDEX(Database!V$2:V$19,MATCH($A28&amp;$B28&amp;"IEA NZE",Database!$A$2:$A$19&amp;Database!$D$2:$D$19&amp;Database!$B$2:$B$19,)), INDEX(Database!V$2:V$19,MATCH($A28&amp;$B28&amp;'SDA Tool'!$D$14,Database!$A$2:$A$19&amp;Database!$D$2:$D$19&amp;Database!$B$2:$B$19,)))</f>
        <v>0.22800000000000001</v>
      </c>
      <c r="R28" s="532" cm="1">
        <f t="array" ref="R28">IF(AND(OR('SDA Tool'!$D$15=Lists!$B$2, 'SDA Tool'!$D$15=Lists!$B$3,'SDA Tool'!$D$15=Lists!$B$4),'SDA Tool'!$D$14=Lists!$A$2), INDEX(Database!W$2:W$19,MATCH($A28&amp;$B28&amp;"IEA NZE",Database!$A$2:$A$19&amp;Database!$D$2:$D$19&amp;Database!$B$2:$B$19,)), INDEX(Database!W$2:W$19,MATCH($A28&amp;$B28&amp;'SDA Tool'!$D$14,Database!$A$2:$A$19&amp;Database!$D$2:$D$19&amp;Database!$B$2:$B$19,)))</f>
        <v>0.19800000000000001</v>
      </c>
      <c r="S28" s="532" cm="1">
        <f t="array" ref="S28">IF(AND(OR('SDA Tool'!$D$15=Lists!$B$2, 'SDA Tool'!$D$15=Lists!$B$3,'SDA Tool'!$D$15=Lists!$B$4),'SDA Tool'!$D$14=Lists!$A$2), INDEX(Database!X$2:X$19,MATCH($A28&amp;$B28&amp;"IEA NZE",Database!$A$2:$A$19&amp;Database!$D$2:$D$19&amp;Database!$B$2:$B$19,)), INDEX(Database!X$2:X$19,MATCH($A28&amp;$B28&amp;'SDA Tool'!$D$14,Database!$A$2:$A$19&amp;Database!$D$2:$D$19&amp;Database!$B$2:$B$19,)))</f>
        <v>0.16799999999999998</v>
      </c>
      <c r="T28" s="532" cm="1">
        <f t="array" ref="T28">IF(AND(OR('SDA Tool'!$D$15=Lists!$B$2, 'SDA Tool'!$D$15=Lists!$B$3,'SDA Tool'!$D$15=Lists!$B$4),'SDA Tool'!$D$14=Lists!$A$2), INDEX(Database!Y$2:Y$19,MATCH($A28&amp;$B28&amp;"IEA NZE",Database!$A$2:$A$19&amp;Database!$D$2:$D$19&amp;Database!$B$2:$B$19,)), INDEX(Database!Y$2:Y$19,MATCH($A28&amp;$B28&amp;'SDA Tool'!$D$14,Database!$A$2:$A$19&amp;Database!$D$2:$D$19&amp;Database!$B$2:$B$19,)))</f>
        <v>0.13800000000000001</v>
      </c>
      <c r="U28" s="532" cm="1">
        <f t="array" ref="U28">IF(AND(OR('SDA Tool'!$D$15=Lists!$B$2, 'SDA Tool'!$D$15=Lists!$B$3,'SDA Tool'!$D$15=Lists!$B$4),'SDA Tool'!$D$14=Lists!$A$2), INDEX(Database!Z$2:Z$19,MATCH($A28&amp;$B28&amp;"IEA NZE",Database!$A$2:$A$19&amp;Database!$D$2:$D$19&amp;Database!$B$2:$B$19,)), INDEX(Database!Z$2:Z$19,MATCH($A28&amp;$B28&amp;'SDA Tool'!$D$14,Database!$A$2:$A$19&amp;Database!$D$2:$D$19&amp;Database!$B$2:$B$19,)))</f>
        <v>0.12410000000000002</v>
      </c>
      <c r="V28" s="532" cm="1">
        <f t="array" ref="V28">IF(AND(OR('SDA Tool'!$D$15=Lists!$B$2, 'SDA Tool'!$D$15=Lists!$B$3,'SDA Tool'!$D$15=Lists!$B$4),'SDA Tool'!$D$14=Lists!$A$2), INDEX(Database!AA$2:AA$19,MATCH($A28&amp;$B28&amp;"IEA NZE",Database!$A$2:$A$19&amp;Database!$D$2:$D$19&amp;Database!$B$2:$B$19,)), INDEX(Database!AA$2:AA$19,MATCH($A28&amp;$B28&amp;'SDA Tool'!$D$14,Database!$A$2:$A$19&amp;Database!$D$2:$D$19&amp;Database!$B$2:$B$19,)))</f>
        <v>0.11020000000000001</v>
      </c>
      <c r="W28" s="532" cm="1">
        <f t="array" ref="W28">IF(AND(OR('SDA Tool'!$D$15=Lists!$B$2, 'SDA Tool'!$D$15=Lists!$B$3,'SDA Tool'!$D$15=Lists!$B$4),'SDA Tool'!$D$14=Lists!$A$2), INDEX(Database!AB$2:AB$19,MATCH($A28&amp;$B28&amp;"IEA NZE",Database!$A$2:$A$19&amp;Database!$D$2:$D$19&amp;Database!$B$2:$B$19,)), INDEX(Database!AB$2:AB$19,MATCH($A28&amp;$B28&amp;'SDA Tool'!$D$14,Database!$A$2:$A$19&amp;Database!$D$2:$D$19&amp;Database!$B$2:$B$19,)))</f>
        <v>9.6300000000000011E-2</v>
      </c>
      <c r="X28" s="532" cm="1">
        <f t="array" ref="X28">IF(AND(OR('SDA Tool'!$D$15=Lists!$B$2, 'SDA Tool'!$D$15=Lists!$B$3,'SDA Tool'!$D$15=Lists!$B$4),'SDA Tool'!$D$14=Lists!$A$2), INDEX(Database!AC$2:AC$19,MATCH($A28&amp;$B28&amp;"IEA NZE",Database!$A$2:$A$19&amp;Database!$D$2:$D$19&amp;Database!$B$2:$B$19,)), INDEX(Database!AC$2:AC$19,MATCH($A28&amp;$B28&amp;'SDA Tool'!$D$14,Database!$A$2:$A$19&amp;Database!$D$2:$D$19&amp;Database!$B$2:$B$19,)))</f>
        <v>8.2400000000000001E-2</v>
      </c>
      <c r="Y28" s="532" cm="1">
        <f t="array" ref="Y28">IF(AND(OR('SDA Tool'!$D$15=Lists!$B$2, 'SDA Tool'!$D$15=Lists!$B$3,'SDA Tool'!$D$15=Lists!$B$4),'SDA Tool'!$D$14=Lists!$A$2), INDEX(Database!AD$2:AD$19,MATCH($A28&amp;$B28&amp;"IEA NZE",Database!$A$2:$A$19&amp;Database!$D$2:$D$19&amp;Database!$B$2:$B$19,)), INDEX(Database!AD$2:AD$19,MATCH($A28&amp;$B28&amp;'SDA Tool'!$D$14,Database!$A$2:$A$19&amp;Database!$D$2:$D$19&amp;Database!$B$2:$B$19,)))</f>
        <v>6.8500000000000005E-2</v>
      </c>
      <c r="Z28" s="532" cm="1">
        <f t="array" ref="Z28">IF(AND(OR('SDA Tool'!$D$15=Lists!$B$2, 'SDA Tool'!$D$15=Lists!$B$3,'SDA Tool'!$D$15=Lists!$B$4),'SDA Tool'!$D$14=Lists!$A$2), INDEX(Database!AE$2:AE$19,MATCH($A28&amp;$B28&amp;"IEA NZE",Database!$A$2:$A$19&amp;Database!$D$2:$D$19&amp;Database!$B$2:$B$19,)), INDEX(Database!AE$2:AE$19,MATCH($A28&amp;$B28&amp;'SDA Tool'!$D$14,Database!$A$2:$A$19&amp;Database!$D$2:$D$19&amp;Database!$B$2:$B$19,)))</f>
        <v>5.460000000000001E-2</v>
      </c>
      <c r="AA28" s="532" cm="1">
        <f t="array" ref="AA28">IF(AND(OR('SDA Tool'!$D$15=Lists!$B$2, 'SDA Tool'!$D$15=Lists!$B$3,'SDA Tool'!$D$15=Lists!$B$4),'SDA Tool'!$D$14=Lists!$A$2), INDEX(Database!AF$2:AF$19,MATCH($A28&amp;$B28&amp;"IEA NZE",Database!$A$2:$A$19&amp;Database!$D$2:$D$19&amp;Database!$B$2:$B$19,)), INDEX(Database!AF$2:AF$19,MATCH($A28&amp;$B28&amp;'SDA Tool'!$D$14,Database!$A$2:$A$19&amp;Database!$D$2:$D$19&amp;Database!$B$2:$B$19,)))</f>
        <v>4.07E-2</v>
      </c>
      <c r="AB28" s="532" cm="1">
        <f t="array" ref="AB28">IF(AND(OR('SDA Tool'!$D$15=Lists!$B$2, 'SDA Tool'!$D$15=Lists!$B$3,'SDA Tool'!$D$15=Lists!$B$4),'SDA Tool'!$D$14=Lists!$A$2), INDEX(Database!AG$2:AG$19,MATCH($A28&amp;$B28&amp;"IEA NZE",Database!$A$2:$A$19&amp;Database!$D$2:$D$19&amp;Database!$B$2:$B$19,)), INDEX(Database!AG$2:AG$19,MATCH($A28&amp;$B28&amp;'SDA Tool'!$D$14,Database!$A$2:$A$19&amp;Database!$D$2:$D$19&amp;Database!$B$2:$B$19,)))</f>
        <v>2.6800000000000004E-2</v>
      </c>
      <c r="AC28" s="532" cm="1">
        <f t="array" ref="AC28">IF(AND(OR('SDA Tool'!$D$15=Lists!$B$2, 'SDA Tool'!$D$15=Lists!$B$3,'SDA Tool'!$D$15=Lists!$B$4),'SDA Tool'!$D$14=Lists!$A$2), INDEX(Database!AH$2:AH$19,MATCH($A28&amp;$B28&amp;"IEA NZE",Database!$A$2:$A$19&amp;Database!$D$2:$D$19&amp;Database!$B$2:$B$19,)), INDEX(Database!AH$2:AH$19,MATCH($A28&amp;$B28&amp;'SDA Tool'!$D$14,Database!$A$2:$A$19&amp;Database!$D$2:$D$19&amp;Database!$B$2:$B$19,)))</f>
        <v>1.2899999999999995E-2</v>
      </c>
      <c r="AD28" s="532" cm="1">
        <f t="array" ref="AD28">IF(AND(OR('SDA Tool'!$D$15=Lists!$B$2, 'SDA Tool'!$D$15=Lists!$B$3,'SDA Tool'!$D$15=Lists!$B$4),'SDA Tool'!$D$14=Lists!$A$2), INDEX(Database!AI$2:AI$19,MATCH($A28&amp;$B28&amp;"IEA NZE",Database!$A$2:$A$19&amp;Database!$D$2:$D$19&amp;Database!$B$2:$B$19,)), INDEX(Database!AI$2:AI$19,MATCH($A28&amp;$B28&amp;'SDA Tool'!$D$14,Database!$A$2:$A$19&amp;Database!$D$2:$D$19&amp;Database!$B$2:$B$19,)))</f>
        <v>-1E-3</v>
      </c>
      <c r="AE28" s="532" cm="1">
        <f t="array" ref="AE28">IF(AND(OR('SDA Tool'!$D$15=Lists!$B$2, 'SDA Tool'!$D$15=Lists!$B$3,'SDA Tool'!$D$15=Lists!$B$4),'SDA Tool'!$D$14=Lists!$A$2), INDEX(Database!AJ$2:AJ$19,MATCH($A28&amp;$B28&amp;"IEA NZE",Database!$A$2:$A$19&amp;Database!$D$2:$D$19&amp;Database!$B$2:$B$19,)), INDEX(Database!AJ$2:AJ$19,MATCH($A28&amp;$B28&amp;'SDA Tool'!$D$14,Database!$A$2:$A$19&amp;Database!$D$2:$D$19&amp;Database!$B$2:$B$19,)))</f>
        <v>-1.4E-3</v>
      </c>
      <c r="AF28" s="532" cm="1">
        <f t="array" ref="AF28">IF(AND(OR('SDA Tool'!$D$15=Lists!$B$2, 'SDA Tool'!$D$15=Lists!$B$3,'SDA Tool'!$D$15=Lists!$B$4),'SDA Tool'!$D$14=Lists!$A$2), INDEX(Database!AK$2:AK$19,MATCH($A28&amp;$B28&amp;"IEA NZE",Database!$A$2:$A$19&amp;Database!$D$2:$D$19&amp;Database!$B$2:$B$19,)), INDEX(Database!AK$2:AK$19,MATCH($A28&amp;$B28&amp;'SDA Tool'!$D$14,Database!$A$2:$A$19&amp;Database!$D$2:$D$19&amp;Database!$B$2:$B$19,)))</f>
        <v>-1.8E-3</v>
      </c>
      <c r="AG28" s="532" cm="1">
        <f t="array" ref="AG28">IF(AND(OR('SDA Tool'!$D$15=Lists!$B$2, 'SDA Tool'!$D$15=Lists!$B$3,'SDA Tool'!$D$15=Lists!$B$4),'SDA Tool'!$D$14=Lists!$A$2), INDEX(Database!AL$2:AL$19,MATCH($A28&amp;$B28&amp;"IEA NZE",Database!$A$2:$A$19&amp;Database!$D$2:$D$19&amp;Database!$B$2:$B$19,)), INDEX(Database!AL$2:AL$19,MATCH($A28&amp;$B28&amp;'SDA Tool'!$D$14,Database!$A$2:$A$19&amp;Database!$D$2:$D$19&amp;Database!$B$2:$B$19,)))</f>
        <v>-2.2000000000000001E-3</v>
      </c>
      <c r="AH28" s="532" cm="1">
        <f t="array" ref="AH28">IF(AND(OR('SDA Tool'!$D$15=Lists!$B$2, 'SDA Tool'!$D$15=Lists!$B$3,'SDA Tool'!$D$15=Lists!$B$4),'SDA Tool'!$D$14=Lists!$A$2), INDEX(Database!AM$2:AM$19,MATCH($A28&amp;$B28&amp;"IEA NZE",Database!$A$2:$A$19&amp;Database!$D$2:$D$19&amp;Database!$B$2:$B$19,)), INDEX(Database!AM$2:AM$19,MATCH($A28&amp;$B28&amp;'SDA Tool'!$D$14,Database!$A$2:$A$19&amp;Database!$D$2:$D$19&amp;Database!$B$2:$B$19,)))</f>
        <v>-2.5999999999999999E-3</v>
      </c>
      <c r="AI28" s="532" cm="1">
        <f t="array" ref="AI28">IF(AND(OR('SDA Tool'!$D$15=Lists!$B$2, 'SDA Tool'!$D$15=Lists!$B$3,'SDA Tool'!$D$15=Lists!$B$4),'SDA Tool'!$D$14=Lists!$A$2), INDEX(Database!AN$2:AN$19,MATCH($A28&amp;$B28&amp;"IEA NZE",Database!$A$2:$A$19&amp;Database!$D$2:$D$19&amp;Database!$B$2:$B$19,)), INDEX(Database!AN$2:AN$19,MATCH($A28&amp;$B28&amp;'SDA Tool'!$D$14,Database!$A$2:$A$19&amp;Database!$D$2:$D$19&amp;Database!$B$2:$B$19,)))</f>
        <v>-3.0000000000000001E-3</v>
      </c>
      <c r="AJ28" s="532" cm="1">
        <f t="array" ref="AJ28">IF(AND(OR('SDA Tool'!$D$15=Lists!$B$2, 'SDA Tool'!$D$15=Lists!$B$3,'SDA Tool'!$D$15=Lists!$B$4),'SDA Tool'!$D$14=Lists!$A$2), INDEX(Database!AO$2:AO$19,MATCH($A28&amp;$B28&amp;"IEA NZE",Database!$A$2:$A$19&amp;Database!$D$2:$D$19&amp;Database!$B$2:$B$19,)), INDEX(Database!AO$2:AO$19,MATCH($A28&amp;$B28&amp;'SDA Tool'!$D$14,Database!$A$2:$A$19&amp;Database!$D$2:$D$19&amp;Database!$B$2:$B$19,)))</f>
        <v>-3.4000000000000002E-3</v>
      </c>
      <c r="AK28" s="532" cm="1">
        <f t="array" ref="AK28">IF(AND(OR('SDA Tool'!$D$15=Lists!$B$2, 'SDA Tool'!$D$15=Lists!$B$3,'SDA Tool'!$D$15=Lists!$B$4),'SDA Tool'!$D$14=Lists!$A$2), INDEX(Database!AP$2:AP$19,MATCH($A28&amp;$B28&amp;"IEA NZE",Database!$A$2:$A$19&amp;Database!$D$2:$D$19&amp;Database!$B$2:$B$19,)), INDEX(Database!AP$2:AP$19,MATCH($A28&amp;$B28&amp;'SDA Tool'!$D$14,Database!$A$2:$A$19&amp;Database!$D$2:$D$19&amp;Database!$B$2:$B$19,)))</f>
        <v>-3.8E-3</v>
      </c>
      <c r="AL28" s="532" cm="1">
        <f t="array" ref="AL28">IF(AND(OR('SDA Tool'!$D$15=Lists!$B$2, 'SDA Tool'!$D$15=Lists!$B$3,'SDA Tool'!$D$15=Lists!$B$4),'SDA Tool'!$D$14=Lists!$A$2), INDEX(Database!AQ$2:AQ$19,MATCH($A28&amp;$B28&amp;"IEA NZE",Database!$A$2:$A$19&amp;Database!$D$2:$D$19&amp;Database!$B$2:$B$19,)), INDEX(Database!AQ$2:AQ$19,MATCH($A28&amp;$B28&amp;'SDA Tool'!$D$14,Database!$A$2:$A$19&amp;Database!$D$2:$D$19&amp;Database!$B$2:$B$19,)))</f>
        <v>-4.2000000000000006E-3</v>
      </c>
      <c r="AM28" s="532" cm="1">
        <f t="array" ref="AM28">IF(AND(OR('SDA Tool'!$D$15=Lists!$B$2, 'SDA Tool'!$D$15=Lists!$B$3,'SDA Tool'!$D$15=Lists!$B$4),'SDA Tool'!$D$14=Lists!$A$2), INDEX(Database!AR$2:AR$19,MATCH($A28&amp;$B28&amp;"IEA NZE",Database!$A$2:$A$19&amp;Database!$D$2:$D$19&amp;Database!$B$2:$B$19,)), INDEX(Database!AR$2:AR$19,MATCH($A28&amp;$B28&amp;'SDA Tool'!$D$14,Database!$A$2:$A$19&amp;Database!$D$2:$D$19&amp;Database!$B$2:$B$19,)))</f>
        <v>-4.5999999999999999E-3</v>
      </c>
      <c r="AN28" s="532" cm="1">
        <f t="array" ref="AN28">IF(AND(OR('SDA Tool'!$D$15=Lists!$B$2, 'SDA Tool'!$D$15=Lists!$B$3,'SDA Tool'!$D$15=Lists!$B$4),'SDA Tool'!$D$14=Lists!$A$2), INDEX(Database!AS$2:AS$19,MATCH($A28&amp;$B28&amp;"IEA NZE",Database!$A$2:$A$19&amp;Database!$D$2:$D$19&amp;Database!$B$2:$B$19,)), INDEX(Database!AS$2:AS$19,MATCH($A28&amp;$B28&amp;'SDA Tool'!$D$14,Database!$A$2:$A$19&amp;Database!$D$2:$D$19&amp;Database!$B$2:$B$19,)))</f>
        <v>-5.0000000000000001E-3</v>
      </c>
      <c r="AO28" s="532" cm="1">
        <f t="array" ref="AO28">IF(AND(OR('SDA Tool'!$D$15=Lists!$B$2, 'SDA Tool'!$D$15=Lists!$B$3,'SDA Tool'!$D$15=Lists!$B$4),'SDA Tool'!$D$14=Lists!$A$2), INDEX(Database!AT$2:AT$19,MATCH($A28&amp;$B28&amp;"IEA NZE",Database!$A$2:$A$19&amp;Database!$D$2:$D$19&amp;Database!$B$2:$B$19,)), INDEX(Database!AT$2:AT$19,MATCH($A28&amp;$B28&amp;'SDA Tool'!$D$14,Database!$A$2:$A$19&amp;Database!$D$2:$D$19&amp;Database!$B$2:$B$19,)))</f>
        <v>0</v>
      </c>
      <c r="AP28" s="532" cm="1">
        <f t="array" ref="AP28">IF(AND(OR('SDA Tool'!$D$15=Lists!$B$2, 'SDA Tool'!$D$15=Lists!$B$3,'SDA Tool'!$D$15=Lists!$B$4),'SDA Tool'!$D$14=Lists!$A$2), INDEX(Database!AU$2:AU$19,MATCH($A28&amp;$B28&amp;"IEA NZE",Database!$A$2:$A$19&amp;Database!$D$2:$D$19&amp;Database!$B$2:$B$19,)), INDEX(Database!AU$2:AU$19,MATCH($A28&amp;$B28&amp;'SDA Tool'!$D$14,Database!$A$2:$A$19&amp;Database!$D$2:$D$19&amp;Database!$B$2:$B$19,)))</f>
        <v>0</v>
      </c>
      <c r="AQ28" s="532" cm="1">
        <f t="array" ref="AQ28">IF(AND(OR('SDA Tool'!$D$15=Lists!$B$2, 'SDA Tool'!$D$15=Lists!$B$3,'SDA Tool'!$D$15=Lists!$B$4),'SDA Tool'!$D$14=Lists!$A$2), INDEX(Database!AV$2:AV$19,MATCH($A28&amp;$B28&amp;"IEA NZE",Database!$A$2:$A$19&amp;Database!$D$2:$D$19&amp;Database!$B$2:$B$19,)), INDEX(Database!AV$2:AV$19,MATCH($A28&amp;$B28&amp;'SDA Tool'!$D$14,Database!$A$2:$A$19&amp;Database!$D$2:$D$19&amp;Database!$B$2:$B$19,)))</f>
        <v>0</v>
      </c>
      <c r="AR28" s="532" cm="1">
        <f t="array" ref="AR28">IF(AND(OR('SDA Tool'!$D$15=Lists!$B$2, 'SDA Tool'!$D$15=Lists!$B$3,'SDA Tool'!$D$15=Lists!$B$4),'SDA Tool'!$D$14=Lists!$A$2), INDEX(Database!AW$2:AW$19,MATCH($A28&amp;$B28&amp;"IEA NZE",Database!$A$2:$A$19&amp;Database!$D$2:$D$19&amp;Database!$B$2:$B$19,)), INDEX(Database!AW$2:AW$19,MATCH($A28&amp;$B28&amp;'SDA Tool'!$D$14,Database!$A$2:$A$19&amp;Database!$D$2:$D$19&amp;Database!$B$2:$B$19,)))</f>
        <v>0</v>
      </c>
      <c r="AS28" s="532" cm="1">
        <f t="array" ref="AS28">IF(AND(OR('SDA Tool'!$D$15=Lists!$B$2, 'SDA Tool'!$D$15=Lists!$B$3,'SDA Tool'!$D$15=Lists!$B$4),'SDA Tool'!$D$14=Lists!$A$2), INDEX(Database!AX$2:AX$19,MATCH($A28&amp;$B28&amp;"IEA NZE",Database!$A$2:$A$19&amp;Database!$D$2:$D$19&amp;Database!$B$2:$B$19,)), INDEX(Database!AX$2:AX$19,MATCH($A28&amp;$B28&amp;'SDA Tool'!$D$14,Database!$A$2:$A$19&amp;Database!$D$2:$D$19&amp;Database!$B$2:$B$19,)))</f>
        <v>0</v>
      </c>
      <c r="AT28" s="532" cm="1">
        <f t="array" ref="AT28">IF(AND(OR('SDA Tool'!$D$15=Lists!$B$2, 'SDA Tool'!$D$15=Lists!$B$3,'SDA Tool'!$D$15=Lists!$B$4),'SDA Tool'!$D$14=Lists!$A$2), INDEX(Database!AY$2:AY$19,MATCH($A28&amp;$B28&amp;"IEA NZE",Database!$A$2:$A$19&amp;Database!$D$2:$D$19&amp;Database!$B$2:$B$19,)), INDEX(Database!AY$2:AY$19,MATCH($A28&amp;$B28&amp;'SDA Tool'!$D$14,Database!$A$2:$A$19&amp;Database!$D$2:$D$19&amp;Database!$B$2:$B$19,)))</f>
        <v>0</v>
      </c>
      <c r="AU28" s="532" cm="1">
        <f t="array" ref="AU28">IF(AND(OR('SDA Tool'!$D$15=Lists!$B$2, 'SDA Tool'!$D$15=Lists!$B$3,'SDA Tool'!$D$15=Lists!$B$4),'SDA Tool'!$D$14=Lists!$A$2), INDEX(Database!AZ$2:AZ$19,MATCH($A28&amp;$B28&amp;"IEA NZE",Database!$A$2:$A$19&amp;Database!$D$2:$D$19&amp;Database!$B$2:$B$19,)), INDEX(Database!AZ$2:AZ$19,MATCH($A28&amp;$B28&amp;'SDA Tool'!$D$14,Database!$A$2:$A$19&amp;Database!$D$2:$D$19&amp;Database!$B$2:$B$19,)))</f>
        <v>0</v>
      </c>
      <c r="AV28" s="532" cm="1">
        <f t="array" ref="AV28">IF(AND(OR('SDA Tool'!$D$15=Lists!$B$2, 'SDA Tool'!$D$15=Lists!$B$3,'SDA Tool'!$D$15=Lists!$B$4),'SDA Tool'!$D$14=Lists!$A$2), INDEX(Database!BA$2:BA$19,MATCH($A28&amp;$B28&amp;"IEA NZE",Database!$A$2:$A$19&amp;Database!$D$2:$D$19&amp;Database!$B$2:$B$19,)), INDEX(Database!BA$2:BA$19,MATCH($A28&amp;$B28&amp;'SDA Tool'!$D$14,Database!$A$2:$A$19&amp;Database!$D$2:$D$19&amp;Database!$B$2:$B$19,)))</f>
        <v>0</v>
      </c>
      <c r="AW28" s="532" cm="1">
        <f t="array" ref="AW28">IF(AND(OR('SDA Tool'!$D$15=Lists!$B$2, 'SDA Tool'!$D$15=Lists!$B$3,'SDA Tool'!$D$15=Lists!$B$4),'SDA Tool'!$D$14=Lists!$A$2), INDEX(Database!BB$2:BB$19,MATCH($A28&amp;$B28&amp;"IEA NZE",Database!$A$2:$A$19&amp;Database!$D$2:$D$19&amp;Database!$B$2:$B$19,)), INDEX(Database!BB$2:BB$19,MATCH($A28&amp;$B28&amp;'SDA Tool'!$D$14,Database!$A$2:$A$19&amp;Database!$D$2:$D$19&amp;Database!$B$2:$B$19,)))</f>
        <v>0</v>
      </c>
      <c r="AX28" s="532" cm="1">
        <f t="array" ref="AX28">IF(AND(OR('SDA Tool'!$D$15=Lists!$B$2, 'SDA Tool'!$D$15=Lists!$B$3,'SDA Tool'!$D$15=Lists!$B$4),'SDA Tool'!$D$14=Lists!$A$2), INDEX(Database!BC$2:BC$19,MATCH($A28&amp;$B28&amp;"IEA NZE",Database!$A$2:$A$19&amp;Database!$D$2:$D$19&amp;Database!$B$2:$B$19,)), INDEX(Database!BC$2:BC$19,MATCH($A28&amp;$B28&amp;'SDA Tool'!$D$14,Database!$A$2:$A$19&amp;Database!$D$2:$D$19&amp;Database!$B$2:$B$19,)))</f>
        <v>0</v>
      </c>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c r="CC28" s="483"/>
      <c r="CD28" s="483"/>
      <c r="CE28" s="483"/>
      <c r="CF28" s="483"/>
      <c r="CG28" s="483"/>
      <c r="CH28" s="483"/>
      <c r="CI28" s="483"/>
      <c r="CJ28" s="483"/>
      <c r="CK28" s="483"/>
      <c r="CL28" s="483"/>
    </row>
    <row r="29" spans="1:90" s="516" customFormat="1" x14ac:dyDescent="0.25">
      <c r="A29" s="514" t="s">
        <v>146</v>
      </c>
      <c r="B29" s="514" t="s">
        <v>147</v>
      </c>
      <c r="C29" s="514" t="s">
        <v>148</v>
      </c>
      <c r="D29" s="533" cm="1">
        <f t="array" ref="D29">IF(AND(OR('SDA Tool'!$D$15=Lists!$B$2, 'SDA Tool'!$D$15=Lists!$B$3,'SDA Tool'!$D$15=Lists!$B$4),'SDA Tool'!$D$14=Lists!$A$2), INDEX(Database!I$2:I$19,MATCH($A28&amp;$B28&amp;"SBTi 1.5C",Database!$A$2:$A$19&amp;Database!$D$2:$D$19&amp;Database!$B$2:$B$19,)), INDEX(Database!I$2:I$19,MATCH($A28&amp;$B28&amp;'SDA Tool'!$D$14,Database!$A$2:$A$19&amp;Database!$D$2:$D$19&amp;Database!$B$2:$B$19,)))</f>
        <v>0.46411940604772289</v>
      </c>
      <c r="E29" s="533" cm="1">
        <f t="array" ref="E29">IF(AND(OR('SDA Tool'!$D$15=Lists!$B$2, 'SDA Tool'!$D$15=Lists!$B$3,'SDA Tool'!$D$15=Lists!$B$4),'SDA Tool'!$D$14=Lists!$A$2), INDEX(Database!J$2:J$19,MATCH($A28&amp;$B28&amp;"SBTi 1.5C",Database!$A$2:$A$19&amp;Database!$D$2:$D$19&amp;Database!$B$2:$B$19,)), INDEX(Database!J$2:J$19,MATCH($A28&amp;$B28&amp;'SDA Tool'!$D$14,Database!$A$2:$A$19&amp;Database!$D$2:$D$19&amp;Database!$B$2:$B$19,)))</f>
        <v>0.45548155007407654</v>
      </c>
      <c r="F29" s="533" cm="1">
        <f t="array" ref="F29">IF(AND(OR('SDA Tool'!$D$15=Lists!$B$2, 'SDA Tool'!$D$15=Lists!$B$3,'SDA Tool'!$D$15=Lists!$B$4),'SDA Tool'!$D$14=Lists!$A$2), INDEX(Database!K$2:K$19,MATCH($A28&amp;$B28&amp;"SBTi 1.5C",Database!$A$2:$A$19&amp;Database!$D$2:$D$19&amp;Database!$B$2:$B$19,)), INDEX(Database!K$2:K$19,MATCH($A28&amp;$B28&amp;'SDA Tool'!$D$14,Database!$A$2:$A$19&amp;Database!$D$2:$D$19&amp;Database!$B$2:$B$19,)))</f>
        <v>0.44712626052826709</v>
      </c>
      <c r="G29" s="533" cm="1">
        <f t="array" ref="G29">IF(AND(OR('SDA Tool'!$D$15=Lists!$B$2, 'SDA Tool'!$D$15=Lists!$B$3,'SDA Tool'!$D$15=Lists!$B$4),'SDA Tool'!$D$14=Lists!$A$2), INDEX(Database!L$2:L$19,MATCH($A28&amp;$B28&amp;"SBTi 1.5C",Database!$A$2:$A$19&amp;Database!$D$2:$D$19&amp;Database!$B$2:$B$19,)), INDEX(Database!L$2:L$19,MATCH($A28&amp;$B28&amp;'SDA Tool'!$D$14,Database!$A$2:$A$19&amp;Database!$D$2:$D$19&amp;Database!$B$2:$B$19,)))</f>
        <v>0.439039895334845</v>
      </c>
      <c r="H29" s="533" cm="1">
        <f t="array" ref="H29">IF(AND(OR('SDA Tool'!$D$15=Lists!$B$2, 'SDA Tool'!$D$15=Lists!$B$3,'SDA Tool'!$D$15=Lists!$B$4),'SDA Tool'!$D$14=Lists!$A$2), INDEX(Database!M$2:M$19,MATCH($A28&amp;$B28&amp;"SBTi 1.5C",Database!$A$2:$A$19&amp;Database!$D$2:$D$19&amp;Database!$B$2:$B$19,)), INDEX(Database!M$2:M$19,MATCH($A28&amp;$B28&amp;'SDA Tool'!$D$14,Database!$A$2:$A$19&amp;Database!$D$2:$D$19&amp;Database!$B$2:$B$19,)))</f>
        <v>0.4312096766806805</v>
      </c>
      <c r="I29" s="533" cm="1">
        <f t="array" ref="I29">IF(AND(OR('SDA Tool'!$D$15=Lists!$B$2, 'SDA Tool'!$D$15=Lists!$B$3,'SDA Tool'!$D$15=Lists!$B$4),'SDA Tool'!$D$14=Lists!$A$2), INDEX(Database!N$2:N$19,MATCH($A28&amp;$B28&amp;"SBTi 1.5C",Database!$A$2:$A$19&amp;Database!$D$2:$D$19&amp;Database!$B$2:$B$19,)), INDEX(Database!N$2:N$19,MATCH($A28&amp;$B28&amp;'SDA Tool'!$D$14,Database!$A$2:$A$19&amp;Database!$D$2:$D$19&amp;Database!$B$2:$B$19,)))</f>
        <v>0.42362362364038736</v>
      </c>
      <c r="J29" s="533" cm="1">
        <f t="array" ref="J29">IF(AND(OR('SDA Tool'!$D$15=Lists!$B$2, 'SDA Tool'!$D$15=Lists!$B$3,'SDA Tool'!$D$15=Lists!$B$4),'SDA Tool'!$D$14=Lists!$A$2), INDEX(Database!O$2:O$19,MATCH($A28&amp;$B28&amp;"SBTi 1.5C",Database!$A$2:$A$19&amp;Database!$D$2:$D$19&amp;Database!$B$2:$B$19,)), INDEX(Database!O$2:O$19,MATCH($A28&amp;$B28&amp;'SDA Tool'!$D$14,Database!$A$2:$A$19&amp;Database!$D$2:$D$19&amp;Database!$B$2:$B$19,)))</f>
        <v>0.41627049100766178</v>
      </c>
      <c r="K29" s="533" cm="1">
        <f t="array" ref="K29">IF(AND(OR('SDA Tool'!$D$15=Lists!$B$2, 'SDA Tool'!$D$15=Lists!$B$3,'SDA Tool'!$D$15=Lists!$B$4),'SDA Tool'!$D$14=Lists!$A$2), INDEX(Database!P$2:P$19,MATCH($A28&amp;$B28&amp;"SBTi 1.5C",Database!$A$2:$A$19&amp;Database!$D$2:$D$19&amp;Database!$B$2:$B$19,)), INDEX(Database!P$2:P$19,MATCH($A28&amp;$B28&amp;'SDA Tool'!$D$14,Database!$A$2:$A$19&amp;Database!$D$2:$D$19&amp;Database!$B$2:$B$19,)))</f>
        <v>0.38034191400170858</v>
      </c>
      <c r="L29" s="533" cm="1">
        <f t="array" ref="L29">IF(AND(OR('SDA Tool'!$D$15=Lists!$B$2, 'SDA Tool'!$D$15=Lists!$B$3,'SDA Tool'!$D$15=Lists!$B$4),'SDA Tool'!$D$14=Lists!$A$2), INDEX(Database!Q$2:Q$19,MATCH($A28&amp;$B28&amp;"SBTi 1.5C",Database!$A$2:$A$19&amp;Database!$D$2:$D$19&amp;Database!$B$2:$B$19,)), INDEX(Database!Q$2:Q$19,MATCH($A28&amp;$B28&amp;'SDA Tool'!$D$14,Database!$A$2:$A$19&amp;Database!$D$2:$D$19&amp;Database!$B$2:$B$19,)))</f>
        <v>0.34548361800583438</v>
      </c>
      <c r="M29" s="533" cm="1">
        <f t="array" ref="M29">IF(AND(OR('SDA Tool'!$D$15=Lists!$B$2, 'SDA Tool'!$D$15=Lists!$B$3,'SDA Tool'!$D$15=Lists!$B$4),'SDA Tool'!$D$14=Lists!$A$2), INDEX(Database!R$2:R$19,MATCH($A28&amp;$B28&amp;"SBTi 1.5C",Database!$A$2:$A$19&amp;Database!$D$2:$D$19&amp;Database!$B$2:$B$19,)), INDEX(Database!R$2:R$19,MATCH($A28&amp;$B28&amp;'SDA Tool'!$D$14,Database!$A$2:$A$19&amp;Database!$D$2:$D$19&amp;Database!$B$2:$B$19,)))</f>
        <v>0.31164848077694857</v>
      </c>
      <c r="N29" s="533" cm="1">
        <f t="array" ref="N29">IF(AND(OR('SDA Tool'!$D$15=Lists!$B$2, 'SDA Tool'!$D$15=Lists!$B$3,'SDA Tool'!$D$15=Lists!$B$4),'SDA Tool'!$D$14=Lists!$A$2), INDEX(Database!S$2:S$19,MATCH($A28&amp;$B28&amp;"SBTi 1.5C",Database!$A$2:$A$19&amp;Database!$D$2:$D$19&amp;Database!$B$2:$B$19,)), INDEX(Database!S$2:S$19,MATCH($A28&amp;$B28&amp;'SDA Tool'!$D$14,Database!$A$2:$A$19&amp;Database!$D$2:$D$19&amp;Database!$B$2:$B$19,)))</f>
        <v>0.27879210632052176</v>
      </c>
      <c r="O29" s="533" cm="1">
        <f t="array" ref="O29">IF(AND(OR('SDA Tool'!$D$15=Lists!$B$2, 'SDA Tool'!$D$15=Lists!$B$3,'SDA Tool'!$D$15=Lists!$B$4),'SDA Tool'!$D$14=Lists!$A$2), INDEX(Database!T$2:T$19,MATCH($A28&amp;$B28&amp;"SBTi 1.5C",Database!$A$2:$A$19&amp;Database!$D$2:$D$19&amp;Database!$B$2:$B$19,)), INDEX(Database!T$2:T$19,MATCH($A28&amp;$B28&amp;'SDA Tool'!$D$14,Database!$A$2:$A$19&amp;Database!$D$2:$D$19&amp;Database!$B$2:$B$19,)))</f>
        <v>0.24687263054333389</v>
      </c>
      <c r="P29" s="533" cm="1">
        <f t="array" ref="P29">IF(AND(OR('SDA Tool'!$D$15=Lists!$B$2, 'SDA Tool'!$D$15=Lists!$B$3,'SDA Tool'!$D$15=Lists!$B$4),'SDA Tool'!$D$14=Lists!$A$2), INDEX(Database!U$2:U$19,MATCH($A28&amp;$B28&amp;"SBTi 1.5C",Database!$A$2:$A$19&amp;Database!$D$2:$D$19&amp;Database!$B$2:$B$19,)), INDEX(Database!U$2:U$19,MATCH($A28&amp;$B28&amp;'SDA Tool'!$D$14,Database!$A$2:$A$19&amp;Database!$D$2:$D$19&amp;Database!$B$2:$B$19,)))</f>
        <v>0.21585054329790851</v>
      </c>
      <c r="Q29" s="533" cm="1">
        <f t="array" ref="Q29">IF(AND(OR('SDA Tool'!$D$15=Lists!$B$2, 'SDA Tool'!$D$15=Lists!$B$3,'SDA Tool'!$D$15=Lists!$B$4),'SDA Tool'!$D$14=Lists!$A$2), INDEX(Database!V$2:V$19,MATCH($A28&amp;$B28&amp;"SBTi 1.5C",Database!$A$2:$A$19&amp;Database!$D$2:$D$19&amp;Database!$B$2:$B$19,)), INDEX(Database!V$2:V$19,MATCH($A28&amp;$B28&amp;'SDA Tool'!$D$14,Database!$A$2:$A$19&amp;Database!$D$2:$D$19&amp;Database!$B$2:$B$19,)))</f>
        <v>0.1856885252281078</v>
      </c>
      <c r="R29" s="533" cm="1">
        <f t="array" ref="R29">IF(AND(OR('SDA Tool'!$D$15=Lists!$B$2, 'SDA Tool'!$D$15=Lists!$B$3,'SDA Tool'!$D$15=Lists!$B$4),'SDA Tool'!$D$14=Lists!$A$2), INDEX(Database!W$2:W$19,MATCH($A28&amp;$B28&amp;"SBTi 1.5C",Database!$A$2:$A$19&amp;Database!$D$2:$D$19&amp;Database!$B$2:$B$19,)), INDEX(Database!W$2:W$19,MATCH($A28&amp;$B28&amp;'SDA Tool'!$D$14,Database!$A$2:$A$19&amp;Database!$D$2:$D$19&amp;Database!$B$2:$B$19,)))</f>
        <v>0.15635129799925593</v>
      </c>
      <c r="S29" s="533" cm="1">
        <f t="array" ref="S29">IF(AND(OR('SDA Tool'!$D$15=Lists!$B$2, 'SDA Tool'!$D$15=Lists!$B$3,'SDA Tool'!$D$15=Lists!$B$4),'SDA Tool'!$D$14=Lists!$A$2), INDEX(Database!X$2:X$19,MATCH($A28&amp;$B28&amp;"SBTi 1.5C",Database!$A$2:$A$19&amp;Database!$D$2:$D$19&amp;Database!$B$2:$B$19,)), INDEX(Database!X$2:X$19,MATCH($A28&amp;$B28&amp;'SDA Tool'!$D$14,Database!$A$2:$A$19&amp;Database!$D$2:$D$19&amp;Database!$B$2:$B$19,)))</f>
        <v>0.12780548664907199</v>
      </c>
      <c r="T29" s="533" cm="1">
        <f t="array" ref="T29">IF(AND(OR('SDA Tool'!$D$15=Lists!$B$2, 'SDA Tool'!$D$15=Lists!$B$3,'SDA Tool'!$D$15=Lists!$B$4),'SDA Tool'!$D$14=Lists!$A$2), INDEX(Database!Y$2:Y$19,MATCH($A28&amp;$B28&amp;"SBTi 1.5C",Database!$A$2:$A$19&amp;Database!$D$2:$D$19&amp;Database!$B$2:$B$19,)), INDEX(Database!Y$2:Y$19,MATCH($A28&amp;$B28&amp;'SDA Tool'!$D$14,Database!$A$2:$A$19&amp;Database!$D$2:$D$19&amp;Database!$B$2:$B$19,)))</f>
        <v>0.10001949293022003</v>
      </c>
      <c r="U29" s="533" cm="1">
        <f t="array" ref="U29">IF(AND(OR('SDA Tool'!$D$15=Lists!$B$2, 'SDA Tool'!$D$15=Lists!$B$3,'SDA Tool'!$D$15=Lists!$B$4),'SDA Tool'!$D$14=Lists!$A$2), INDEX(Database!Z$2:Z$19,MATCH($A28&amp;$B28&amp;"SBTi 1.5C",Database!$A$2:$A$19&amp;Database!$D$2:$D$19&amp;Database!$B$2:$B$19,)), INDEX(Database!Z$2:Z$19,MATCH($A28&amp;$B28&amp;'SDA Tool'!$D$14,Database!$A$2:$A$19&amp;Database!$D$2:$D$19&amp;Database!$B$2:$B$19,)))</f>
        <v>8.9992102887630362E-2</v>
      </c>
      <c r="V29" s="533" cm="1">
        <f t="array" ref="V29">IF(AND(OR('SDA Tool'!$D$15=Lists!$B$2, 'SDA Tool'!$D$15=Lists!$B$3,'SDA Tool'!$D$15=Lists!$B$4),'SDA Tool'!$D$14=Lists!$A$2), INDEX(Database!AA$2:AA$19,MATCH($A28&amp;$B28&amp;"SBTi 1.5C",Database!$A$2:$A$19&amp;Database!$D$2:$D$19&amp;Database!$B$2:$B$19,)), INDEX(Database!AA$2:AA$19,MATCH($A28&amp;$B28&amp;'SDA Tool'!$D$14,Database!$A$2:$A$19&amp;Database!$D$2:$D$19&amp;Database!$B$2:$B$19,)))</f>
        <v>8.0461118901594963E-2</v>
      </c>
      <c r="W29" s="533" cm="1">
        <f t="array" ref="W29">IF(AND(OR('SDA Tool'!$D$15=Lists!$B$2, 'SDA Tool'!$D$15=Lists!$B$3,'SDA Tool'!$D$15=Lists!$B$4),'SDA Tool'!$D$14=Lists!$A$2), INDEX(Database!AB$2:AB$19,MATCH($A28&amp;$B28&amp;"SBTi 1.5C",Database!$A$2:$A$19&amp;Database!$D$2:$D$19&amp;Database!$B$2:$B$19,)), INDEX(Database!AB$2:AB$19,MATCH($A28&amp;$B28&amp;'SDA Tool'!$D$14,Database!$A$2:$A$19&amp;Database!$D$2:$D$19&amp;Database!$B$2:$B$19,)))</f>
        <v>7.139056947568255E-2</v>
      </c>
      <c r="X29" s="533" cm="1">
        <f t="array" ref="X29">IF(AND(OR('SDA Tool'!$D$15=Lists!$B$2, 'SDA Tool'!$D$15=Lists!$B$3,'SDA Tool'!$D$15=Lists!$B$4),'SDA Tool'!$D$14=Lists!$A$2), INDEX(Database!AC$2:AC$19,MATCH($A28&amp;$B28&amp;"SBTi 1.5C",Database!$A$2:$A$19&amp;Database!$D$2:$D$19&amp;Database!$B$2:$B$19,)), INDEX(Database!AC$2:AC$19,MATCH($A28&amp;$B28&amp;'SDA Tool'!$D$14,Database!$A$2:$A$19&amp;Database!$D$2:$D$19&amp;Database!$B$2:$B$19,)))</f>
        <v>6.274787665482795E-2</v>
      </c>
      <c r="Y29" s="533" cm="1">
        <f t="array" ref="Y29">IF(AND(OR('SDA Tool'!$D$15=Lists!$B$2, 'SDA Tool'!$D$15=Lists!$B$3,'SDA Tool'!$D$15=Lists!$B$4),'SDA Tool'!$D$14=Lists!$A$2), INDEX(Database!AD$2:AD$19,MATCH($A28&amp;$B28&amp;"SBTi 1.5C",Database!$A$2:$A$19&amp;Database!$D$2:$D$19&amp;Database!$B$2:$B$19,)), INDEX(Database!AD$2:AD$19,MATCH($A28&amp;$B28&amp;'SDA Tool'!$D$14,Database!$A$2:$A$19&amp;Database!$D$2:$D$19&amp;Database!$B$2:$B$19,)))</f>
        <v>5.450346506389743E-2</v>
      </c>
      <c r="Z29" s="533" cm="1">
        <f t="array" ref="Z29">IF(AND(OR('SDA Tool'!$D$15=Lists!$B$2, 'SDA Tool'!$D$15=Lists!$B$3,'SDA Tool'!$D$15=Lists!$B$4),'SDA Tool'!$D$14=Lists!$A$2), INDEX(Database!AE$2:AE$19,MATCH($A28&amp;$B28&amp;"SBTi 1.5C",Database!$A$2:$A$19&amp;Database!$D$2:$D$19&amp;Database!$B$2:$B$19,)), INDEX(Database!AE$2:AE$19,MATCH($A28&amp;$B28&amp;'SDA Tool'!$D$14,Database!$A$2:$A$19&amp;Database!$D$2:$D$19&amp;Database!$B$2:$B$19,)))</f>
        <v>4.663042377894154E-2</v>
      </c>
      <c r="AA29" s="533" cm="1">
        <f t="array" ref="AA29">IF(AND(OR('SDA Tool'!$D$15=Lists!$B$2, 'SDA Tool'!$D$15=Lists!$B$3,'SDA Tool'!$D$15=Lists!$B$4),'SDA Tool'!$D$14=Lists!$A$2), INDEX(Database!AF$2:AF$19,MATCH($A28&amp;$B28&amp;"SBTi 1.5C",Database!$A$2:$A$19&amp;Database!$D$2:$D$19&amp;Database!$B$2:$B$19,)), INDEX(Database!AF$2:AF$19,MATCH($A28&amp;$B28&amp;'SDA Tool'!$D$14,Database!$A$2:$A$19&amp;Database!$D$2:$D$19&amp;Database!$B$2:$B$19,)))</f>
        <v>3.9104212885114273E-2</v>
      </c>
      <c r="AB29" s="533" cm="1">
        <f t="array" ref="AB29">IF(AND(OR('SDA Tool'!$D$15=Lists!$B$2, 'SDA Tool'!$D$15=Lists!$B$3,'SDA Tool'!$D$15=Lists!$B$4),'SDA Tool'!$D$14=Lists!$A$2), INDEX(Database!AG$2:AG$19,MATCH($A28&amp;$B28&amp;"SBTi 1.5C",Database!$A$2:$A$19&amp;Database!$D$2:$D$19&amp;Database!$B$2:$B$19,)), INDEX(Database!AG$2:AG$19,MATCH($A28&amp;$B28&amp;'SDA Tool'!$D$14,Database!$A$2:$A$19&amp;Database!$D$2:$D$19&amp;Database!$B$2:$B$19,)))</f>
        <v>3.1902407979729472E-2</v>
      </c>
      <c r="AC29" s="533" cm="1">
        <f t="array" ref="AC29">IF(AND(OR('SDA Tool'!$D$15=Lists!$B$2, 'SDA Tool'!$D$15=Lists!$B$3,'SDA Tool'!$D$15=Lists!$B$4),'SDA Tool'!$D$14=Lists!$A$2), INDEX(Database!AH$2:AH$19,MATCH($A28&amp;$B28&amp;"SBTi 1.5C",Database!$A$2:$A$19&amp;Database!$D$2:$D$19&amp;Database!$B$2:$B$19,)), INDEX(Database!AH$2:AH$19,MATCH($A28&amp;$B28&amp;'SDA Tool'!$D$14,Database!$A$2:$A$19&amp;Database!$D$2:$D$19&amp;Database!$B$2:$B$19,)))</f>
        <v>2.5004477016736547E-2</v>
      </c>
      <c r="AD29" s="533" cm="1">
        <f t="array" ref="AD29">IF(AND(OR('SDA Tool'!$D$15=Lists!$B$2, 'SDA Tool'!$D$15=Lists!$B$3,'SDA Tool'!$D$15=Lists!$B$4),'SDA Tool'!$D$14=Lists!$A$2), INDEX(Database!AI$2:AI$19,MATCH($A28&amp;$B28&amp;"SBTi 1.5C",Database!$A$2:$A$19&amp;Database!$D$2:$D$19&amp;Database!$B$2:$B$19,)), INDEX(Database!AI$2:AI$19,MATCH($A28&amp;$B28&amp;'SDA Tool'!$D$14,Database!$A$2:$A$19&amp;Database!$D$2:$D$19&amp;Database!$B$2:$B$19,)))</f>
        <v>1.8391584815132048E-2</v>
      </c>
      <c r="AE29" s="533" cm="1">
        <f t="array" ref="AE29">IF(AND(OR('SDA Tool'!$D$15=Lists!$B$2, 'SDA Tool'!$D$15=Lists!$B$3,'SDA Tool'!$D$15=Lists!$B$4),'SDA Tool'!$D$14=Lists!$A$2), INDEX(Database!AJ$2:AJ$19,MATCH($A28&amp;$B28&amp;"SBTi 1.5C",Database!$A$2:$A$19&amp;Database!$D$2:$D$19&amp;Database!$B$2:$B$19,)), INDEX(Database!AJ$2:AJ$19,MATCH($A28&amp;$B28&amp;'SDA Tool'!$D$14,Database!$A$2:$A$19&amp;Database!$D$2:$D$19&amp;Database!$B$2:$B$19,)))</f>
        <v>1.6345941942309084E-2</v>
      </c>
      <c r="AF29" s="533" cm="1">
        <f t="array" ref="AF29">IF(AND(OR('SDA Tool'!$D$15=Lists!$B$2, 'SDA Tool'!$D$15=Lists!$B$3,'SDA Tool'!$D$15=Lists!$B$4),'SDA Tool'!$D$14=Lists!$A$2), INDEX(Database!AK$2:AK$19,MATCH($A28&amp;$B28&amp;"SBTi 1.5C",Database!$A$2:$A$19&amp;Database!$D$2:$D$19&amp;Database!$B$2:$B$19,)), INDEX(Database!AK$2:AK$19,MATCH($A28&amp;$B28&amp;'SDA Tool'!$D$14,Database!$A$2:$A$19&amp;Database!$D$2:$D$19&amp;Database!$B$2:$B$19,)))</f>
        <v>1.4364751563825984E-2</v>
      </c>
      <c r="AG29" s="533" cm="1">
        <f t="array" ref="AG29">IF(AND(OR('SDA Tool'!$D$15=Lists!$B$2, 'SDA Tool'!$D$15=Lists!$B$3,'SDA Tool'!$D$15=Lists!$B$4),'SDA Tool'!$D$14=Lists!$A$2), INDEX(Database!AL$2:AL$19,MATCH($A28&amp;$B28&amp;"SBTi 1.5C",Database!$A$2:$A$19&amp;Database!$D$2:$D$19&amp;Database!$B$2:$B$19,)), INDEX(Database!AL$2:AL$19,MATCH($A28&amp;$B28&amp;'SDA Tool'!$D$14,Database!$A$2:$A$19&amp;Database!$D$2:$D$19&amp;Database!$B$2:$B$19,)))</f>
        <v>1.2445014844972645E-2</v>
      </c>
      <c r="AH29" s="533" cm="1">
        <f t="array" ref="AH29">IF(AND(OR('SDA Tool'!$D$15=Lists!$B$2, 'SDA Tool'!$D$15=Lists!$B$3,'SDA Tool'!$D$15=Lists!$B$4),'SDA Tool'!$D$14=Lists!$A$2), INDEX(Database!AM$2:AM$19,MATCH($A28&amp;$B28&amp;"SBTi 1.5C",Database!$A$2:$A$19&amp;Database!$D$2:$D$19&amp;Database!$B$2:$B$19,)), INDEX(Database!AM$2:AM$19,MATCH($A28&amp;$B28&amp;'SDA Tool'!$D$14,Database!$A$2:$A$19&amp;Database!$D$2:$D$19&amp;Database!$B$2:$B$19,)))</f>
        <v>1.058391614880365E-2</v>
      </c>
      <c r="AI29" s="533" cm="1">
        <f t="array" ref="AI29">IF(AND(OR('SDA Tool'!$D$15=Lists!$B$2, 'SDA Tool'!$D$15=Lists!$B$3,'SDA Tool'!$D$15=Lists!$B$4),'SDA Tool'!$D$14=Lists!$A$2), INDEX(Database!AN$2:AN$19,MATCH($A28&amp;$B28&amp;"SBTi 1.5C",Database!$A$2:$A$19&amp;Database!$D$2:$D$19&amp;Database!$B$2:$B$19,)), INDEX(Database!AN$2:AN$19,MATCH($A28&amp;$B28&amp;'SDA Tool'!$D$14,Database!$A$2:$A$19&amp;Database!$D$2:$D$19&amp;Database!$B$2:$B$19,)))</f>
        <v>8.7788092572163023E-3</v>
      </c>
      <c r="AJ29" s="533" cm="1">
        <f t="array" ref="AJ29">IF(AND(OR('SDA Tool'!$D$15=Lists!$B$2, 'SDA Tool'!$D$15=Lists!$B$3,'SDA Tool'!$D$15=Lists!$B$4),'SDA Tool'!$D$14=Lists!$A$2), INDEX(Database!AO$2:AO$19,MATCH($A28&amp;$B28&amp;"SBTi 1.5C",Database!$A$2:$A$19&amp;Database!$D$2:$D$19&amp;Database!$B$2:$B$19,)), INDEX(Database!AO$2:AO$19,MATCH($A28&amp;$B28&amp;'SDA Tool'!$D$14,Database!$A$2:$A$19&amp;Database!$D$2:$D$19&amp;Database!$B$2:$B$19,)))</f>
        <v>7.0272048172293862E-3</v>
      </c>
      <c r="AK29" s="533" cm="1">
        <f t="array" ref="AK29">IF(AND(OR('SDA Tool'!$D$15=Lists!$B$2, 'SDA Tool'!$D$15=Lists!$B$3,'SDA Tool'!$D$15=Lists!$B$4),'SDA Tool'!$D$14=Lists!$A$2), INDEX(Database!AP$2:AP$19,MATCH($A28&amp;$B28&amp;"SBTi 1.5C",Database!$A$2:$A$19&amp;Database!$D$2:$D$19&amp;Database!$B$2:$B$19,)), INDEX(Database!AP$2:AP$19,MATCH($A28&amp;$B28&amp;'SDA Tool'!$D$14,Database!$A$2:$A$19&amp;Database!$D$2:$D$19&amp;Database!$B$2:$B$19,)))</f>
        <v>5.3267588872187134E-3</v>
      </c>
      <c r="AL29" s="533" cm="1">
        <f t="array" ref="AL29">IF(AND(OR('SDA Tool'!$D$15=Lists!$B$2, 'SDA Tool'!$D$15=Lists!$B$3,'SDA Tool'!$D$15=Lists!$B$4),'SDA Tool'!$D$14=Lists!$A$2), INDEX(Database!AQ$2:AQ$19,MATCH($A28&amp;$B28&amp;"SBTi 1.5C",Database!$A$2:$A$19&amp;Database!$D$2:$D$19&amp;Database!$B$2:$B$19,)), INDEX(Database!AQ$2:AQ$19,MATCH($A28&amp;$B28&amp;'SDA Tool'!$D$14,Database!$A$2:$A$19&amp;Database!$D$2:$D$19&amp;Database!$B$2:$B$19,)))</f>
        <v>3.6752624722865995E-3</v>
      </c>
      <c r="AM29" s="533" cm="1">
        <f t="array" ref="AM29">IF(AND(OR('SDA Tool'!$D$15=Lists!$B$2, 'SDA Tool'!$D$15=Lists!$B$3,'SDA Tool'!$D$15=Lists!$B$4),'SDA Tool'!$D$14=Lists!$A$2), INDEX(Database!AR$2:AR$19,MATCH($A28&amp;$B28&amp;"SBTi 1.5C",Database!$A$2:$A$19&amp;Database!$D$2:$D$19&amp;Database!$B$2:$B$19,)), INDEX(Database!AR$2:AR$19,MATCH($A28&amp;$B28&amp;'SDA Tool'!$D$14,Database!$A$2:$A$19&amp;Database!$D$2:$D$19&amp;Database!$B$2:$B$19,)))</f>
        <v>2.0706319505218534E-3</v>
      </c>
      <c r="AN29" s="533" cm="1">
        <f t="array" ref="AN29">IF(AND(OR('SDA Tool'!$D$15=Lists!$B$2, 'SDA Tool'!$D$15=Lists!$B$3,'SDA Tool'!$D$15=Lists!$B$4),'SDA Tool'!$D$14=Lists!$A$2), INDEX(Database!AS$2:AS$19,MATCH($A28&amp;$B28&amp;"SBTi 1.5C",Database!$A$2:$A$19&amp;Database!$D$2:$D$19&amp;Database!$B$2:$B$19,)), INDEX(Database!AS$2:AS$19,MATCH($A28&amp;$B28&amp;'SDA Tool'!$D$14,Database!$A$2:$A$19&amp;Database!$D$2:$D$19&amp;Database!$B$2:$B$19,)))</f>
        <v>5.1090030290309703E-4</v>
      </c>
      <c r="AO29" s="533" cm="1">
        <f t="array" ref="AO29">IF(AND(OR('SDA Tool'!$D$15=Lists!$B$2, 'SDA Tool'!$D$15=Lists!$B$3,'SDA Tool'!$D$15=Lists!$B$4),'SDA Tool'!$D$14=Lists!$A$2), INDEX(Database!AT$2:AT$19,MATCH($A28&amp;$B28&amp;"SBTi 1.5C",Database!$A$2:$A$19&amp;Database!$D$2:$D$19&amp;Database!$B$2:$B$19,)), INDEX(Database!AT$2:AT$19,MATCH($A28&amp;$B28&amp;'SDA Tool'!$D$14,Database!$A$2:$A$19&amp;Database!$D$2:$D$19&amp;Database!$B$2:$B$19,)))</f>
        <v>4.6122727589172118E-4</v>
      </c>
      <c r="AP29" s="533" cm="1">
        <f t="array" ref="AP29">IF(AND(OR('SDA Tool'!$D$15=Lists!$B$2, 'SDA Tool'!$D$15=Lists!$B$3,'SDA Tool'!$D$15=Lists!$B$4),'SDA Tool'!$D$14=Lists!$A$2), INDEX(Database!AU$2:AU$19,MATCH($A28&amp;$B28&amp;"SBTi 1.5C",Database!$A$2:$A$19&amp;Database!$D$2:$D$19&amp;Database!$B$2:$B$19,)), INDEX(Database!AU$2:AU$19,MATCH($A28&amp;$B28&amp;'SDA Tool'!$D$14,Database!$A$2:$A$19&amp;Database!$D$2:$D$19&amp;Database!$B$2:$B$19,)))</f>
        <v>4.1262020288786801E-4</v>
      </c>
      <c r="AQ29" s="533" cm="1">
        <f t="array" ref="AQ29">IF(AND(OR('SDA Tool'!$D$15=Lists!$B$2, 'SDA Tool'!$D$15=Lists!$B$3,'SDA Tool'!$D$15=Lists!$B$4),'SDA Tool'!$D$14=Lists!$A$2), INDEX(Database!AV$2:AV$19,MATCH($A28&amp;$B28&amp;"SBTi 1.5C",Database!$A$2:$A$19&amp;Database!$D$2:$D$19&amp;Database!$B$2:$B$19,)), INDEX(Database!AV$2:AV$19,MATCH($A28&amp;$B28&amp;'SDA Tool'!$D$14,Database!$A$2:$A$19&amp;Database!$D$2:$D$19&amp;Database!$B$2:$B$19,)))</f>
        <v>3.6504513602110636E-4</v>
      </c>
      <c r="AR29" s="533" cm="1">
        <f t="array" ref="AR29">IF(AND(OR('SDA Tool'!$D$15=Lists!$B$2, 'SDA Tool'!$D$15=Lists!$B$3,'SDA Tool'!$D$15=Lists!$B$4),'SDA Tool'!$D$14=Lists!$A$2), INDEX(Database!AW$2:AW$19,MATCH($A28&amp;$B28&amp;"SBTi 1.5C",Database!$A$2:$A$19&amp;Database!$D$2:$D$19&amp;Database!$B$2:$B$19,)), INDEX(Database!AW$2:AW$19,MATCH($A28&amp;$B28&amp;'SDA Tool'!$D$14,Database!$A$2:$A$19&amp;Database!$D$2:$D$19&amp;Database!$B$2:$B$19,)))</f>
        <v>3.1846955381419805E-4</v>
      </c>
      <c r="AS29" s="533" cm="1">
        <f t="array" ref="AS29">IF(AND(OR('SDA Tool'!$D$15=Lists!$B$2, 'SDA Tool'!$D$15=Lists!$B$3,'SDA Tool'!$D$15=Lists!$B$4),'SDA Tool'!$D$14=Lists!$A$2), INDEX(Database!AX$2:AX$19,MATCH($A28&amp;$B28&amp;"SBTi 1.5C",Database!$A$2:$A$19&amp;Database!$D$2:$D$19&amp;Database!$B$2:$B$19,)), INDEX(Database!AX$2:AX$19,MATCH($A28&amp;$B28&amp;'SDA Tool'!$D$14,Database!$A$2:$A$19&amp;Database!$D$2:$D$19&amp;Database!$B$2:$B$19,)))</f>
        <v>2.7286228704560627E-4</v>
      </c>
      <c r="AT29" s="533" cm="1">
        <f t="array" ref="AT29">IF(AND(OR('SDA Tool'!$D$15=Lists!$B$2, 'SDA Tool'!$D$15=Lists!$B$3,'SDA Tool'!$D$15=Lists!$B$4),'SDA Tool'!$D$14=Lists!$A$2), INDEX(Database!AY$2:AY$19,MATCH($A28&amp;$B28&amp;"SBTi 1.5C",Database!$A$2:$A$19&amp;Database!$D$2:$D$19&amp;Database!$B$2:$B$19,)), INDEX(Database!AY$2:AY$19,MATCH($A28&amp;$B28&amp;'SDA Tool'!$D$14,Database!$A$2:$A$19&amp;Database!$D$2:$D$19&amp;Database!$B$2:$B$19,)))</f>
        <v>2.2819344918845739E-4</v>
      </c>
      <c r="AU29" s="533" cm="1">
        <f t="array" ref="AU29">IF(AND(OR('SDA Tool'!$D$15=Lists!$B$2, 'SDA Tool'!$D$15=Lists!$B$3,'SDA Tool'!$D$15=Lists!$B$4),'SDA Tool'!$D$14=Lists!$A$2), INDEX(Database!AZ$2:AZ$19,MATCH($A28&amp;$B28&amp;"SBTi 1.5C",Database!$A$2:$A$19&amp;Database!$D$2:$D$19&amp;Database!$B$2:$B$19,)), INDEX(Database!AZ$2:AZ$19,MATCH($A28&amp;$B28&amp;'SDA Tool'!$D$14,Database!$A$2:$A$19&amp;Database!$D$2:$D$19&amp;Database!$B$2:$B$19,)))</f>
        <v>1.8443437109967264E-4</v>
      </c>
      <c r="AV29" s="533" cm="1">
        <f t="array" ref="AV29">IF(AND(OR('SDA Tool'!$D$15=Lists!$B$2, 'SDA Tool'!$D$15=Lists!$B$3,'SDA Tool'!$D$15=Lists!$B$4),'SDA Tool'!$D$14=Lists!$A$2), INDEX(Database!BA$2:BA$19,MATCH($A28&amp;$B28&amp;"SBTi 1.5C",Database!$A$2:$A$19&amp;Database!$D$2:$D$19&amp;Database!$B$2:$B$19,)), INDEX(Database!BA$2:BA$19,MATCH($A28&amp;$B28&amp;'SDA Tool'!$D$14,Database!$A$2:$A$19&amp;Database!$D$2:$D$19&amp;Database!$B$2:$B$19,)))</f>
        <v>1.4155753965940484E-4</v>
      </c>
      <c r="AW29" s="533" cm="1">
        <f t="array" ref="AW29">IF(AND(OR('SDA Tool'!$D$15=Lists!$B$2, 'SDA Tool'!$D$15=Lists!$B$3,'SDA Tool'!$D$15=Lists!$B$4),'SDA Tool'!$D$14=Lists!$A$2), INDEX(Database!BB$2:BB$19,MATCH($A28&amp;$B28&amp;"SBTi 1.5C",Database!$A$2:$A$19&amp;Database!$D$2:$D$19&amp;Database!$B$2:$B$19,)), INDEX(Database!BB$2:BB$19,MATCH($A28&amp;$B28&amp;'SDA Tool'!$D$14,Database!$A$2:$A$19&amp;Database!$D$2:$D$19&amp;Database!$B$2:$B$19,)))</f>
        <v>9.9536540084780897E-5</v>
      </c>
      <c r="AX29" s="533" cm="1">
        <f t="array" ref="AX29">IF(AND(OR('SDA Tool'!$D$15=Lists!$B$2, 'SDA Tool'!$D$15=Lists!$B$3,'SDA Tool'!$D$15=Lists!$B$4),'SDA Tool'!$D$14=Lists!$A$2), INDEX(Database!BC$2:BC$19,MATCH($A28&amp;$B28&amp;"SBTi 1.5C",Database!$A$2:$A$19&amp;Database!$D$2:$D$19&amp;Database!$B$2:$B$19,)), INDEX(Database!BC$2:BC$19,MATCH($A28&amp;$B28&amp;'SDA Tool'!$D$14,Database!$A$2:$A$19&amp;Database!$D$2:$D$19&amp;Database!$B$2:$B$19,)))</f>
        <v>5.8346001663812297E-5</v>
      </c>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row>
    <row r="30" spans="1:90" x14ac:dyDescent="0.25">
      <c r="D30" s="517">
        <f>(D28-D29)/D28</f>
        <v>0.18863782783685384</v>
      </c>
      <c r="E30" s="517">
        <f t="shared" ref="E30:AN30" si="7">(E28-E29)/E28</f>
        <v>0.16621165653360043</v>
      </c>
      <c r="F30" s="517">
        <f t="shared" si="7"/>
        <v>0.14245034476074678</v>
      </c>
      <c r="G30" s="517">
        <f t="shared" si="7"/>
        <v>0.11722882170596673</v>
      </c>
      <c r="H30" s="517">
        <f t="shared" si="7"/>
        <v>9.040604045144042E-2</v>
      </c>
      <c r="I30" s="517">
        <f t="shared" si="7"/>
        <v>9.4821317007719369E-2</v>
      </c>
      <c r="J30" s="517">
        <f t="shared" si="7"/>
        <v>4.9610751124059861E-2</v>
      </c>
      <c r="K30" s="517">
        <f t="shared" si="7"/>
        <v>6.7789426466400599E-2</v>
      </c>
      <c r="L30" s="517">
        <f t="shared" si="7"/>
        <v>8.6022174587739739E-2</v>
      </c>
      <c r="M30" s="517">
        <f t="shared" si="7"/>
        <v>0.10445838857198696</v>
      </c>
      <c r="N30" s="517">
        <f t="shared" si="7"/>
        <v>0.12329526314301335</v>
      </c>
      <c r="O30" s="517">
        <f t="shared" si="7"/>
        <v>0.14280336616897965</v>
      </c>
      <c r="P30" s="517">
        <f t="shared" si="7"/>
        <v>0.16336998721740889</v>
      </c>
      <c r="Q30" s="517">
        <f t="shared" si="7"/>
        <v>0.18557664373636931</v>
      </c>
      <c r="R30" s="517">
        <f t="shared" si="7"/>
        <v>0.21034697980173778</v>
      </c>
      <c r="S30" s="517">
        <f t="shared" si="7"/>
        <v>0.23925305566028571</v>
      </c>
      <c r="T30" s="517">
        <f t="shared" si="7"/>
        <v>0.27522106572304333</v>
      </c>
      <c r="U30" s="517">
        <f t="shared" si="7"/>
        <v>0.27484203958396169</v>
      </c>
      <c r="V30" s="517">
        <f t="shared" si="7"/>
        <v>0.26986280488570819</v>
      </c>
      <c r="W30" s="517">
        <f t="shared" si="7"/>
        <v>0.25866490679457382</v>
      </c>
      <c r="X30" s="517">
        <f t="shared" si="7"/>
        <v>0.23849664253849576</v>
      </c>
      <c r="Y30" s="517">
        <f t="shared" si="7"/>
        <v>0.20432897716938064</v>
      </c>
      <c r="Z30" s="517">
        <f t="shared" si="7"/>
        <v>0.14596293445162029</v>
      </c>
      <c r="AA30" s="517">
        <f t="shared" si="7"/>
        <v>3.9208528621270937E-2</v>
      </c>
      <c r="AB30" s="517">
        <f t="shared" si="7"/>
        <v>-0.19038835745259203</v>
      </c>
      <c r="AC30" s="517">
        <f t="shared" si="7"/>
        <v>-0.93833155168500437</v>
      </c>
      <c r="AD30" s="517">
        <f t="shared" si="7"/>
        <v>19.391584815132049</v>
      </c>
      <c r="AE30" s="517">
        <f t="shared" si="7"/>
        <v>12.675672815935059</v>
      </c>
      <c r="AF30" s="517">
        <f t="shared" si="7"/>
        <v>8.98041753545888</v>
      </c>
      <c r="AG30" s="517">
        <f t="shared" si="7"/>
        <v>6.6568249295330197</v>
      </c>
      <c r="AH30" s="517">
        <f t="shared" si="7"/>
        <v>5.0707369803090963</v>
      </c>
      <c r="AI30" s="517">
        <f t="shared" si="7"/>
        <v>3.926269752405434</v>
      </c>
      <c r="AJ30" s="517">
        <f t="shared" si="7"/>
        <v>3.0668249462439374</v>
      </c>
      <c r="AK30" s="517">
        <f t="shared" si="7"/>
        <v>2.4017786545312405</v>
      </c>
      <c r="AL30" s="517">
        <f t="shared" si="7"/>
        <v>1.8750624934015712</v>
      </c>
      <c r="AM30" s="517">
        <f t="shared" si="7"/>
        <v>1.4501373805482292</v>
      </c>
      <c r="AN30" s="517">
        <f t="shared" si="7"/>
        <v>1.1021800605806196</v>
      </c>
    </row>
    <row r="31" spans="1:90" x14ac:dyDescent="0.25">
      <c r="D31" s="520"/>
    </row>
    <row r="32" spans="1:90" ht="13" x14ac:dyDescent="0.3">
      <c r="A32" s="1" t="s">
        <v>149</v>
      </c>
    </row>
    <row r="34" spans="1:91" x14ac:dyDescent="0.25">
      <c r="A34" t="s">
        <v>150</v>
      </c>
      <c r="B34" s="2" t="str">
        <f>INDEX(B$35:B$39,MATCH('SDA Tool'!$D$21,$B$35:$B$39,0))</f>
        <v>Fixed market share</v>
      </c>
      <c r="C34" t="str">
        <f>INDEX(Lists!$D$2:$D$50,MATCH('SDA Tool'!$D$15,Lists!$B$2:$B$50,0))</f>
        <v>t</v>
      </c>
      <c r="D34" s="2" t="str">
        <f>INDEX(D$35:D$39,MATCH('SDA Tool'!$D$21,$B$35:$B$39,0))</f>
        <v/>
      </c>
      <c r="E34" s="2" t="str">
        <f>INDEX(E$35:E$39,MATCH('SDA Tool'!$D$21,$B$35:$B$39,0))</f>
        <v/>
      </c>
      <c r="F34" s="2" t="str">
        <f>INDEX(F$35:F$39,MATCH('SDA Tool'!$D$21,$B$35:$B$39,0))</f>
        <v/>
      </c>
      <c r="G34" s="2" t="str">
        <f>INDEX(G$35:G$39,MATCH('SDA Tool'!$D$21,$B$35:$B$39,0))</f>
        <v/>
      </c>
      <c r="H34" s="2" t="str">
        <f>INDEX(H$35:H$39,MATCH('SDA Tool'!$D$21,$B$35:$B$39,0))</f>
        <v/>
      </c>
      <c r="I34" s="2" t="str">
        <f>INDEX(I$35:I$39,MATCH('SDA Tool'!$D$21,$B$35:$B$39,0))</f>
        <v/>
      </c>
      <c r="J34" s="2">
        <f>INDEX(J$35:J$39,MATCH('SDA Tool'!$D$21,$B$35:$B$39,0))</f>
        <v>1000</v>
      </c>
      <c r="K34" s="2">
        <f>INDEX(K$35:K$39,MATCH('SDA Tool'!$D$21,$B$35:$B$39,0))</f>
        <v>1010.8108108108107</v>
      </c>
      <c r="L34" s="2">
        <f>INDEX(L$35:L$39,MATCH('SDA Tool'!$D$21,$B$35:$B$39,0))</f>
        <v>1021.6216216216217</v>
      </c>
      <c r="M34" s="2">
        <f>INDEX(M$35:M$39,MATCH('SDA Tool'!$D$21,$B$35:$B$39,0))</f>
        <v>1032.4324324324323</v>
      </c>
      <c r="N34" s="2">
        <f>INDEX(N$35:N$39,MATCH('SDA Tool'!$D$21,$B$35:$B$39,0))</f>
        <v>1043.2432432432433</v>
      </c>
      <c r="O34" s="2">
        <f>INDEX(O$35:O$39,MATCH('SDA Tool'!$D$21,$B$35:$B$39,0))</f>
        <v>1054.0540540540539</v>
      </c>
      <c r="P34" s="2">
        <f>INDEX(P$35:P$39,MATCH('SDA Tool'!$D$21,$B$35:$B$39,0))</f>
        <v>1064.8648648648648</v>
      </c>
      <c r="Q34" s="2">
        <f>INDEX(Q$35:Q$39,MATCH('SDA Tool'!$D$21,$B$35:$B$39,0))</f>
        <v>1075.6756756756756</v>
      </c>
      <c r="R34" s="2">
        <f>INDEX(R$35:R$39,MATCH('SDA Tool'!$D$21,$B$35:$B$39,0))</f>
        <v>1086.4864864864865</v>
      </c>
      <c r="S34" s="2">
        <f>INDEX(S$35:S$39,MATCH('SDA Tool'!$D$21,$B$35:$B$39,0))</f>
        <v>1097.2972972972973</v>
      </c>
      <c r="T34" s="2">
        <f>INDEX(T$35:T$39,MATCH('SDA Tool'!$D$21,$B$35:$B$39,0))</f>
        <v>1108.1081081081081</v>
      </c>
      <c r="U34" s="2">
        <f>INDEX(U$35:U$39,MATCH('SDA Tool'!$D$21,$B$35:$B$39,0))</f>
        <v>1116.2162162162163</v>
      </c>
      <c r="V34" s="2">
        <f>INDEX(V$35:V$39,MATCH('SDA Tool'!$D$21,$B$35:$B$39,0))</f>
        <v>1124.3243243243244</v>
      </c>
      <c r="W34" s="2">
        <f>INDEX(W$35:W$39,MATCH('SDA Tool'!$D$21,$B$35:$B$39,0))</f>
        <v>1132.4324324324325</v>
      </c>
      <c r="X34" s="2">
        <f>INDEX(X$35:X$39,MATCH('SDA Tool'!$D$21,$B$35:$B$39,0))</f>
        <v>1140.5405405405404</v>
      </c>
      <c r="Y34" s="2">
        <f>INDEX(Y$35:Y$39,MATCH('SDA Tool'!$D$21,$B$35:$B$39,0))</f>
        <v>1148.6486486486488</v>
      </c>
      <c r="Z34" s="2">
        <f>INDEX(Z$35:Z$39,MATCH('SDA Tool'!$D$21,$B$35:$B$39,0))</f>
        <v>1156.7567567567567</v>
      </c>
      <c r="AA34" s="2">
        <f>INDEX(AA$35:AA$39,MATCH('SDA Tool'!$D$21,$B$35:$B$39,0))</f>
        <v>1164.864864864865</v>
      </c>
      <c r="AB34" s="2">
        <f>INDEX(AB$35:AB$39,MATCH('SDA Tool'!$D$21,$B$35:$B$39,0))</f>
        <v>1172.9729729729729</v>
      </c>
      <c r="AC34" s="2">
        <f>INDEX(AC$35:AC$39,MATCH('SDA Tool'!$D$21,$B$35:$B$39,0))</f>
        <v>1181.081081081081</v>
      </c>
      <c r="AD34" s="2">
        <f>INDEX(AD$35:AD$39,MATCH('SDA Tool'!$D$21,$B$35:$B$39,0))</f>
        <v>1189.1891891891892</v>
      </c>
      <c r="AE34" s="2">
        <f>INDEX(AE$35:AE$39,MATCH('SDA Tool'!$D$21,$B$35:$B$39,0))</f>
        <v>1194.5945945945946</v>
      </c>
      <c r="AF34" s="2">
        <f>INDEX(AF$35:AF$39,MATCH('SDA Tool'!$D$21,$B$35:$B$39,0))</f>
        <v>1200</v>
      </c>
      <c r="AG34" s="2">
        <f>INDEX(AG$35:AG$39,MATCH('SDA Tool'!$D$21,$B$35:$B$39,0))</f>
        <v>1205.4054054054054</v>
      </c>
      <c r="AH34" s="2">
        <f>INDEX(AH$35:AH$39,MATCH('SDA Tool'!$D$21,$B$35:$B$39,0))</f>
        <v>1210.8108108108108</v>
      </c>
      <c r="AI34" s="2">
        <f>INDEX(AI$35:AI$39,MATCH('SDA Tool'!$D$21,$B$35:$B$39,0))</f>
        <v>1216.2162162162163</v>
      </c>
      <c r="AJ34" s="2">
        <f>INDEX(AJ$35:AJ$39,MATCH('SDA Tool'!$D$21,$B$35:$B$39,0))</f>
        <v>1221.6216216216217</v>
      </c>
      <c r="AK34" s="2">
        <f>INDEX(AK$35:AK$39,MATCH('SDA Tool'!$D$21,$B$35:$B$39,0))</f>
        <v>1227.0270270270269</v>
      </c>
      <c r="AL34" s="2">
        <f>INDEX(AL$35:AL$39,MATCH('SDA Tool'!$D$21,$B$35:$B$39,0))</f>
        <v>1232.4324324324325</v>
      </c>
      <c r="AM34" s="2">
        <f>INDEX(AM$35:AM$39,MATCH('SDA Tool'!$D$21,$B$35:$B$39,0))</f>
        <v>1237.8378378378379</v>
      </c>
      <c r="AN34" s="2">
        <f>INDEX(AN$35:AN$39,MATCH('SDA Tool'!$D$21,$B$35:$B$39,0))</f>
        <v>1243.2432432432431</v>
      </c>
      <c r="AO34" s="2">
        <f>INDEX(AO$35:AO$39,MATCH('SDA Tool'!$D$21,$B$35:$B$39,0))</f>
        <v>0</v>
      </c>
      <c r="AP34" s="2">
        <f>INDEX(AP$35:AP$39,MATCH('SDA Tool'!$D$21,$B$35:$B$39,0))</f>
        <v>0</v>
      </c>
      <c r="AQ34" s="2">
        <f>INDEX(AQ$35:AQ$39,MATCH('SDA Tool'!$D$21,$B$35:$B$39,0))</f>
        <v>0</v>
      </c>
      <c r="AR34" s="2">
        <f>INDEX(AR$35:AR$39,MATCH('SDA Tool'!$D$21,$B$35:$B$39,0))</f>
        <v>0</v>
      </c>
      <c r="AS34" s="2">
        <f>INDEX(AS$35:AS$39,MATCH('SDA Tool'!$D$21,$B$35:$B$39,0))</f>
        <v>0</v>
      </c>
      <c r="AT34" s="2">
        <f>INDEX(AT$35:AT$39,MATCH('SDA Tool'!$D$21,$B$35:$B$39,0))</f>
        <v>0</v>
      </c>
      <c r="AU34" s="2">
        <f>INDEX(AU$35:AU$39,MATCH('SDA Tool'!$D$21,$B$35:$B$39,0))</f>
        <v>0</v>
      </c>
      <c r="AV34" s="2">
        <f>INDEX(AV$35:AV$39,MATCH('SDA Tool'!$D$21,$B$35:$B$39,0))</f>
        <v>0</v>
      </c>
      <c r="AW34" s="2">
        <f>INDEX(AW$35:AW$39,MATCH('SDA Tool'!$D$21,$B$35:$B$39,0))</f>
        <v>0</v>
      </c>
      <c r="AX34" s="2">
        <f>INDEX(AX$35:AX$39,MATCH('SDA Tool'!$D$21,$B$35:$B$39,0))</f>
        <v>0</v>
      </c>
    </row>
    <row r="35" spans="1:91" x14ac:dyDescent="0.25">
      <c r="A35" t="s">
        <v>150</v>
      </c>
      <c r="B35" t="str">
        <f>Lists!L2</f>
        <v>Fixed market share</v>
      </c>
      <c r="C35" t="str">
        <f>INDEX(Lists!$D$2:$D$50,MATCH('SDA Tool'!$D$15,Lists!$B$2:$B$50,0))</f>
        <v>t</v>
      </c>
      <c r="D35" s="2" t="str">
        <f>IFERROR(IF('SDA Tool'!$D$17&lt;0,"",'SDA Tool'!$D$17*IF(D$1&lt;'SDA Tool'!$D$16,"",D$8/HLOOKUP('SDA Tool'!$D$16,$D$1:$N$8,ROW($A$8),))),"")</f>
        <v/>
      </c>
      <c r="E35" s="2" t="str">
        <f>IFERROR(IF('SDA Tool'!$D$17&lt;0,"",'SDA Tool'!$D$17*IF(E$1&lt;'SDA Tool'!$D$16,"",E$8/HLOOKUP('SDA Tool'!$D$16,$D$1:$N$8,ROW($A$8),))),"")</f>
        <v/>
      </c>
      <c r="F35" s="2" t="str">
        <f>IFERROR(IF('SDA Tool'!$D$17&lt;0,"",'SDA Tool'!$D$17*IF(F$1&lt;'SDA Tool'!$D$16,"",F$8/HLOOKUP('SDA Tool'!$D$16,$D$1:$N$8,ROW($A$8),))),"")</f>
        <v/>
      </c>
      <c r="G35" s="2" t="str">
        <f>IFERROR(IF('SDA Tool'!$D$17&lt;0,"",'SDA Tool'!$D$17*IF(G$1&lt;'SDA Tool'!$D$16,"",G$8/HLOOKUP('SDA Tool'!$D$16,$D$1:$N$8,ROW($A$8),))),"")</f>
        <v/>
      </c>
      <c r="H35" s="2" t="str">
        <f>IFERROR(IF('SDA Tool'!$D$17&lt;0,"",'SDA Tool'!$D$17*IF(H$1&lt;'SDA Tool'!$D$16,"",H$8/HLOOKUP('SDA Tool'!$D$16,$D$1:$N$8,ROW($A$8),))),"")</f>
        <v/>
      </c>
      <c r="I35" s="2" t="str">
        <f>IFERROR(IF('SDA Tool'!$D$17&lt;0,"",'SDA Tool'!$D$17*IF(I$1&lt;'SDA Tool'!$D$16,"",I$8/HLOOKUP('SDA Tool'!$D$16,$D$1:$N$8,ROW($A$8),))),"")</f>
        <v/>
      </c>
      <c r="J35" s="2">
        <f>IFERROR(IF('SDA Tool'!$D$17&lt;0,"",'SDA Tool'!$D$17*IF(J$1&lt;'SDA Tool'!$D$16,"",J$8/HLOOKUP('SDA Tool'!$D$16,$D$1:$N$8,ROW($A$8),))),"")</f>
        <v>1000</v>
      </c>
      <c r="K35" s="2">
        <f>IFERROR(IF('SDA Tool'!$D$17&lt;0,"",'SDA Tool'!$D$17*IF(K$1&lt;'SDA Tool'!$D$16,"",K$8/HLOOKUP('SDA Tool'!$D$16,$D$1:$N$8,ROW($A$8),))),"")</f>
        <v>1010.8108108108107</v>
      </c>
      <c r="L35" s="2">
        <f>IFERROR(IF('SDA Tool'!$D$17&lt;0,"",'SDA Tool'!$D$17*IF(L$1&lt;'SDA Tool'!$D$16,"",L$8/HLOOKUP('SDA Tool'!$D$16,$D$1:$N$8,ROW($A$8),))),"")</f>
        <v>1021.6216216216217</v>
      </c>
      <c r="M35" s="2">
        <f>IFERROR(IF('SDA Tool'!$D$17&lt;0,"",'SDA Tool'!$D$17*IF(M$1&lt;'SDA Tool'!$D$16,"",M$8/HLOOKUP('SDA Tool'!$D$16,$D$1:$N$8,ROW($A$8),))),"")</f>
        <v>1032.4324324324323</v>
      </c>
      <c r="N35" s="2">
        <f>IFERROR(IF('SDA Tool'!$D$17&lt;0,"",'SDA Tool'!$D$17*IF(N$1&lt;'SDA Tool'!$D$16,"",N$8/HLOOKUP('SDA Tool'!$D$16,$D$1:$N$8,ROW($A$8),))),"")</f>
        <v>1043.2432432432433</v>
      </c>
      <c r="O35" s="2">
        <f>IFERROR(IF('SDA Tool'!$D$17&lt;0,"",'SDA Tool'!$D$17*IF(O$1&lt;'SDA Tool'!$D$16,"",O$8/HLOOKUP('SDA Tool'!$D$16,$D$1:$N$8,ROW($A$8),))),"")</f>
        <v>1054.0540540540539</v>
      </c>
      <c r="P35" s="2">
        <f>IFERROR(IF('SDA Tool'!$D$17&lt;0,"",'SDA Tool'!$D$17*IF(P$1&lt;'SDA Tool'!$D$16,"",P$8/HLOOKUP('SDA Tool'!$D$16,$D$1:$N$8,ROW($A$8),))),"")</f>
        <v>1064.8648648648648</v>
      </c>
      <c r="Q35" s="2">
        <f>IFERROR(IF('SDA Tool'!$D$17&lt;0,"",'SDA Tool'!$D$17*IF(Q$1&lt;'SDA Tool'!$D$16,"",Q$8/HLOOKUP('SDA Tool'!$D$16,$D$1:$N$8,ROW($A$8),))),"")</f>
        <v>1075.6756756756756</v>
      </c>
      <c r="R35" s="2">
        <f>IFERROR(IF('SDA Tool'!$D$17&lt;0,"",'SDA Tool'!$D$17*IF(R$1&lt;'SDA Tool'!$D$16,"",R$8/HLOOKUP('SDA Tool'!$D$16,$D$1:$N$8,ROW($A$8),))),"")</f>
        <v>1086.4864864864865</v>
      </c>
      <c r="S35" s="2">
        <f>IFERROR(IF('SDA Tool'!$D$17&lt;0,"",'SDA Tool'!$D$17*IF(S$1&lt;'SDA Tool'!$D$16,"",S$8/HLOOKUP('SDA Tool'!$D$16,$D$1:$N$8,ROW($A$8),))),"")</f>
        <v>1097.2972972972973</v>
      </c>
      <c r="T35" s="2">
        <f>IFERROR(IF('SDA Tool'!$D$17&lt;0,"",'SDA Tool'!$D$17*IF(T$1&lt;'SDA Tool'!$D$16,"",T$8/HLOOKUP('SDA Tool'!$D$16,$D$1:$N$8,ROW($A$8),))),"")</f>
        <v>1108.1081081081081</v>
      </c>
      <c r="U35" s="2">
        <f>IFERROR(IF('SDA Tool'!$D$17&lt;0,"",'SDA Tool'!$D$17*IF(U$1&lt;'SDA Tool'!$D$16,"",U$8/HLOOKUP('SDA Tool'!$D$16,$D$1:$N$8,ROW($A$8),))),"")</f>
        <v>1116.2162162162163</v>
      </c>
      <c r="V35" s="2">
        <f>IFERROR(IF('SDA Tool'!$D$17&lt;0,"",'SDA Tool'!$D$17*IF(V$1&lt;'SDA Tool'!$D$16,"",V$8/HLOOKUP('SDA Tool'!$D$16,$D$1:$N$8,ROW($A$8),))),"")</f>
        <v>1124.3243243243244</v>
      </c>
      <c r="W35" s="2">
        <f>IFERROR(IF('SDA Tool'!$D$17&lt;0,"",'SDA Tool'!$D$17*IF(W$1&lt;'SDA Tool'!$D$16,"",W$8/HLOOKUP('SDA Tool'!$D$16,$D$1:$N$8,ROW($A$8),))),"")</f>
        <v>1132.4324324324325</v>
      </c>
      <c r="X35" s="2">
        <f>IFERROR(IF('SDA Tool'!$D$17&lt;0,"",'SDA Tool'!$D$17*IF(X$1&lt;'SDA Tool'!$D$16,"",X$8/HLOOKUP('SDA Tool'!$D$16,$D$1:$N$8,ROW($A$8),))),"")</f>
        <v>1140.5405405405404</v>
      </c>
      <c r="Y35" s="2">
        <f>IFERROR(IF('SDA Tool'!$D$17&lt;0,"",'SDA Tool'!$D$17*IF(Y$1&lt;'SDA Tool'!$D$16,"",Y$8/HLOOKUP('SDA Tool'!$D$16,$D$1:$N$8,ROW($A$8),))),"")</f>
        <v>1148.6486486486488</v>
      </c>
      <c r="Z35" s="2">
        <f>IFERROR(IF('SDA Tool'!$D$17&lt;0,"",'SDA Tool'!$D$17*IF(Z$1&lt;'SDA Tool'!$D$16,"",Z$8/HLOOKUP('SDA Tool'!$D$16,$D$1:$N$8,ROW($A$8),))),"")</f>
        <v>1156.7567567567567</v>
      </c>
      <c r="AA35" s="2">
        <f>IFERROR(IF('SDA Tool'!$D$17&lt;0,"",'SDA Tool'!$D$17*IF(AA$1&lt;'SDA Tool'!$D$16,"",AA$8/HLOOKUP('SDA Tool'!$D$16,$D$1:$N$8,ROW($A$8),))),"")</f>
        <v>1164.864864864865</v>
      </c>
      <c r="AB35" s="2">
        <f>IFERROR(IF('SDA Tool'!$D$17&lt;0,"",'SDA Tool'!$D$17*IF(AB$1&lt;'SDA Tool'!$D$16,"",AB$8/HLOOKUP('SDA Tool'!$D$16,$D$1:$N$8,ROW($A$8),))),"")</f>
        <v>1172.9729729729729</v>
      </c>
      <c r="AC35" s="2">
        <f>IFERROR(IF('SDA Tool'!$D$17&lt;0,"",'SDA Tool'!$D$17*IF(AC$1&lt;'SDA Tool'!$D$16,"",AC$8/HLOOKUP('SDA Tool'!$D$16,$D$1:$N$8,ROW($A$8),))),"")</f>
        <v>1181.081081081081</v>
      </c>
      <c r="AD35" s="2">
        <f>IFERROR(IF('SDA Tool'!$D$17&lt;0,"",'SDA Tool'!$D$17*IF(AD$1&lt;'SDA Tool'!$D$16,"",AD$8/HLOOKUP('SDA Tool'!$D$16,$D$1:$N$8,ROW($A$8),))),"")</f>
        <v>1189.1891891891892</v>
      </c>
      <c r="AE35" s="2">
        <f>IFERROR(IF('SDA Tool'!$D$17&lt;0,"",'SDA Tool'!$D$17*IF(AE$1&lt;'SDA Tool'!$D$16,"",AE$8/HLOOKUP('SDA Tool'!$D$16,$D$1:$N$8,ROW($A$8),))),"")</f>
        <v>1194.5945945945946</v>
      </c>
      <c r="AF35" s="2">
        <f>IFERROR(IF('SDA Tool'!$D$17&lt;0,"",'SDA Tool'!$D$17*IF(AF$1&lt;'SDA Tool'!$D$16,"",AF$8/HLOOKUP('SDA Tool'!$D$16,$D$1:$N$8,ROW($A$8),))),"")</f>
        <v>1200</v>
      </c>
      <c r="AG35" s="2">
        <f>IFERROR(IF('SDA Tool'!$D$17&lt;0,"",'SDA Tool'!$D$17*IF(AG$1&lt;'SDA Tool'!$D$16,"",AG$8/HLOOKUP('SDA Tool'!$D$16,$D$1:$N$8,ROW($A$8),))),"")</f>
        <v>1205.4054054054054</v>
      </c>
      <c r="AH35" s="2">
        <f>IFERROR(IF('SDA Tool'!$D$17&lt;0,"",'SDA Tool'!$D$17*IF(AH$1&lt;'SDA Tool'!$D$16,"",AH$8/HLOOKUP('SDA Tool'!$D$16,$D$1:$N$8,ROW($A$8),))),"")</f>
        <v>1210.8108108108108</v>
      </c>
      <c r="AI35" s="2">
        <f>IFERROR(IF('SDA Tool'!$D$17&lt;0,"",'SDA Tool'!$D$17*IF(AI$1&lt;'SDA Tool'!$D$16,"",AI$8/HLOOKUP('SDA Tool'!$D$16,$D$1:$N$8,ROW($A$8),))),"")</f>
        <v>1216.2162162162163</v>
      </c>
      <c r="AJ35" s="2">
        <f>IFERROR(IF('SDA Tool'!$D$17&lt;0,"",'SDA Tool'!$D$17*IF(AJ$1&lt;'SDA Tool'!$D$16,"",AJ$8/HLOOKUP('SDA Tool'!$D$16,$D$1:$N$8,ROW($A$8),))),"")</f>
        <v>1221.6216216216217</v>
      </c>
      <c r="AK35" s="2">
        <f>IFERROR(IF('SDA Tool'!$D$17&lt;0,"",'SDA Tool'!$D$17*IF(AK$1&lt;'SDA Tool'!$D$16,"",AK$8/HLOOKUP('SDA Tool'!$D$16,$D$1:$N$8,ROW($A$8),))),"")</f>
        <v>1227.0270270270269</v>
      </c>
      <c r="AL35" s="2">
        <f>IFERROR(IF('SDA Tool'!$D$17&lt;0,"",'SDA Tool'!$D$17*IF(AL$1&lt;'SDA Tool'!$D$16,"",AL$8/HLOOKUP('SDA Tool'!$D$16,$D$1:$N$8,ROW($A$8),))),"")</f>
        <v>1232.4324324324325</v>
      </c>
      <c r="AM35" s="2">
        <f>IFERROR(IF('SDA Tool'!$D$17&lt;0,"",'SDA Tool'!$D$17*IF(AM$1&lt;'SDA Tool'!$D$16,"",AM$8/HLOOKUP('SDA Tool'!$D$16,$D$1:$N$8,ROW($A$8),))),"")</f>
        <v>1237.8378378378379</v>
      </c>
      <c r="AN35" s="2">
        <f>IFERROR(IF('SDA Tool'!$D$17&lt;0,"",'SDA Tool'!$D$17*IF(AN$1&lt;'SDA Tool'!$D$16,"",AN$8/HLOOKUP('SDA Tool'!$D$16,$D$1:$N$8,ROW($A$8),))),"")</f>
        <v>1243.2432432432431</v>
      </c>
      <c r="AO35" s="2">
        <f>IFERROR(IF('SDA Tool'!$D$17&lt;0,"",'SDA Tool'!$D$17*IF(AO$1&lt;'SDA Tool'!$D$16,"",AO$8/HLOOKUP('SDA Tool'!$D$16,$D$1:$N$8,ROW($A$8),))),"")</f>
        <v>0</v>
      </c>
      <c r="AP35" s="2">
        <f>IFERROR(IF('SDA Tool'!$D$17&lt;0,"",'SDA Tool'!$D$17*IF(AP$1&lt;'SDA Tool'!$D$16,"",AP$8/HLOOKUP('SDA Tool'!$D$16,$D$1:$N$8,ROW($A$8),))),"")</f>
        <v>0</v>
      </c>
      <c r="AQ35" s="2">
        <f>IFERROR(IF('SDA Tool'!$D$17&lt;0,"",'SDA Tool'!$D$17*IF(AQ$1&lt;'SDA Tool'!$D$16,"",AQ$8/HLOOKUP('SDA Tool'!$D$16,$D$1:$N$8,ROW($A$8),))),"")</f>
        <v>0</v>
      </c>
      <c r="AR35" s="2">
        <f>IFERROR(IF('SDA Tool'!$D$17&lt;0,"",'SDA Tool'!$D$17*IF(AR$1&lt;'SDA Tool'!$D$16,"",AR$8/HLOOKUP('SDA Tool'!$D$16,$D$1:$N$8,ROW($A$8),))),"")</f>
        <v>0</v>
      </c>
      <c r="AS35" s="2">
        <f>IFERROR(IF('SDA Tool'!$D$17&lt;0,"",'SDA Tool'!$D$17*IF(AS$1&lt;'SDA Tool'!$D$16,"",AS$8/HLOOKUP('SDA Tool'!$D$16,$D$1:$N$8,ROW($A$8),))),"")</f>
        <v>0</v>
      </c>
      <c r="AT35" s="2">
        <f>IFERROR(IF('SDA Tool'!$D$17&lt;0,"",'SDA Tool'!$D$17*IF(AT$1&lt;'SDA Tool'!$D$16,"",AT$8/HLOOKUP('SDA Tool'!$D$16,$D$1:$N$8,ROW($A$8),))),"")</f>
        <v>0</v>
      </c>
      <c r="AU35" s="2">
        <f>IFERROR(IF('SDA Tool'!$D$17&lt;0,"",'SDA Tool'!$D$17*IF(AU$1&lt;'SDA Tool'!$D$16,"",AU$8/HLOOKUP('SDA Tool'!$D$16,$D$1:$N$8,ROW($A$8),))),"")</f>
        <v>0</v>
      </c>
      <c r="AV35" s="2">
        <f>IFERROR(IF('SDA Tool'!$D$17&lt;0,"",'SDA Tool'!$D$17*IF(AV$1&lt;'SDA Tool'!$D$16,"",AV$8/HLOOKUP('SDA Tool'!$D$16,$D$1:$N$8,ROW($A$8),))),"")</f>
        <v>0</v>
      </c>
      <c r="AW35" s="2">
        <f>IFERROR(IF('SDA Tool'!$D$17&lt;0,"",'SDA Tool'!$D$17*IF(AW$1&lt;'SDA Tool'!$D$16,"",AW$8/HLOOKUP('SDA Tool'!$D$16,$D$1:$N$8,ROW($A$8),))),"")</f>
        <v>0</v>
      </c>
      <c r="AX35" s="2">
        <f>IFERROR(IF('SDA Tool'!$D$17&lt;0,"",'SDA Tool'!$D$17*IF(AX$1&lt;'SDA Tool'!$D$16,"",AX$8/HLOOKUP('SDA Tool'!$D$16,$D$1:$N$8,ROW($A$8),))),"")</f>
        <v>0</v>
      </c>
    </row>
    <row r="38" spans="1:91" x14ac:dyDescent="0.25">
      <c r="A38" t="s">
        <v>150</v>
      </c>
      <c r="B38" t="str">
        <f>Lists!L3</f>
        <v>Target year output</v>
      </c>
      <c r="C38" t="str">
        <f>INDEX(Lists!$D$2:$D$50,MATCH('SDA Tool'!$D$15,Lists!$B$2:$B$50,0))</f>
        <v>t</v>
      </c>
      <c r="D38" s="2" t="str">
        <f>IF('SDA Tool'!$D$17&lt;0,"",IF(D$1&lt;'SDA Tool'!$D$16,"",IF('SDA Tool'!$D$17+('SDA Tool'!$D$22-'SDA Tool'!$D$17)*(D$1-'SDA Tool'!$D$16)/('SDA Tool'!$D$20-'SDA Tool'!$D$16)&gt;0,'SDA Tool'!$D$17+('SDA Tool'!$D$22-'SDA Tool'!$D$17)*(D$1-'SDA Tool'!$D$16)/('SDA Tool'!$D$20-'SDA Tool'!$D$16),0.01)))</f>
        <v/>
      </c>
      <c r="E38" s="2" t="str">
        <f>IF('SDA Tool'!$D$17&lt;0,"",IF(E$1&lt;'SDA Tool'!$D$16,"",IF('SDA Tool'!$D$17+('SDA Tool'!$D$22-'SDA Tool'!$D$17)*(E$1-'SDA Tool'!$D$16)/('SDA Tool'!$D$20-'SDA Tool'!$D$16)&gt;0,'SDA Tool'!$D$17+('SDA Tool'!$D$22-'SDA Tool'!$D$17)*(E$1-'SDA Tool'!$D$16)/('SDA Tool'!$D$20-'SDA Tool'!$D$16),0.01)))</f>
        <v/>
      </c>
      <c r="F38" s="2" t="str">
        <f>IF('SDA Tool'!$D$17&lt;0,"",IF(F$1&lt;'SDA Tool'!$D$16,"",IF('SDA Tool'!$D$17+('SDA Tool'!$D$22-'SDA Tool'!$D$17)*(F$1-'SDA Tool'!$D$16)/('SDA Tool'!$D$20-'SDA Tool'!$D$16)&gt;0,'SDA Tool'!$D$17+('SDA Tool'!$D$22-'SDA Tool'!$D$17)*(F$1-'SDA Tool'!$D$16)/('SDA Tool'!$D$20-'SDA Tool'!$D$16),0.01)))</f>
        <v/>
      </c>
      <c r="G38" s="2" t="str">
        <f>IF('SDA Tool'!$D$17&lt;0,"",IF(G$1&lt;'SDA Tool'!$D$16,"",IF('SDA Tool'!$D$17+('SDA Tool'!$D$22-'SDA Tool'!$D$17)*(G$1-'SDA Tool'!$D$16)/('SDA Tool'!$D$20-'SDA Tool'!$D$16)&gt;0,'SDA Tool'!$D$17+('SDA Tool'!$D$22-'SDA Tool'!$D$17)*(G$1-'SDA Tool'!$D$16)/('SDA Tool'!$D$20-'SDA Tool'!$D$16),0.01)))</f>
        <v/>
      </c>
      <c r="H38" s="2" t="str">
        <f>IF('SDA Tool'!$D$17&lt;0,"",IF(H$1&lt;'SDA Tool'!$D$16,"",IF('SDA Tool'!$D$17+('SDA Tool'!$D$22-'SDA Tool'!$D$17)*(H$1-'SDA Tool'!$D$16)/('SDA Tool'!$D$20-'SDA Tool'!$D$16)&gt;0,'SDA Tool'!$D$17+('SDA Tool'!$D$22-'SDA Tool'!$D$17)*(H$1-'SDA Tool'!$D$16)/('SDA Tool'!$D$20-'SDA Tool'!$D$16),0.01)))</f>
        <v/>
      </c>
      <c r="I38" s="2" t="str">
        <f>IF('SDA Tool'!$D$17&lt;0,"",IF(I$1&lt;'SDA Tool'!$D$16,"",IF('SDA Tool'!$D$17+('SDA Tool'!$D$22-'SDA Tool'!$D$17)*(I$1-'SDA Tool'!$D$16)/('SDA Tool'!$D$20-'SDA Tool'!$D$16)&gt;0,'SDA Tool'!$D$17+('SDA Tool'!$D$22-'SDA Tool'!$D$17)*(I$1-'SDA Tool'!$D$16)/('SDA Tool'!$D$20-'SDA Tool'!$D$16),0.01)))</f>
        <v/>
      </c>
      <c r="J38" s="2">
        <f>IF('SDA Tool'!$D$17&lt;0,"",IF(J$1&lt;'SDA Tool'!$D$16,"",IF('SDA Tool'!$D$17+('SDA Tool'!$D$22-'SDA Tool'!$D$17)*(J$1-'SDA Tool'!$D$16)/('SDA Tool'!$D$20-'SDA Tool'!$D$16)&gt;0,'SDA Tool'!$D$17+('SDA Tool'!$D$22-'SDA Tool'!$D$17)*(J$1-'SDA Tool'!$D$16)/('SDA Tool'!$D$20-'SDA Tool'!$D$16),0.01)))</f>
        <v>1000</v>
      </c>
      <c r="K38" s="2">
        <f>IF('SDA Tool'!$D$17&lt;0,"",IF(K$1&lt;'SDA Tool'!$D$16,"",IF('SDA Tool'!$D$17+('SDA Tool'!$D$22-'SDA Tool'!$D$17)*(K$1-'SDA Tool'!$D$16)/('SDA Tool'!$D$20-'SDA Tool'!$D$16)&gt;0,'SDA Tool'!$D$17+('SDA Tool'!$D$22-'SDA Tool'!$D$17)*(K$1-'SDA Tool'!$D$16)/('SDA Tool'!$D$20-'SDA Tool'!$D$16),0.01)))</f>
        <v>900</v>
      </c>
      <c r="L38" s="2">
        <f>IF('SDA Tool'!$D$17&lt;0,"",IF(L$1&lt;'SDA Tool'!$D$16,"",IF('SDA Tool'!$D$17+('SDA Tool'!$D$22-'SDA Tool'!$D$17)*(L$1-'SDA Tool'!$D$16)/('SDA Tool'!$D$20-'SDA Tool'!$D$16)&gt;0,'SDA Tool'!$D$17+('SDA Tool'!$D$22-'SDA Tool'!$D$17)*(L$1-'SDA Tool'!$D$16)/('SDA Tool'!$D$20-'SDA Tool'!$D$16),0.01)))</f>
        <v>800</v>
      </c>
      <c r="M38" s="2">
        <f>IF('SDA Tool'!$D$17&lt;0,"",IF(M$1&lt;'SDA Tool'!$D$16,"",IF('SDA Tool'!$D$17+('SDA Tool'!$D$22-'SDA Tool'!$D$17)*(M$1-'SDA Tool'!$D$16)/('SDA Tool'!$D$20-'SDA Tool'!$D$16)&gt;0,'SDA Tool'!$D$17+('SDA Tool'!$D$22-'SDA Tool'!$D$17)*(M$1-'SDA Tool'!$D$16)/('SDA Tool'!$D$20-'SDA Tool'!$D$16),0.01)))</f>
        <v>700</v>
      </c>
      <c r="N38" s="2">
        <f>IF('SDA Tool'!$D$17&lt;0,"",IF(N$1&lt;'SDA Tool'!$D$16,"",IF('SDA Tool'!$D$17+('SDA Tool'!$D$22-'SDA Tool'!$D$17)*(N$1-'SDA Tool'!$D$16)/('SDA Tool'!$D$20-'SDA Tool'!$D$16)&gt;0,'SDA Tool'!$D$17+('SDA Tool'!$D$22-'SDA Tool'!$D$17)*(N$1-'SDA Tool'!$D$16)/('SDA Tool'!$D$20-'SDA Tool'!$D$16),0.01)))</f>
        <v>600</v>
      </c>
      <c r="O38" s="2">
        <f>IF('SDA Tool'!$D$17&lt;0,"",IF(O$1&lt;'SDA Tool'!$D$16,"",IF('SDA Tool'!$D$17+('SDA Tool'!$D$22-'SDA Tool'!$D$17)*(O$1-'SDA Tool'!$D$16)/('SDA Tool'!$D$20-'SDA Tool'!$D$16)&gt;0,'SDA Tool'!$D$17+('SDA Tool'!$D$22-'SDA Tool'!$D$17)*(O$1-'SDA Tool'!$D$16)/('SDA Tool'!$D$20-'SDA Tool'!$D$16),0.01)))</f>
        <v>500</v>
      </c>
      <c r="P38" s="2">
        <f>IF('SDA Tool'!$D$17&lt;0,"",IF(P$1&lt;'SDA Tool'!$D$16,"",IF('SDA Tool'!$D$17+('SDA Tool'!$D$22-'SDA Tool'!$D$17)*(P$1-'SDA Tool'!$D$16)/('SDA Tool'!$D$20-'SDA Tool'!$D$16)&gt;0,'SDA Tool'!$D$17+('SDA Tool'!$D$22-'SDA Tool'!$D$17)*(P$1-'SDA Tool'!$D$16)/('SDA Tool'!$D$20-'SDA Tool'!$D$16),0.01)))</f>
        <v>400</v>
      </c>
      <c r="Q38" s="2">
        <f>IF('SDA Tool'!$D$17&lt;0,"",IF(Q$1&lt;'SDA Tool'!$D$16,"",IF('SDA Tool'!$D$17+('SDA Tool'!$D$22-'SDA Tool'!$D$17)*(Q$1-'SDA Tool'!$D$16)/('SDA Tool'!$D$20-'SDA Tool'!$D$16)&gt;0,'SDA Tool'!$D$17+('SDA Tool'!$D$22-'SDA Tool'!$D$17)*(Q$1-'SDA Tool'!$D$16)/('SDA Tool'!$D$20-'SDA Tool'!$D$16),0.01)))</f>
        <v>300</v>
      </c>
      <c r="R38" s="2">
        <f>IF('SDA Tool'!$D$17&lt;0,"",IF(R$1&lt;'SDA Tool'!$D$16,"",IF('SDA Tool'!$D$17+('SDA Tool'!$D$22-'SDA Tool'!$D$17)*(R$1-'SDA Tool'!$D$16)/('SDA Tool'!$D$20-'SDA Tool'!$D$16)&gt;0,'SDA Tool'!$D$17+('SDA Tool'!$D$22-'SDA Tool'!$D$17)*(R$1-'SDA Tool'!$D$16)/('SDA Tool'!$D$20-'SDA Tool'!$D$16),0.01)))</f>
        <v>200</v>
      </c>
      <c r="S38" s="2">
        <f>IF('SDA Tool'!$D$17&lt;0,"",IF(S$1&lt;'SDA Tool'!$D$16,"",IF('SDA Tool'!$D$17+('SDA Tool'!$D$22-'SDA Tool'!$D$17)*(S$1-'SDA Tool'!$D$16)/('SDA Tool'!$D$20-'SDA Tool'!$D$16)&gt;0,'SDA Tool'!$D$17+('SDA Tool'!$D$22-'SDA Tool'!$D$17)*(S$1-'SDA Tool'!$D$16)/('SDA Tool'!$D$20-'SDA Tool'!$D$16),0.01)))</f>
        <v>100</v>
      </c>
      <c r="T38" s="2">
        <f>IF('SDA Tool'!$D$17&lt;0,"",IF(T$1&lt;'SDA Tool'!$D$16,"",IF('SDA Tool'!$D$17+('SDA Tool'!$D$22-'SDA Tool'!$D$17)*(T$1-'SDA Tool'!$D$16)/('SDA Tool'!$D$20-'SDA Tool'!$D$16)&gt;0,'SDA Tool'!$D$17+('SDA Tool'!$D$22-'SDA Tool'!$D$17)*(T$1-'SDA Tool'!$D$16)/('SDA Tool'!$D$20-'SDA Tool'!$D$16),0.01)))</f>
        <v>0.01</v>
      </c>
      <c r="U38" s="2">
        <f>IF('SDA Tool'!$D$17&lt;0,"",IF(U$1&lt;'SDA Tool'!$D$16,"",IF('SDA Tool'!$D$17+('SDA Tool'!$D$22-'SDA Tool'!$D$17)*(U$1-'SDA Tool'!$D$16)/('SDA Tool'!$D$20-'SDA Tool'!$D$16)&gt;0,'SDA Tool'!$D$17+('SDA Tool'!$D$22-'SDA Tool'!$D$17)*(U$1-'SDA Tool'!$D$16)/('SDA Tool'!$D$20-'SDA Tool'!$D$16),0.01)))</f>
        <v>0.01</v>
      </c>
      <c r="V38" s="2">
        <f>IF('SDA Tool'!$D$17&lt;0,"",IF(V$1&lt;'SDA Tool'!$D$16,"",IF('SDA Tool'!$D$17+('SDA Tool'!$D$22-'SDA Tool'!$D$17)*(V$1-'SDA Tool'!$D$16)/('SDA Tool'!$D$20-'SDA Tool'!$D$16)&gt;0,'SDA Tool'!$D$17+('SDA Tool'!$D$22-'SDA Tool'!$D$17)*(V$1-'SDA Tool'!$D$16)/('SDA Tool'!$D$20-'SDA Tool'!$D$16),0.01)))</f>
        <v>0.01</v>
      </c>
      <c r="W38" s="2">
        <f>IF('SDA Tool'!$D$17&lt;0,"",IF(W$1&lt;'SDA Tool'!$D$16,"",IF('SDA Tool'!$D$17+('SDA Tool'!$D$22-'SDA Tool'!$D$17)*(W$1-'SDA Tool'!$D$16)/('SDA Tool'!$D$20-'SDA Tool'!$D$16)&gt;0,'SDA Tool'!$D$17+('SDA Tool'!$D$22-'SDA Tool'!$D$17)*(W$1-'SDA Tool'!$D$16)/('SDA Tool'!$D$20-'SDA Tool'!$D$16),0.01)))</f>
        <v>0.01</v>
      </c>
      <c r="X38" s="2">
        <f>IF('SDA Tool'!$D$17&lt;0,"",IF(X$1&lt;'SDA Tool'!$D$16,"",IF('SDA Tool'!$D$17+('SDA Tool'!$D$22-'SDA Tool'!$D$17)*(X$1-'SDA Tool'!$D$16)/('SDA Tool'!$D$20-'SDA Tool'!$D$16)&gt;0,'SDA Tool'!$D$17+('SDA Tool'!$D$22-'SDA Tool'!$D$17)*(X$1-'SDA Tool'!$D$16)/('SDA Tool'!$D$20-'SDA Tool'!$D$16),0.01)))</f>
        <v>0.01</v>
      </c>
      <c r="Y38" s="2">
        <f>IF('SDA Tool'!$D$17&lt;0,"",IF(Y$1&lt;'SDA Tool'!$D$16,"",IF('SDA Tool'!$D$17+('SDA Tool'!$D$22-'SDA Tool'!$D$17)*(Y$1-'SDA Tool'!$D$16)/('SDA Tool'!$D$20-'SDA Tool'!$D$16)&gt;0,'SDA Tool'!$D$17+('SDA Tool'!$D$22-'SDA Tool'!$D$17)*(Y$1-'SDA Tool'!$D$16)/('SDA Tool'!$D$20-'SDA Tool'!$D$16),0.01)))</f>
        <v>0.01</v>
      </c>
      <c r="Z38" s="2">
        <f>IF('SDA Tool'!$D$17&lt;0,"",IF(Z$1&lt;'SDA Tool'!$D$16,"",IF('SDA Tool'!$D$17+('SDA Tool'!$D$22-'SDA Tool'!$D$17)*(Z$1-'SDA Tool'!$D$16)/('SDA Tool'!$D$20-'SDA Tool'!$D$16)&gt;0,'SDA Tool'!$D$17+('SDA Tool'!$D$22-'SDA Tool'!$D$17)*(Z$1-'SDA Tool'!$D$16)/('SDA Tool'!$D$20-'SDA Tool'!$D$16),0.01)))</f>
        <v>0.01</v>
      </c>
      <c r="AA38" s="2">
        <f>IF('SDA Tool'!$D$17&lt;0,"",IF(AA$1&lt;'SDA Tool'!$D$16,"",IF('SDA Tool'!$D$17+('SDA Tool'!$D$22-'SDA Tool'!$D$17)*(AA$1-'SDA Tool'!$D$16)/('SDA Tool'!$D$20-'SDA Tool'!$D$16)&gt;0,'SDA Tool'!$D$17+('SDA Tool'!$D$22-'SDA Tool'!$D$17)*(AA$1-'SDA Tool'!$D$16)/('SDA Tool'!$D$20-'SDA Tool'!$D$16),0.01)))</f>
        <v>0.01</v>
      </c>
      <c r="AB38" s="2">
        <f>IF('SDA Tool'!$D$17&lt;0,"",IF(AB$1&lt;'SDA Tool'!$D$16,"",IF('SDA Tool'!$D$17+('SDA Tool'!$D$22-'SDA Tool'!$D$17)*(AB$1-'SDA Tool'!$D$16)/('SDA Tool'!$D$20-'SDA Tool'!$D$16)&gt;0,'SDA Tool'!$D$17+('SDA Tool'!$D$22-'SDA Tool'!$D$17)*(AB$1-'SDA Tool'!$D$16)/('SDA Tool'!$D$20-'SDA Tool'!$D$16),0.01)))</f>
        <v>0.01</v>
      </c>
      <c r="AC38" s="2">
        <f>IF('SDA Tool'!$D$17&lt;0,"",IF(AC$1&lt;'SDA Tool'!$D$16,"",IF('SDA Tool'!$D$17+('SDA Tool'!$D$22-'SDA Tool'!$D$17)*(AC$1-'SDA Tool'!$D$16)/('SDA Tool'!$D$20-'SDA Tool'!$D$16)&gt;0,'SDA Tool'!$D$17+('SDA Tool'!$D$22-'SDA Tool'!$D$17)*(AC$1-'SDA Tool'!$D$16)/('SDA Tool'!$D$20-'SDA Tool'!$D$16),0.01)))</f>
        <v>0.01</v>
      </c>
      <c r="AD38" s="2">
        <f>IF('SDA Tool'!$D$17&lt;0,"",IF(AD$1&lt;'SDA Tool'!$D$16,"",IF('SDA Tool'!$D$17+('SDA Tool'!$D$22-'SDA Tool'!$D$17)*(AD$1-'SDA Tool'!$D$16)/('SDA Tool'!$D$20-'SDA Tool'!$D$16)&gt;0,'SDA Tool'!$D$17+('SDA Tool'!$D$22-'SDA Tool'!$D$17)*(AD$1-'SDA Tool'!$D$16)/('SDA Tool'!$D$20-'SDA Tool'!$D$16),0.01)))</f>
        <v>0.01</v>
      </c>
      <c r="AE38" s="2">
        <f>IF('SDA Tool'!$D$17&lt;0,"",IF(AE$1&lt;'SDA Tool'!$D$16,"",IF('SDA Tool'!$D$17+('SDA Tool'!$D$22-'SDA Tool'!$D$17)*(AE$1-'SDA Tool'!$D$16)/('SDA Tool'!$D$20-'SDA Tool'!$D$16)&gt;0,'SDA Tool'!$D$17+('SDA Tool'!$D$22-'SDA Tool'!$D$17)*(AE$1-'SDA Tool'!$D$16)/('SDA Tool'!$D$20-'SDA Tool'!$D$16),0.01)))</f>
        <v>0.01</v>
      </c>
      <c r="AF38" s="2">
        <f>IF('SDA Tool'!$D$17&lt;0,"",IF(AF$1&lt;'SDA Tool'!$D$16,"",IF('SDA Tool'!$D$17+('SDA Tool'!$D$22-'SDA Tool'!$D$17)*(AF$1-'SDA Tool'!$D$16)/('SDA Tool'!$D$20-'SDA Tool'!$D$16)&gt;0,'SDA Tool'!$D$17+('SDA Tool'!$D$22-'SDA Tool'!$D$17)*(AF$1-'SDA Tool'!$D$16)/('SDA Tool'!$D$20-'SDA Tool'!$D$16),0.01)))</f>
        <v>0.01</v>
      </c>
      <c r="AG38" s="2">
        <f>IF('SDA Tool'!$D$17&lt;0,"",IF(AG$1&lt;'SDA Tool'!$D$16,"",IF('SDA Tool'!$D$17+('SDA Tool'!$D$22-'SDA Tool'!$D$17)*(AG$1-'SDA Tool'!$D$16)/('SDA Tool'!$D$20-'SDA Tool'!$D$16)&gt;0,'SDA Tool'!$D$17+('SDA Tool'!$D$22-'SDA Tool'!$D$17)*(AG$1-'SDA Tool'!$D$16)/('SDA Tool'!$D$20-'SDA Tool'!$D$16),0.01)))</f>
        <v>0.01</v>
      </c>
      <c r="AH38" s="2">
        <f>IF('SDA Tool'!$D$17&lt;0,"",IF(AH$1&lt;'SDA Tool'!$D$16,"",IF('SDA Tool'!$D$17+('SDA Tool'!$D$22-'SDA Tool'!$D$17)*(AH$1-'SDA Tool'!$D$16)/('SDA Tool'!$D$20-'SDA Tool'!$D$16)&gt;0,'SDA Tool'!$D$17+('SDA Tool'!$D$22-'SDA Tool'!$D$17)*(AH$1-'SDA Tool'!$D$16)/('SDA Tool'!$D$20-'SDA Tool'!$D$16),0.01)))</f>
        <v>0.01</v>
      </c>
      <c r="AI38" s="2">
        <f>IF('SDA Tool'!$D$17&lt;0,"",IF(AI$1&lt;'SDA Tool'!$D$16,"",IF('SDA Tool'!$D$17+('SDA Tool'!$D$22-'SDA Tool'!$D$17)*(AI$1-'SDA Tool'!$D$16)/('SDA Tool'!$D$20-'SDA Tool'!$D$16)&gt;0,'SDA Tool'!$D$17+('SDA Tool'!$D$22-'SDA Tool'!$D$17)*(AI$1-'SDA Tool'!$D$16)/('SDA Tool'!$D$20-'SDA Tool'!$D$16),0.01)))</f>
        <v>0.01</v>
      </c>
      <c r="AJ38" s="2">
        <f>IF('SDA Tool'!$D$17&lt;0,"",IF(AJ$1&lt;'SDA Tool'!$D$16,"",IF('SDA Tool'!$D$17+('SDA Tool'!$D$22-'SDA Tool'!$D$17)*(AJ$1-'SDA Tool'!$D$16)/('SDA Tool'!$D$20-'SDA Tool'!$D$16)&gt;0,'SDA Tool'!$D$17+('SDA Tool'!$D$22-'SDA Tool'!$D$17)*(AJ$1-'SDA Tool'!$D$16)/('SDA Tool'!$D$20-'SDA Tool'!$D$16),0.01)))</f>
        <v>0.01</v>
      </c>
      <c r="AK38" s="2">
        <f>IF('SDA Tool'!$D$17&lt;0,"",IF(AK$1&lt;'SDA Tool'!$D$16,"",IF('SDA Tool'!$D$17+('SDA Tool'!$D$22-'SDA Tool'!$D$17)*(AK$1-'SDA Tool'!$D$16)/('SDA Tool'!$D$20-'SDA Tool'!$D$16)&gt;0,'SDA Tool'!$D$17+('SDA Tool'!$D$22-'SDA Tool'!$D$17)*(AK$1-'SDA Tool'!$D$16)/('SDA Tool'!$D$20-'SDA Tool'!$D$16),0.01)))</f>
        <v>0.01</v>
      </c>
      <c r="AL38" s="2">
        <f>IF('SDA Tool'!$D$17&lt;0,"",IF(AL$1&lt;'SDA Tool'!$D$16,"",IF('SDA Tool'!$D$17+('SDA Tool'!$D$22-'SDA Tool'!$D$17)*(AL$1-'SDA Tool'!$D$16)/('SDA Tool'!$D$20-'SDA Tool'!$D$16)&gt;0,'SDA Tool'!$D$17+('SDA Tool'!$D$22-'SDA Tool'!$D$17)*(AL$1-'SDA Tool'!$D$16)/('SDA Tool'!$D$20-'SDA Tool'!$D$16),0.01)))</f>
        <v>0.01</v>
      </c>
      <c r="AM38" s="2">
        <f>IF('SDA Tool'!$D$17&lt;0,"",IF(AM$1&lt;'SDA Tool'!$D$16,"",IF('SDA Tool'!$D$17+('SDA Tool'!$D$22-'SDA Tool'!$D$17)*(AM$1-'SDA Tool'!$D$16)/('SDA Tool'!$D$20-'SDA Tool'!$D$16)&gt;0,'SDA Tool'!$D$17+('SDA Tool'!$D$22-'SDA Tool'!$D$17)*(AM$1-'SDA Tool'!$D$16)/('SDA Tool'!$D$20-'SDA Tool'!$D$16),0.01)))</f>
        <v>0.01</v>
      </c>
      <c r="AN38" s="2">
        <f>IF('SDA Tool'!$D$17&lt;0,"",IF(AN$1&lt;'SDA Tool'!$D$16,"",IF('SDA Tool'!$D$17+('SDA Tool'!$D$22-'SDA Tool'!$D$17)*(AN$1-'SDA Tool'!$D$16)/('SDA Tool'!$D$20-'SDA Tool'!$D$16)&gt;0,'SDA Tool'!$D$17+('SDA Tool'!$D$22-'SDA Tool'!$D$17)*(AN$1-'SDA Tool'!$D$16)/('SDA Tool'!$D$20-'SDA Tool'!$D$16),0.01)))</f>
        <v>0.01</v>
      </c>
      <c r="AO38" s="2">
        <f>IF('SDA Tool'!$D$17&lt;0,"",IF(AO$1&lt;'SDA Tool'!$D$16,"",IF('SDA Tool'!$D$17+('SDA Tool'!$D$22-'SDA Tool'!$D$17)*(AO$1-'SDA Tool'!$D$16)/('SDA Tool'!$D$20-'SDA Tool'!$D$16)&gt;0,'SDA Tool'!$D$17+('SDA Tool'!$D$22-'SDA Tool'!$D$17)*(AO$1-'SDA Tool'!$D$16)/('SDA Tool'!$D$20-'SDA Tool'!$D$16),0.01)))</f>
        <v>0.01</v>
      </c>
      <c r="AP38" s="2">
        <f>IF('SDA Tool'!$D$17&lt;0,"",IF(AP$1&lt;'SDA Tool'!$D$16,"",IF('SDA Tool'!$D$17+('SDA Tool'!$D$22-'SDA Tool'!$D$17)*(AP$1-'SDA Tool'!$D$16)/('SDA Tool'!$D$20-'SDA Tool'!$D$16)&gt;0,'SDA Tool'!$D$17+('SDA Tool'!$D$22-'SDA Tool'!$D$17)*(AP$1-'SDA Tool'!$D$16)/('SDA Tool'!$D$20-'SDA Tool'!$D$16),0.01)))</f>
        <v>0.01</v>
      </c>
      <c r="AQ38" s="2">
        <f>IF('SDA Tool'!$D$17&lt;0,"",IF(AQ$1&lt;'SDA Tool'!$D$16,"",IF('SDA Tool'!$D$17+('SDA Tool'!$D$22-'SDA Tool'!$D$17)*(AQ$1-'SDA Tool'!$D$16)/('SDA Tool'!$D$20-'SDA Tool'!$D$16)&gt;0,'SDA Tool'!$D$17+('SDA Tool'!$D$22-'SDA Tool'!$D$17)*(AQ$1-'SDA Tool'!$D$16)/('SDA Tool'!$D$20-'SDA Tool'!$D$16),0.01)))</f>
        <v>0.01</v>
      </c>
      <c r="AR38" s="2">
        <f>IF('SDA Tool'!$D$17&lt;0,"",IF(AR$1&lt;'SDA Tool'!$D$16,"",IF('SDA Tool'!$D$17+('SDA Tool'!$D$22-'SDA Tool'!$D$17)*(AR$1-'SDA Tool'!$D$16)/('SDA Tool'!$D$20-'SDA Tool'!$D$16)&gt;0,'SDA Tool'!$D$17+('SDA Tool'!$D$22-'SDA Tool'!$D$17)*(AR$1-'SDA Tool'!$D$16)/('SDA Tool'!$D$20-'SDA Tool'!$D$16),0.01)))</f>
        <v>0.01</v>
      </c>
      <c r="AS38" s="2">
        <f>IF('SDA Tool'!$D$17&lt;0,"",IF(AS$1&lt;'SDA Tool'!$D$16,"",IF('SDA Tool'!$D$17+('SDA Tool'!$D$22-'SDA Tool'!$D$17)*(AS$1-'SDA Tool'!$D$16)/('SDA Tool'!$D$20-'SDA Tool'!$D$16)&gt;0,'SDA Tool'!$D$17+('SDA Tool'!$D$22-'SDA Tool'!$D$17)*(AS$1-'SDA Tool'!$D$16)/('SDA Tool'!$D$20-'SDA Tool'!$D$16),0.01)))</f>
        <v>0.01</v>
      </c>
      <c r="AT38" s="2">
        <f>IF('SDA Tool'!$D$17&lt;0,"",IF(AT$1&lt;'SDA Tool'!$D$16,"",IF('SDA Tool'!$D$17+('SDA Tool'!$D$22-'SDA Tool'!$D$17)*(AT$1-'SDA Tool'!$D$16)/('SDA Tool'!$D$20-'SDA Tool'!$D$16)&gt;0,'SDA Tool'!$D$17+('SDA Tool'!$D$22-'SDA Tool'!$D$17)*(AT$1-'SDA Tool'!$D$16)/('SDA Tool'!$D$20-'SDA Tool'!$D$16),0.01)))</f>
        <v>0.01</v>
      </c>
      <c r="AU38" s="2">
        <f>IF('SDA Tool'!$D$17&lt;0,"",IF(AU$1&lt;'SDA Tool'!$D$16,"",IF('SDA Tool'!$D$17+('SDA Tool'!$D$22-'SDA Tool'!$D$17)*(AU$1-'SDA Tool'!$D$16)/('SDA Tool'!$D$20-'SDA Tool'!$D$16)&gt;0,'SDA Tool'!$D$17+('SDA Tool'!$D$22-'SDA Tool'!$D$17)*(AU$1-'SDA Tool'!$D$16)/('SDA Tool'!$D$20-'SDA Tool'!$D$16),0.01)))</f>
        <v>0.01</v>
      </c>
      <c r="AV38" s="2">
        <f>IF('SDA Tool'!$D$17&lt;0,"",IF(AV$1&lt;'SDA Tool'!$D$16,"",IF('SDA Tool'!$D$17+('SDA Tool'!$D$22-'SDA Tool'!$D$17)*(AV$1-'SDA Tool'!$D$16)/('SDA Tool'!$D$20-'SDA Tool'!$D$16)&gt;0,'SDA Tool'!$D$17+('SDA Tool'!$D$22-'SDA Tool'!$D$17)*(AV$1-'SDA Tool'!$D$16)/('SDA Tool'!$D$20-'SDA Tool'!$D$16),0.01)))</f>
        <v>0.01</v>
      </c>
      <c r="AW38" s="2">
        <f>IF('SDA Tool'!$D$17&lt;0,"",IF(AW$1&lt;'SDA Tool'!$D$16,"",IF('SDA Tool'!$D$17+('SDA Tool'!$D$22-'SDA Tool'!$D$17)*(AW$1-'SDA Tool'!$D$16)/('SDA Tool'!$D$20-'SDA Tool'!$D$16)&gt;0,'SDA Tool'!$D$17+('SDA Tool'!$D$22-'SDA Tool'!$D$17)*(AW$1-'SDA Tool'!$D$16)/('SDA Tool'!$D$20-'SDA Tool'!$D$16),0.01)))</f>
        <v>0.01</v>
      </c>
      <c r="AX38" s="2">
        <f>IF('SDA Tool'!$D$17&lt;0,"",IF(AX$1&lt;'SDA Tool'!$D$16,"",IF('SDA Tool'!$D$17+('SDA Tool'!$D$22-'SDA Tool'!$D$17)*(AX$1-'SDA Tool'!$D$16)/('SDA Tool'!$D$20-'SDA Tool'!$D$16)&gt;0,'SDA Tool'!$D$17+('SDA Tool'!$D$22-'SDA Tool'!$D$17)*(AX$1-'SDA Tool'!$D$16)/('SDA Tool'!$D$20-'SDA Tool'!$D$16),0.01)))</f>
        <v>0.01</v>
      </c>
    </row>
    <row r="41" spans="1:91" s="43" customFormat="1" ht="22.5" x14ac:dyDescent="0.45">
      <c r="A41" s="62" t="s">
        <v>151</v>
      </c>
      <c r="D41" s="54"/>
      <c r="E41" s="54"/>
      <c r="F41" s="123"/>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row>
    <row r="42" spans="1:91" ht="13" x14ac:dyDescent="0.3">
      <c r="A42" s="1" t="s">
        <v>152</v>
      </c>
    </row>
    <row r="43" spans="1:91" ht="13" x14ac:dyDescent="0.3">
      <c r="A43" s="1"/>
      <c r="B43" t="s">
        <v>153</v>
      </c>
      <c r="D43" s="1" t="e">
        <f>IF(AND(D$1&gt;='SDA Tool'!$D$16,D$1&lt;=2060),IF(D$1='SDA Tool'!$D$16,'SDA Tool'!$D$16,D$1),NA())</f>
        <v>#N/A</v>
      </c>
      <c r="E43" s="1" t="e">
        <f>IF(AND(E$1&gt;='SDA Tool'!$D$16,E$1&lt;=2060),IF(E$1='SDA Tool'!$D$16,'SDA Tool'!$D$16,E$1),NA())</f>
        <v>#N/A</v>
      </c>
      <c r="F43" s="1" t="e">
        <f>IF(AND(F$1&gt;='SDA Tool'!$D$16,F$1&lt;=2060),IF(F$1='SDA Tool'!$D$16,'SDA Tool'!$D$16,F$1),NA())</f>
        <v>#N/A</v>
      </c>
      <c r="G43" s="1" t="e">
        <f>IF(AND(G$1&gt;='SDA Tool'!$D$16,G$1&lt;=2060),IF(G$1='SDA Tool'!$D$16,'SDA Tool'!$D$16,G$1),NA())</f>
        <v>#N/A</v>
      </c>
      <c r="H43" s="1" t="e">
        <f>IF(AND(H$1&gt;='SDA Tool'!$D$16,H$1&lt;=2060),IF(H$1='SDA Tool'!$D$16,'SDA Tool'!$D$16,H$1),NA())</f>
        <v>#N/A</v>
      </c>
      <c r="I43" s="1" t="e">
        <f>IF(AND(I$1&gt;='SDA Tool'!$D$16,I$1&lt;=2060),IF(I$1='SDA Tool'!$D$16,'SDA Tool'!$D$16,I$1),NA())</f>
        <v>#N/A</v>
      </c>
      <c r="J43" s="1">
        <f>IF(AND(J$1&gt;='SDA Tool'!$D$16,J$1&lt;=2060),IF(J$1='SDA Tool'!$D$16,'SDA Tool'!$D$16,J$1),NA())</f>
        <v>2020</v>
      </c>
      <c r="K43" s="1">
        <f>IF(AND(K$1&gt;='SDA Tool'!$D$16,K$1&lt;=2060),IF(K$1='SDA Tool'!$D$16,'SDA Tool'!$D$16,K$1),NA())</f>
        <v>2021</v>
      </c>
      <c r="L43" s="1">
        <f>IF(AND(L$1&gt;='SDA Tool'!$D$16,L$1&lt;=2060),IF(L$1='SDA Tool'!$D$16,'SDA Tool'!$D$16,L$1),NA())</f>
        <v>2022</v>
      </c>
      <c r="M43" s="1">
        <f>IF(AND(M$1&gt;='SDA Tool'!$D$16,M$1&lt;=2060),IF(M$1='SDA Tool'!$D$16,'SDA Tool'!$D$16,M$1),NA())</f>
        <v>2023</v>
      </c>
      <c r="N43" s="1">
        <f>IF(AND(N$1&gt;='SDA Tool'!$D$16,N$1&lt;=2060),IF(N$1='SDA Tool'!$D$16,'SDA Tool'!$D$16,N$1),NA())</f>
        <v>2024</v>
      </c>
      <c r="O43" s="1">
        <f>IF(AND(O$1&gt;='SDA Tool'!$D$16,O$1&lt;=2060),IF(O$1='SDA Tool'!$D$16,'SDA Tool'!$D$16,O$1),NA())</f>
        <v>2025</v>
      </c>
      <c r="P43" s="1">
        <f>IF(AND(P$1&gt;='SDA Tool'!$D$16,P$1&lt;=2060),IF(P$1='SDA Tool'!$D$16,'SDA Tool'!$D$16,P$1),NA())</f>
        <v>2026</v>
      </c>
      <c r="Q43" s="1">
        <f>IF(AND(Q$1&gt;='SDA Tool'!$D$16,Q$1&lt;=2060),IF(Q$1='SDA Tool'!$D$16,'SDA Tool'!$D$16,Q$1),NA())</f>
        <v>2027</v>
      </c>
      <c r="R43" s="1">
        <f>IF(AND(R$1&gt;='SDA Tool'!$D$16,R$1&lt;=2060),IF(R$1='SDA Tool'!$D$16,'SDA Tool'!$D$16,R$1),NA())</f>
        <v>2028</v>
      </c>
      <c r="S43" s="1">
        <f>IF(AND(S$1&gt;='SDA Tool'!$D$16,S$1&lt;=2060),IF(S$1='SDA Tool'!$D$16,'SDA Tool'!$D$16,S$1),NA())</f>
        <v>2029</v>
      </c>
      <c r="T43" s="1">
        <f>IF(AND(T$1&gt;='SDA Tool'!$D$16,T$1&lt;=2060),IF(T$1='SDA Tool'!$D$16,'SDA Tool'!$D$16,T$1),NA())</f>
        <v>2030</v>
      </c>
      <c r="U43" s="1">
        <f>IF(AND(U$1&gt;='SDA Tool'!$D$16,U$1&lt;=2060),IF(U$1='SDA Tool'!$D$16,'SDA Tool'!$D$16,U$1),NA())</f>
        <v>2031</v>
      </c>
      <c r="V43" s="1">
        <f>IF(AND(V$1&gt;='SDA Tool'!$D$16,V$1&lt;=2060),IF(V$1='SDA Tool'!$D$16,'SDA Tool'!$D$16,V$1),NA())</f>
        <v>2032</v>
      </c>
      <c r="W43" s="1">
        <f>IF(AND(W$1&gt;='SDA Tool'!$D$16,W$1&lt;=2060),IF(W$1='SDA Tool'!$D$16,'SDA Tool'!$D$16,W$1),NA())</f>
        <v>2033</v>
      </c>
      <c r="X43" s="1">
        <f>IF(AND(X$1&gt;='SDA Tool'!$D$16,X$1&lt;=2060),IF(X$1='SDA Tool'!$D$16,'SDA Tool'!$D$16,X$1),NA())</f>
        <v>2034</v>
      </c>
      <c r="Y43" s="1">
        <f>IF(AND(Y$1&gt;='SDA Tool'!$D$16,Y$1&lt;=2060),IF(Y$1='SDA Tool'!$D$16,'SDA Tool'!$D$16,Y$1),NA())</f>
        <v>2035</v>
      </c>
      <c r="Z43" s="1">
        <f>IF(AND(Z$1&gt;='SDA Tool'!$D$16,Z$1&lt;=2060),IF(Z$1='SDA Tool'!$D$16,'SDA Tool'!$D$16,Z$1),NA())</f>
        <v>2036</v>
      </c>
      <c r="AA43" s="1">
        <f>IF(AND(AA$1&gt;='SDA Tool'!$D$16,AA$1&lt;=2060),IF(AA$1='SDA Tool'!$D$16,'SDA Tool'!$D$16,AA$1),NA())</f>
        <v>2037</v>
      </c>
      <c r="AB43" s="1">
        <f>IF(AND(AB$1&gt;='SDA Tool'!$D$16,AB$1&lt;=2060),IF(AB$1='SDA Tool'!$D$16,'SDA Tool'!$D$16,AB$1),NA())</f>
        <v>2038</v>
      </c>
      <c r="AC43" s="1">
        <f>IF(AND(AC$1&gt;='SDA Tool'!$D$16,AC$1&lt;=2060),IF(AC$1='SDA Tool'!$D$16,'SDA Tool'!$D$16,AC$1),NA())</f>
        <v>2039</v>
      </c>
      <c r="AD43" s="1">
        <f>IF(AND(AD$1&gt;='SDA Tool'!$D$16,AD$1&lt;=2060),IF(AD$1='SDA Tool'!$D$16,'SDA Tool'!$D$16,AD$1),NA())</f>
        <v>2040</v>
      </c>
      <c r="AE43" s="1">
        <f>IF(AND(AE$1&gt;='SDA Tool'!$D$16,AE$1&lt;=2060),IF(AE$1='SDA Tool'!$D$16,'SDA Tool'!$D$16,AE$1),NA())</f>
        <v>2041</v>
      </c>
      <c r="AF43" s="1">
        <f>IF(AND(AF$1&gt;='SDA Tool'!$D$16,AF$1&lt;=2060),IF(AF$1='SDA Tool'!$D$16,'SDA Tool'!$D$16,AF$1),NA())</f>
        <v>2042</v>
      </c>
      <c r="AG43" s="1">
        <f>IF(AND(AG$1&gt;='SDA Tool'!$D$16,AG$1&lt;=2060),IF(AG$1='SDA Tool'!$D$16,'SDA Tool'!$D$16,AG$1),NA())</f>
        <v>2043</v>
      </c>
      <c r="AH43" s="1">
        <f>IF(AND(AH$1&gt;='SDA Tool'!$D$16,AH$1&lt;=2060),IF(AH$1='SDA Tool'!$D$16,'SDA Tool'!$D$16,AH$1),NA())</f>
        <v>2044</v>
      </c>
      <c r="AI43" s="1">
        <f>IF(AND(AI$1&gt;='SDA Tool'!$D$16,AI$1&lt;=2060),IF(AI$1='SDA Tool'!$D$16,'SDA Tool'!$D$16,AI$1),NA())</f>
        <v>2045</v>
      </c>
      <c r="AJ43" s="1">
        <f>IF(AND(AJ$1&gt;='SDA Tool'!$D$16,AJ$1&lt;=2060),IF(AJ$1='SDA Tool'!$D$16,'SDA Tool'!$D$16,AJ$1),NA())</f>
        <v>2046</v>
      </c>
      <c r="AK43" s="1">
        <f>IF(AND(AK$1&gt;='SDA Tool'!$D$16,AK$1&lt;=2060),IF(AK$1='SDA Tool'!$D$16,'SDA Tool'!$D$16,AK$1),NA())</f>
        <v>2047</v>
      </c>
      <c r="AL43" s="1">
        <f>IF(AND(AL$1&gt;='SDA Tool'!$D$16,AL$1&lt;=2060),IF(AL$1='SDA Tool'!$D$16,'SDA Tool'!$D$16,AL$1),NA())</f>
        <v>2048</v>
      </c>
      <c r="AM43" s="1">
        <f>IF(AND(AM$1&gt;='SDA Tool'!$D$16,AM$1&lt;=2060),IF(AM$1='SDA Tool'!$D$16,'SDA Tool'!$D$16,AM$1),NA())</f>
        <v>2049</v>
      </c>
      <c r="AN43" s="1">
        <f>IF(AND(AN$1&gt;='SDA Tool'!$D$16,AN$1&lt;=2060),IF(AN$1='SDA Tool'!$D$16,'SDA Tool'!$D$16,AN$1),NA())</f>
        <v>2050</v>
      </c>
      <c r="AO43" s="61"/>
      <c r="AP43" s="61"/>
      <c r="AQ43" s="61"/>
      <c r="AR43" s="61"/>
      <c r="AS43" s="61"/>
      <c r="AT43" s="61"/>
      <c r="AU43" s="61"/>
      <c r="AV43" s="61"/>
      <c r="AW43" s="61"/>
      <c r="AX43" s="61"/>
    </row>
    <row r="44" spans="1:91" x14ac:dyDescent="0.25">
      <c r="A44" t="s">
        <v>154</v>
      </c>
      <c r="B44" t="s">
        <v>155</v>
      </c>
      <c r="C44" t="s">
        <v>156</v>
      </c>
      <c r="D44" s="2" t="str">
        <f>IF(D1&gt;='SDA Tool'!$D16,IF(('SDA Tool'!$D$17/HLOOKUP('SDA Tool'!$D$16,$D$1:$N$8,ROW($A$8),))/(D$34/D$8)&lt;=1,('SDA Tool'!$D$17/HLOOKUP('SDA Tool'!$D$16,$D$1:$N$8,ROW($A$8),))/(D$34/D$8),1),"")</f>
        <v/>
      </c>
      <c r="E44" s="2" t="str">
        <f>IF(E1&gt;='SDA Tool'!$D16,IF(('SDA Tool'!$D$17/HLOOKUP('SDA Tool'!$D$16,$D$1:$N$8,ROW($A$8),))/(E$34/E$8)&lt;=1,('SDA Tool'!$D$17/HLOOKUP('SDA Tool'!$D$16,$D$1:$N$8,ROW($A$8),))/(E$34/E$8),1),"")</f>
        <v/>
      </c>
      <c r="F44" s="2" t="str">
        <f>IF(F1&gt;='SDA Tool'!$D16,IF(('SDA Tool'!$D$17/HLOOKUP('SDA Tool'!$D$16,$D$1:$N$8,ROW($A$8),))/(F$34/F$8)&lt;=1,('SDA Tool'!$D$17/HLOOKUP('SDA Tool'!$D$16,$D$1:$N$8,ROW($A$8),))/(F$34/F$8),1),"")</f>
        <v/>
      </c>
      <c r="G44" s="2" t="str">
        <f>IF(G1&gt;='SDA Tool'!$D16,IF(('SDA Tool'!$D$17/HLOOKUP('SDA Tool'!$D$16,$D$1:$N$8,ROW($A$8),))/(G$34/G$8)&lt;=1,('SDA Tool'!$D$17/HLOOKUP('SDA Tool'!$D$16,$D$1:$N$8,ROW($A$8),))/(G$34/G$8),1),"")</f>
        <v/>
      </c>
      <c r="H44" s="2" t="str">
        <f>IF(H1&gt;='SDA Tool'!$D16,IF(('SDA Tool'!$D$17/HLOOKUP('SDA Tool'!$D$16,$D$1:$N$8,ROW($A$8),))/(H$34/H$8)&lt;=1,('SDA Tool'!$D$17/HLOOKUP('SDA Tool'!$D$16,$D$1:$N$8,ROW($A$8),))/(H$34/H$8),1),"")</f>
        <v/>
      </c>
      <c r="I44" s="2" t="str">
        <f>IF(I1&gt;='SDA Tool'!$D16,IF(('SDA Tool'!$D$17/HLOOKUP('SDA Tool'!$D$16,$D$1:$N$8,ROW($A$8),))/(I$34/I$8)&lt;=1,('SDA Tool'!$D$17/HLOOKUP('SDA Tool'!$D$16,$D$1:$N$8,ROW($A$8),))/(I$34/I$8),1),"")</f>
        <v/>
      </c>
      <c r="J44" s="2">
        <f>IF(J1&gt;='SDA Tool'!$D16,IF(('SDA Tool'!$D$17/HLOOKUP('SDA Tool'!$D$16,$D$1:$N$8,ROW($A$8),))/(J$34/J$8)&lt;=1,('SDA Tool'!$D$17/HLOOKUP('SDA Tool'!$D$16,$D$1:$N$8,ROW($A$8),))/(J$34/J$8),1),"")</f>
        <v>1</v>
      </c>
      <c r="K44" s="2">
        <f>IF(K1&gt;='SDA Tool'!$D16,IF(('SDA Tool'!$D$17/HLOOKUP('SDA Tool'!$D$16,$D$1:$N$8,ROW($A$8),))/(K$34/K$8)&lt;=1,('SDA Tool'!$D$17/HLOOKUP('SDA Tool'!$D$16,$D$1:$N$8,ROW($A$8),))/(K$34/K$8),1),"")</f>
        <v>1</v>
      </c>
      <c r="L44" s="2">
        <f>IF(L1&gt;='SDA Tool'!$D16,IF(('SDA Tool'!$D$17/HLOOKUP('SDA Tool'!$D$16,$D$1:$N$8,ROW($A$8),))/(L$34/L$8)&lt;=1,('SDA Tool'!$D$17/HLOOKUP('SDA Tool'!$D$16,$D$1:$N$8,ROW($A$8),))/(L$34/L$8),1),"")</f>
        <v>0.99999999999999989</v>
      </c>
      <c r="M44" s="2">
        <f>IF(M1&gt;='SDA Tool'!$D16,IF(('SDA Tool'!$D$17/HLOOKUP('SDA Tool'!$D$16,$D$1:$N$8,ROW($A$8),))/(M$34/M$8)&lt;=1,('SDA Tool'!$D$17/HLOOKUP('SDA Tool'!$D$16,$D$1:$N$8,ROW($A$8),))/(M$34/M$8),1),"")</f>
        <v>1.0000000000000002</v>
      </c>
      <c r="N44" s="2">
        <f>IF(N1&gt;='SDA Tool'!$D16,IF(('SDA Tool'!$D$17/HLOOKUP('SDA Tool'!$D$16,$D$1:$N$8,ROW($A$8),))/(N$34/N$8)&lt;=1,('SDA Tool'!$D$17/HLOOKUP('SDA Tool'!$D$16,$D$1:$N$8,ROW($A$8),))/(N$34/N$8),1),"")</f>
        <v>0.99999999999999989</v>
      </c>
      <c r="O44" s="2">
        <f>IF(O1&gt;='SDA Tool'!$D16,IF(('SDA Tool'!$D$17/HLOOKUP('SDA Tool'!$D$16,$D$1:$N$8,ROW($A$8),))/(O$34/O$8)&lt;=1,('SDA Tool'!$D$17/HLOOKUP('SDA Tool'!$D$16,$D$1:$N$8,ROW($A$8),))/(O$34/O$8),1),"")</f>
        <v>1</v>
      </c>
      <c r="P44" s="2">
        <f>IF(P1&gt;='SDA Tool'!$D16,IF(('SDA Tool'!$D$17/HLOOKUP('SDA Tool'!$D$16,$D$1:$N$8,ROW($A$8),))/(P$34/P$8)&lt;=1,('SDA Tool'!$D$17/HLOOKUP('SDA Tool'!$D$16,$D$1:$N$8,ROW($A$8),))/(P$34/P$8),1),"")</f>
        <v>1</v>
      </c>
      <c r="Q44" s="2">
        <f>IF(Q1&gt;='SDA Tool'!$D16,IF(('SDA Tool'!$D$17/HLOOKUP('SDA Tool'!$D$16,$D$1:$N$8,ROW($A$8),))/(Q$34/Q$8)&lt;=1,('SDA Tool'!$D$17/HLOOKUP('SDA Tool'!$D$16,$D$1:$N$8,ROW($A$8),))/(Q$34/Q$8),1),"")</f>
        <v>1</v>
      </c>
      <c r="R44" s="2">
        <f>IF(R1&gt;='SDA Tool'!$D16,IF(('SDA Tool'!$D$17/HLOOKUP('SDA Tool'!$D$16,$D$1:$N$8,ROW($A$8),))/(R$34/R$8)&lt;=1,('SDA Tool'!$D$17/HLOOKUP('SDA Tool'!$D$16,$D$1:$N$8,ROW($A$8),))/(R$34/R$8),1),"")</f>
        <v>1</v>
      </c>
      <c r="S44" s="2">
        <f>IF(S1&gt;='SDA Tool'!$D16,IF(('SDA Tool'!$D$17/HLOOKUP('SDA Tool'!$D$16,$D$1:$N$8,ROW($A$8),))/(S$34/S$8)&lt;=1,('SDA Tool'!$D$17/HLOOKUP('SDA Tool'!$D$16,$D$1:$N$8,ROW($A$8),))/(S$34/S$8),1),"")</f>
        <v>1</v>
      </c>
      <c r="T44" s="2">
        <f>IF(T1&gt;='SDA Tool'!$D16,IF(('SDA Tool'!$D$17/HLOOKUP('SDA Tool'!$D$16,$D$1:$N$8,ROW($A$8),))/(T$34/T$8)&lt;=1,('SDA Tool'!$D$17/HLOOKUP('SDA Tool'!$D$16,$D$1:$N$8,ROW($A$8),))/(T$34/T$8),1),"")</f>
        <v>1</v>
      </c>
      <c r="U44" s="2">
        <f>IF(U1&gt;='SDA Tool'!$D16,IF(('SDA Tool'!$D$17/HLOOKUP('SDA Tool'!$D$16,$D$1:$N$8,ROW($A$8),))/(U$34/U$8)&lt;=1,('SDA Tool'!$D$17/HLOOKUP('SDA Tool'!$D$16,$D$1:$N$8,ROW($A$8),))/(U$34/U$8),1),"")</f>
        <v>1</v>
      </c>
      <c r="V44" s="2">
        <f>IF(V1&gt;='SDA Tool'!$D16,IF(('SDA Tool'!$D$17/HLOOKUP('SDA Tool'!$D$16,$D$1:$N$8,ROW($A$8),))/(V$34/V$8)&lt;=1,('SDA Tool'!$D$17/HLOOKUP('SDA Tool'!$D$16,$D$1:$N$8,ROW($A$8),))/(V$34/V$8),1),"")</f>
        <v>0.99999999999999989</v>
      </c>
      <c r="W44" s="2">
        <f>IF(W1&gt;='SDA Tool'!$D16,IF(('SDA Tool'!$D$17/HLOOKUP('SDA Tool'!$D$16,$D$1:$N$8,ROW($A$8),))/(W$34/W$8)&lt;=1,('SDA Tool'!$D$17/HLOOKUP('SDA Tool'!$D$16,$D$1:$N$8,ROW($A$8),))/(W$34/W$8),1),"")</f>
        <v>0.99999999999999989</v>
      </c>
      <c r="X44" s="2">
        <f>IF(X1&gt;='SDA Tool'!$D16,IF(('SDA Tool'!$D$17/HLOOKUP('SDA Tool'!$D$16,$D$1:$N$8,ROW($A$8),))/(X$34/X$8)&lt;=1,('SDA Tool'!$D$17/HLOOKUP('SDA Tool'!$D$16,$D$1:$N$8,ROW($A$8),))/(X$34/X$8),1),"")</f>
        <v>1</v>
      </c>
      <c r="Y44" s="2">
        <f>IF(Y1&gt;='SDA Tool'!$D16,IF(('SDA Tool'!$D$17/HLOOKUP('SDA Tool'!$D$16,$D$1:$N$8,ROW($A$8),))/(Y$34/Y$8)&lt;=1,('SDA Tool'!$D$17/HLOOKUP('SDA Tool'!$D$16,$D$1:$N$8,ROW($A$8),))/(Y$34/Y$8),1),"")</f>
        <v>0.99999999999999989</v>
      </c>
      <c r="Z44" s="2">
        <f>IF(Z1&gt;='SDA Tool'!$D16,IF(('SDA Tool'!$D$17/HLOOKUP('SDA Tool'!$D$16,$D$1:$N$8,ROW($A$8),))/(Z$34/Z$8)&lt;=1,('SDA Tool'!$D$17/HLOOKUP('SDA Tool'!$D$16,$D$1:$N$8,ROW($A$8),))/(Z$34/Z$8),1),"")</f>
        <v>1</v>
      </c>
      <c r="AA44" s="2">
        <f>IF(AA1&gt;='SDA Tool'!$D16,IF(('SDA Tool'!$D$17/HLOOKUP('SDA Tool'!$D$16,$D$1:$N$8,ROW($A$8),))/(AA$34/AA$8)&lt;=1,('SDA Tool'!$D$17/HLOOKUP('SDA Tool'!$D$16,$D$1:$N$8,ROW($A$8),))/(AA$34/AA$8),1),"")</f>
        <v>0.99999999999999989</v>
      </c>
      <c r="AB44" s="2">
        <f>IF(AB1&gt;='SDA Tool'!$D16,IF(('SDA Tool'!$D$17/HLOOKUP('SDA Tool'!$D$16,$D$1:$N$8,ROW($A$8),))/(AB$34/AB$8)&lt;=1,('SDA Tool'!$D$17/HLOOKUP('SDA Tool'!$D$16,$D$1:$N$8,ROW($A$8),))/(AB$34/AB$8),1),"")</f>
        <v>1</v>
      </c>
      <c r="AC44" s="2">
        <f>IF(AC1&gt;='SDA Tool'!$D16,IF(('SDA Tool'!$D$17/HLOOKUP('SDA Tool'!$D$16,$D$1:$N$8,ROW($A$8),))/(AC$34/AC$8)&lt;=1,('SDA Tool'!$D$17/HLOOKUP('SDA Tool'!$D$16,$D$1:$N$8,ROW($A$8),))/(AC$34/AC$8),1),"")</f>
        <v>1</v>
      </c>
      <c r="AD44" s="2">
        <f>IF(AD1&gt;='SDA Tool'!$D16,IF(('SDA Tool'!$D$17/HLOOKUP('SDA Tool'!$D$16,$D$1:$N$8,ROW($A$8),))/(AD$34/AD$8)&lt;=1,('SDA Tool'!$D$17/HLOOKUP('SDA Tool'!$D$16,$D$1:$N$8,ROW($A$8),))/(AD$34/AD$8),1),"")</f>
        <v>1</v>
      </c>
      <c r="AE44" s="2">
        <f>IF(AE1&gt;='SDA Tool'!$D16,IF(('SDA Tool'!$D$17/HLOOKUP('SDA Tool'!$D$16,$D$1:$N$8,ROW($A$8),))/(AE$34/AE$8)&lt;=1,('SDA Tool'!$D$17/HLOOKUP('SDA Tool'!$D$16,$D$1:$N$8,ROW($A$8),))/(AE$34/AE$8),1),"")</f>
        <v>1</v>
      </c>
      <c r="AF44" s="2">
        <f>IF(AF1&gt;='SDA Tool'!$D16,IF(('SDA Tool'!$D$17/HLOOKUP('SDA Tool'!$D$16,$D$1:$N$8,ROW($A$8),))/(AF$34/AF$8)&lt;=1,('SDA Tool'!$D$17/HLOOKUP('SDA Tool'!$D$16,$D$1:$N$8,ROW($A$8),))/(AF$34/AF$8),1),"")</f>
        <v>1</v>
      </c>
      <c r="AG44" s="2">
        <f>IF(AG1&gt;='SDA Tool'!$D16,IF(('SDA Tool'!$D$17/HLOOKUP('SDA Tool'!$D$16,$D$1:$N$8,ROW($A$8),))/(AG$34/AG$8)&lt;=1,('SDA Tool'!$D$17/HLOOKUP('SDA Tool'!$D$16,$D$1:$N$8,ROW($A$8),))/(AG$34/AG$8),1),"")</f>
        <v>1</v>
      </c>
      <c r="AH44" s="2">
        <f>IF(AH1&gt;='SDA Tool'!$D16,IF(('SDA Tool'!$D$17/HLOOKUP('SDA Tool'!$D$16,$D$1:$N$8,ROW($A$8),))/(AH$34/AH$8)&lt;=1,('SDA Tool'!$D$17/HLOOKUP('SDA Tool'!$D$16,$D$1:$N$8,ROW($A$8),))/(AH$34/AH$8),1),"")</f>
        <v>1</v>
      </c>
      <c r="AI44" s="2">
        <f>IF(AI1&gt;='SDA Tool'!$D16,IF(('SDA Tool'!$D$17/HLOOKUP('SDA Tool'!$D$16,$D$1:$N$8,ROW($A$8),))/(AI$34/AI$8)&lt;=1,('SDA Tool'!$D$17/HLOOKUP('SDA Tool'!$D$16,$D$1:$N$8,ROW($A$8),))/(AI$34/AI$8),1),"")</f>
        <v>1</v>
      </c>
      <c r="AJ44" s="2">
        <f>IF(AJ1&gt;='SDA Tool'!$D16,IF(('SDA Tool'!$D$17/HLOOKUP('SDA Tool'!$D$16,$D$1:$N$8,ROW($A$8),))/(AJ$34/AJ$8)&lt;=1,('SDA Tool'!$D$17/HLOOKUP('SDA Tool'!$D$16,$D$1:$N$8,ROW($A$8),))/(AJ$34/AJ$8),1),"")</f>
        <v>0.99999999999999989</v>
      </c>
      <c r="AK44" s="2">
        <f>IF(AK1&gt;='SDA Tool'!$D16,IF(('SDA Tool'!$D$17/HLOOKUP('SDA Tool'!$D$16,$D$1:$N$8,ROW($A$8),))/(AK$34/AK$8)&lt;=1,('SDA Tool'!$D$17/HLOOKUP('SDA Tool'!$D$16,$D$1:$N$8,ROW($A$8),))/(AK$34/AK$8),1),"")</f>
        <v>1.0000000000000002</v>
      </c>
      <c r="AL44" s="2">
        <f>IF(AL1&gt;='SDA Tool'!$D16,IF(('SDA Tool'!$D$17/HLOOKUP('SDA Tool'!$D$16,$D$1:$N$8,ROW($A$8),))/(AL$34/AL$8)&lt;=1,('SDA Tool'!$D$17/HLOOKUP('SDA Tool'!$D$16,$D$1:$N$8,ROW($A$8),))/(AL$34/AL$8),1),"")</f>
        <v>0.99999999999999989</v>
      </c>
      <c r="AM44" s="2">
        <f>IF(AM1&gt;='SDA Tool'!$D16,IF(('SDA Tool'!$D$17/HLOOKUP('SDA Tool'!$D$16,$D$1:$N$8,ROW($A$8),))/(AM$34/AM$8)&lt;=1,('SDA Tool'!$D$17/HLOOKUP('SDA Tool'!$D$16,$D$1:$N$8,ROW($A$8),))/(AM$34/AM$8),1),"")</f>
        <v>0.99999999999999989</v>
      </c>
      <c r="AN44" s="2">
        <f>IF(AN1&gt;='SDA Tool'!$D16,IF(('SDA Tool'!$D$17/HLOOKUP('SDA Tool'!$D$16,$D$1:$N$8,ROW($A$8),))/(AN$34/AN$8)&lt;=1,('SDA Tool'!$D$17/HLOOKUP('SDA Tool'!$D$16,$D$1:$N$8,ROW($A$8),))/(AN$34/AN$8),1),"")</f>
        <v>1</v>
      </c>
      <c r="AO44" s="61"/>
      <c r="AP44" s="61"/>
      <c r="AQ44" s="61"/>
      <c r="AR44" s="61"/>
      <c r="AS44" s="61"/>
      <c r="AT44" s="61"/>
      <c r="AU44" s="61"/>
      <c r="AV44" s="61"/>
      <c r="AW44" s="61"/>
      <c r="AX44" s="61"/>
    </row>
    <row r="45" spans="1:91" x14ac:dyDescent="0.25">
      <c r="A45" t="s">
        <v>157</v>
      </c>
      <c r="B45" s="528" t="s">
        <v>541</v>
      </c>
      <c r="C45" t="str">
        <f>INDEX(Lists!$E$2:$E$50,MATCH('SDA Tool'!$D$15,Lists!$B$2:$B$50,0))</f>
        <v>tCO2/t</v>
      </c>
      <c r="D45" s="119">
        <f>'SDA Tool'!$D$18*INDEX(Lists!$F$2:$F$50,MATCH('SDA Tool'!$D$15,Lists!$B$2:$B$50,0))/'SDA Tool'!$D$17-$AN$14</f>
        <v>0.11304347826086958</v>
      </c>
      <c r="E45" s="124">
        <f>IF($AN$14&gt;0,'SDA Tool'!$D$18*INDEX(Lists!$F$2:$F$50,MATCH('SDA Tool'!$D$15,Lists!$B$2:$B$7,0))/'SDA Tool'!$D$17-$AN$14, 'SDA Tool'!$D$18*INDEX(Lists!$F$2:$F$50,MATCH('SDA Tool'!$D$15,Lists!$B$2:$B$7,0))/'SDA Tool'!$D$17+ABS(AN14))</f>
        <v>0.11304347826086958</v>
      </c>
      <c r="AO45" s="61"/>
      <c r="AP45" s="61"/>
      <c r="AQ45" s="61"/>
      <c r="AR45" s="61"/>
      <c r="AS45" s="61"/>
      <c r="AT45" s="61"/>
      <c r="AU45" s="61"/>
      <c r="AV45" s="61"/>
      <c r="AW45" s="61"/>
      <c r="AX45" s="61"/>
    </row>
    <row r="46" spans="1:91" x14ac:dyDescent="0.25">
      <c r="A46" t="s">
        <v>158</v>
      </c>
      <c r="B46" s="528" t="s">
        <v>542</v>
      </c>
      <c r="C46" t="s">
        <v>156</v>
      </c>
      <c r="D46" s="2" t="str">
        <f>IF(D$1&lt;'SDA Tool'!$D$16,"",(D$14-$AN$14)/(HLOOKUP('SDA Tool'!$D$16,$D$1:$CL$15,ROW($A$14),)-$AN$14))</f>
        <v/>
      </c>
      <c r="E46" s="2" t="str">
        <f>IF(E$1&lt;'SDA Tool'!$D$16,"",(E$14-$AN$14)/(HLOOKUP('SDA Tool'!$D$16,$D$1:$CL$15,ROW($A$14),)-$AN$14))</f>
        <v/>
      </c>
      <c r="F46" s="2" t="str">
        <f>IF(F$1&lt;'SDA Tool'!$D$16,"",(F$14-$AN$14)/(HLOOKUP('SDA Tool'!$D$16,$D$1:$CL$15,ROW($A$14),)-$AN$14))</f>
        <v/>
      </c>
      <c r="G46" s="2" t="str">
        <f>IF(G$1&lt;'SDA Tool'!$D$16,"",(G$14-$AN$14)/(HLOOKUP('SDA Tool'!$D$16,$D$1:$CL$15,ROW($A$14),)-$AN$14))</f>
        <v/>
      </c>
      <c r="H46" s="2" t="str">
        <f>IF(H$1&lt;'SDA Tool'!$D$16,"",(H$14-$AN$14)/(HLOOKUP('SDA Tool'!$D$16,$D$1:$CL$15,ROW($A$14),)-$AN$14))</f>
        <v/>
      </c>
      <c r="I46" s="2" t="str">
        <f>IF(I$1&lt;'SDA Tool'!$D$16,"",(I$14-$AN$14)/(HLOOKUP('SDA Tool'!$D$16,$D$1:$CL$15,ROW($A$14),)-$AN$14))</f>
        <v/>
      </c>
      <c r="J46" s="2">
        <f>IF(J$1&lt;'SDA Tool'!$D$16,"",(J$14-$AN$14)/(HLOOKUP('SDA Tool'!$D$16,$D$1:$CL$15,ROW($A$14),)-$AN$14))</f>
        <v>1</v>
      </c>
      <c r="K46" s="2">
        <f>IF(K$1&lt;'SDA Tool'!$D$16,"",(K$14-$AN$14)/(HLOOKUP('SDA Tool'!$D$16,$D$1:$CL$15,ROW($A$14),)-$AN$14))</f>
        <v>0.96382872697266186</v>
      </c>
      <c r="L46" s="2">
        <f>IF(L$1&lt;'SDA Tool'!$D$16,"",(L$14-$AN$14)/(HLOOKUP('SDA Tool'!$D$16,$D$1:$CL$15,ROW($A$14),)-$AN$14))</f>
        <v>0.92842298353320396</v>
      </c>
      <c r="M46" s="2">
        <f>IF(M$1&lt;'SDA Tool'!$D$16,"",(M$14-$AN$14)/(HLOOKUP('SDA Tool'!$D$16,$D$1:$CL$15,ROW($A$14),)-$AN$14))</f>
        <v>0.89375872163174508</v>
      </c>
      <c r="N46" s="2">
        <f>IF(N$1&lt;'SDA Tool'!$D$16,"",(N$14-$AN$14)/(HLOOKUP('SDA Tool'!$D$16,$D$1:$CL$15,ROW($A$14),)-$AN$14))</f>
        <v>0.85981289002876216</v>
      </c>
      <c r="O46" s="2">
        <f>IF(O$1&lt;'SDA Tool'!$D$16,"",(O$14-$AN$14)/(HLOOKUP('SDA Tool'!$D$16,$D$1:$CL$15,ROW($A$14),)-$AN$14))</f>
        <v>0.8265633831766096</v>
      </c>
      <c r="P46" s="2">
        <f>IF(P$1&lt;'SDA Tool'!$D$16,"",(P$14-$AN$14)/(HLOOKUP('SDA Tool'!$D$16,$D$1:$CL$15,ROW($A$14),)-$AN$14))</f>
        <v>0.79398899321485616</v>
      </c>
      <c r="Q46" s="2">
        <f>IF(Q$1&lt;'SDA Tool'!$D$16,"",(Q$14-$AN$14)/(HLOOKUP('SDA Tool'!$D$16,$D$1:$CL$15,ROW($A$14),)-$AN$14))</f>
        <v>0.76206936486037402</v>
      </c>
      <c r="R46" s="2">
        <f>IF(R$1&lt;'SDA Tool'!$D$16,"",(R$14-$AN$14)/(HLOOKUP('SDA Tool'!$D$16,$D$1:$CL$15,ROW($A$14),)-$AN$14))</f>
        <v>0.73078495299055823</v>
      </c>
      <c r="S46" s="2">
        <f>IF(S$1&lt;'SDA Tool'!$D$16,"",(S$14-$AN$14)/(HLOOKUP('SDA Tool'!$D$16,$D$1:$CL$15,ROW($A$14),)-$AN$14))</f>
        <v>0.70011698273394074</v>
      </c>
      <c r="T46" s="2">
        <f>IF(T$1&lt;'SDA Tool'!$D$16,"",(T$14-$AN$14)/(HLOOKUP('SDA Tool'!$D$16,$D$1:$CL$15,ROW($A$14),)-$AN$14))</f>
        <v>0.6700474118969646</v>
      </c>
      <c r="U46" s="2">
        <f>IF(U$1&lt;'SDA Tool'!$D$16,"",(U$14-$AN$14)/(HLOOKUP('SDA Tool'!$D$16,$D$1:$CL$15,ROW($A$14),)-$AN$14))</f>
        <v>0.62465002644514211</v>
      </c>
      <c r="V46" s="2">
        <f>IF(V$1&lt;'SDA Tool'!$D$16,"",(V$14-$AN$14)/(HLOOKUP('SDA Tool'!$D$16,$D$1:$CL$15,ROW($A$14),)-$AN$14))</f>
        <v>0.57990741097579779</v>
      </c>
      <c r="W46" s="2">
        <f>IF(W$1&lt;'SDA Tool'!$D$16,"",(W$14-$AN$14)/(HLOOKUP('SDA Tool'!$D$16,$D$1:$CL$15,ROW($A$14),)-$AN$14))</f>
        <v>0.53580550121723158</v>
      </c>
      <c r="X46" s="2">
        <f>IF(X$1&lt;'SDA Tool'!$D$16,"",(X$14-$AN$14)/(HLOOKUP('SDA Tool'!$D$16,$D$1:$CL$15,ROW($A$14),)-$AN$14))</f>
        <v>0.49233063282964029</v>
      </c>
      <c r="Y46" s="2">
        <f>IF(Y$1&lt;'SDA Tool'!$D$16,"",(Y$14-$AN$14)/(HLOOKUP('SDA Tool'!$D$16,$D$1:$CL$15,ROW($A$14),)-$AN$14))</f>
        <v>0.44946952728987383</v>
      </c>
      <c r="Z46" s="2">
        <f>IF(Z$1&lt;'SDA Tool'!$D$16,"",(Z$14-$AN$14)/(HLOOKUP('SDA Tool'!$D$16,$D$1:$CL$15,ROW($A$14),)-$AN$14))</f>
        <v>0.40720927836982379</v>
      </c>
      <c r="AA46" s="2">
        <f>IF(AA$1&lt;'SDA Tool'!$D$16,"",(AA$14-$AN$14)/(HLOOKUP('SDA Tool'!$D$16,$D$1:$CL$15,ROW($A$14),)-$AN$14))</f>
        <v>0.36553733917951908</v>
      </c>
      <c r="AB46" s="2">
        <f>IF(AB$1&lt;'SDA Tool'!$D$16,"",(AB$14-$AN$14)/(HLOOKUP('SDA Tool'!$D$16,$D$1:$CL$15,ROW($A$14),)-$AN$14))</f>
        <v>0.32444150974760577</v>
      </c>
      <c r="AC46" s="2">
        <f>IF(AC$1&lt;'SDA Tool'!$D$16,"",(AC$14-$AN$14)/(HLOOKUP('SDA Tool'!$D$16,$D$1:$CL$15,ROW($A$14),)-$AN$14))</f>
        <v>0.28390992511338464</v>
      </c>
      <c r="AD46" s="2">
        <f>IF(AD$1&lt;'SDA Tool'!$D$16,"",(AD$14-$AN$14)/(HLOOKUP('SDA Tool'!$D$16,$D$1:$CL$15,ROW($A$14),)-$AN$14))</f>
        <v>0.24393104390599377</v>
      </c>
      <c r="AE46" s="2">
        <f>IF(AE$1&lt;'SDA Tool'!$D$16,"",(AE$14-$AN$14)/(HLOOKUP('SDA Tool'!$D$16,$D$1:$CL$15,ROW($A$14),)-$AN$14))</f>
        <v>0.21854455517369578</v>
      </c>
      <c r="AF46" s="2">
        <f>IF(AF$1&lt;'SDA Tool'!$D$16,"",(AF$14-$AN$14)/(HLOOKUP('SDA Tool'!$D$16,$D$1:$CL$15,ROW($A$14),)-$AN$14))</f>
        <v>0.19338677354709419</v>
      </c>
      <c r="AG46" s="2">
        <f>IF(AG$1&lt;'SDA Tool'!$D$16,"",(AG$14-$AN$14)/(HLOOKUP('SDA Tool'!$D$16,$D$1:$CL$15,ROW($A$14),)-$AN$14))</f>
        <v>0.16845462224898228</v>
      </c>
      <c r="AH46" s="2">
        <f>IF(AH$1&lt;'SDA Tool'!$D$16,"",(AH$14-$AN$14)/(HLOOKUP('SDA Tool'!$D$16,$D$1:$CL$15,ROW($A$14),)-$AN$14))</f>
        <v>0.14374507944460349</v>
      </c>
      <c r="AI46" s="2">
        <f>IF(AI$1&lt;'SDA Tool'!$D$16,"",(AI$14-$AN$14)/(HLOOKUP('SDA Tool'!$D$16,$D$1:$CL$15,ROW($A$14),)-$AN$14))</f>
        <v>0.11925517702070806</v>
      </c>
      <c r="AJ46" s="2">
        <f>IF(AJ$1&lt;'SDA Tool'!$D$16,"",(AJ$14-$AN$14)/(HLOOKUP('SDA Tool'!$D$16,$D$1:$CL$15,ROW($A$14),)-$AN$14))</f>
        <v>9.4981999397024133E-2</v>
      </c>
      <c r="AK46" s="2">
        <f>IF(AK$1&lt;'SDA Tool'!$D$16,"",(AK$14-$AN$14)/(HLOOKUP('SDA Tool'!$D$16,$D$1:$CL$15,ROW($A$14),)-$AN$14))</f>
        <v>7.0922682369143578E-2</v>
      </c>
      <c r="AL46" s="2">
        <f>IF(AL$1&lt;'SDA Tool'!$D$16,"",(AL$14-$AN$14)/(HLOOKUP('SDA Tool'!$D$16,$D$1:$CL$15,ROW($A$14),)-$AN$14))</f>
        <v>4.7074411981858452E-2</v>
      </c>
      <c r="AM46" s="2">
        <f>IF(AM$1&lt;'SDA Tool'!$D$16,"",(AM$14-$AN$14)/(HLOOKUP('SDA Tool'!$D$16,$D$1:$CL$15,ROW($A$14),)-$AN$14))</f>
        <v>2.3434423432016873E-2</v>
      </c>
      <c r="AN46" s="2">
        <f>IF(AN$1&lt;'SDA Tool'!$D$16,"",(AN$14-$AN$14)/(HLOOKUP('SDA Tool'!$D$16,$D$1:$CL$15,ROW($A$14),)-$AN$14))</f>
        <v>0</v>
      </c>
      <c r="AO46" s="61"/>
      <c r="AP46" s="61"/>
      <c r="AQ46" s="61"/>
      <c r="AR46" s="61"/>
      <c r="AS46" s="61"/>
      <c r="AT46" s="61"/>
      <c r="AU46" s="61"/>
      <c r="AV46" s="61"/>
      <c r="AW46" s="61"/>
      <c r="AX46" s="61"/>
    </row>
    <row r="47" spans="1:91" x14ac:dyDescent="0.25">
      <c r="A47" t="s">
        <v>159</v>
      </c>
      <c r="B47" s="528" t="s">
        <v>585</v>
      </c>
      <c r="C47" t="str">
        <f>INDEX(Lists!$E$2:$E$50,MATCH('SDA Tool'!$D$15,Lists!$B$2:$B$50,0))</f>
        <v>tCO2/t</v>
      </c>
      <c r="D47" s="2" t="e">
        <f t="shared" ref="D47:AN47" si="8">IF(D46="",NA(),$D$45*D$46*D$44+($AN$14))</f>
        <v>#N/A</v>
      </c>
      <c r="E47" s="2" t="e">
        <f t="shared" si="8"/>
        <v>#N/A</v>
      </c>
      <c r="F47" s="2" t="e">
        <f t="shared" si="8"/>
        <v>#N/A</v>
      </c>
      <c r="G47" s="2" t="e">
        <f t="shared" si="8"/>
        <v>#N/A</v>
      </c>
      <c r="H47" s="2" t="e">
        <f t="shared" si="8"/>
        <v>#N/A</v>
      </c>
      <c r="I47" s="2" t="e">
        <f t="shared" si="8"/>
        <v>#N/A</v>
      </c>
      <c r="J47" s="2">
        <f t="shared" si="8"/>
        <v>0.2</v>
      </c>
      <c r="K47" s="2">
        <f t="shared" si="8"/>
        <v>0.19591107348386613</v>
      </c>
      <c r="L47" s="2">
        <f t="shared" si="8"/>
        <v>0.19190868509505782</v>
      </c>
      <c r="M47" s="2">
        <f t="shared" si="8"/>
        <v>0.18799011635837121</v>
      </c>
      <c r="N47" s="2">
        <f t="shared" si="8"/>
        <v>0.18415276148151224</v>
      </c>
      <c r="O47" s="2">
        <f t="shared" si="8"/>
        <v>0.18039412157648632</v>
      </c>
      <c r="P47" s="2">
        <f t="shared" si="8"/>
        <v>0.17671179923298375</v>
      </c>
      <c r="Q47" s="2">
        <f t="shared" si="8"/>
        <v>0.17310349341899881</v>
      </c>
      <c r="R47" s="2">
        <f t="shared" si="8"/>
        <v>0.16956699468588921</v>
      </c>
      <c r="S47" s="2">
        <f t="shared" si="8"/>
        <v>0.16610018065688026</v>
      </c>
      <c r="T47" s="2">
        <f t="shared" si="8"/>
        <v>0.16270101177965687</v>
      </c>
      <c r="U47" s="2">
        <f t="shared" si="8"/>
        <v>0.15756913342423345</v>
      </c>
      <c r="V47" s="2">
        <f t="shared" si="8"/>
        <v>0.15251127254509017</v>
      </c>
      <c r="W47" s="2">
        <f t="shared" si="8"/>
        <v>0.14752583926803486</v>
      </c>
      <c r="X47" s="2">
        <f t="shared" si="8"/>
        <v>0.14261128892856803</v>
      </c>
      <c r="Y47" s="2">
        <f t="shared" si="8"/>
        <v>0.13776612047624659</v>
      </c>
      <c r="Z47" s="2">
        <f t="shared" si="8"/>
        <v>0.132988874946154</v>
      </c>
      <c r="AA47" s="2">
        <f t="shared" si="8"/>
        <v>0.12827813399420651</v>
      </c>
      <c r="AB47" s="2">
        <f t="shared" si="8"/>
        <v>0.12363251849320761</v>
      </c>
      <c r="AC47" s="2">
        <f t="shared" si="8"/>
        <v>0.11905068718673044</v>
      </c>
      <c r="AD47" s="2">
        <f t="shared" si="8"/>
        <v>0.11453133539806887</v>
      </c>
      <c r="AE47" s="2">
        <f t="shared" si="8"/>
        <v>0.11166155841093953</v>
      </c>
      <c r="AF47" s="2">
        <f t="shared" si="8"/>
        <v>0.10881763527054109</v>
      </c>
      <c r="AG47" s="2">
        <f t="shared" si="8"/>
        <v>0.10599921816727625</v>
      </c>
      <c r="AH47" s="2">
        <f t="shared" si="8"/>
        <v>0.10320596550243344</v>
      </c>
      <c r="AI47" s="2">
        <f t="shared" si="8"/>
        <v>0.100437541750167</v>
      </c>
      <c r="AJ47" s="2">
        <f t="shared" si="8"/>
        <v>9.7693617323141857E-2</v>
      </c>
      <c r="AK47" s="2">
        <f t="shared" si="8"/>
        <v>9.4973868441729281E-2</v>
      </c>
      <c r="AL47" s="2">
        <f t="shared" si="8"/>
        <v>9.2277977006644862E-2</v>
      </c>
      <c r="AM47" s="2">
        <f t="shared" si="8"/>
        <v>8.9605630474923648E-2</v>
      </c>
      <c r="AN47" s="2">
        <f t="shared" si="8"/>
        <v>8.6956521739130432E-2</v>
      </c>
      <c r="AO47" s="61"/>
      <c r="AP47" s="61"/>
      <c r="AQ47" s="61"/>
      <c r="AR47" s="61"/>
      <c r="AS47" s="61"/>
      <c r="AT47" s="61"/>
      <c r="AU47" s="61"/>
      <c r="AV47" s="61"/>
      <c r="AW47" s="61"/>
      <c r="AX47" s="61"/>
    </row>
    <row r="48" spans="1:91" x14ac:dyDescent="0.25">
      <c r="A48" t="s">
        <v>160</v>
      </c>
      <c r="B48" s="528" t="s">
        <v>586</v>
      </c>
      <c r="C48" t="s">
        <v>161</v>
      </c>
      <c r="D48" s="2" t="e">
        <f>IF(D46="",NA(),IF(D43='SDA Tool'!$D$16,'SDA Tool'!$D$18,IF((D47*D34/INDEX(Lists!$F$2:$F$10,MATCH('SDA Tool'!$D$15,Lists!$B$2:$B$7,0))&gt;=0),D47*D34/INDEX(Lists!$F$2:$F$10,MATCH('SDA Tool'!$D$15,Lists!$B$2:$B$7,0)),C48)))</f>
        <v>#N/A</v>
      </c>
      <c r="E48" s="2" t="e">
        <f>IF(E46="",NA(),IF(E43='SDA Tool'!$D$16,'SDA Tool'!$D$18,IF((E47*E34/INDEX(Lists!$F$2:$F$10,MATCH('SDA Tool'!$D$15,Lists!$B$2:$B$7,0))&gt;=0),E47*E34/INDEX(Lists!$F$2:$F$10,MATCH('SDA Tool'!$D$15,Lists!$B$2:$B$7,0)),D48)))</f>
        <v>#N/A</v>
      </c>
      <c r="F48" s="2" t="e">
        <f>IF(F46="",NA(),IF(F43='SDA Tool'!$D$16,'SDA Tool'!$D$18,IF((F47*F34/INDEX(Lists!$F$2:$F$10,MATCH('SDA Tool'!$D$15,Lists!$B$2:$B$7,0))&gt;=0),F47*F34/INDEX(Lists!$F$2:$F$10,MATCH('SDA Tool'!$D$15,Lists!$B$2:$B$7,0)),E48)))</f>
        <v>#N/A</v>
      </c>
      <c r="G48" s="2" t="e">
        <f>IF(G46="",NA(),IF(G43='SDA Tool'!$D$16,'SDA Tool'!$D$18,IF((G47*G34/INDEX(Lists!$F$2:$F$10,MATCH('SDA Tool'!$D$15,Lists!$B$2:$B$7,0))&gt;=0),G47*G34/INDEX(Lists!$F$2:$F$10,MATCH('SDA Tool'!$D$15,Lists!$B$2:$B$7,0)),F48)))</f>
        <v>#N/A</v>
      </c>
      <c r="H48" s="2" t="e">
        <f>IF(H46="",NA(),IF(H43='SDA Tool'!$D$16,'SDA Tool'!$D$18,IF((H47*H34/INDEX(Lists!$F$2:$F$10,MATCH('SDA Tool'!$D$15,Lists!$B$2:$B$7,0))&gt;=0),H47*H34/INDEX(Lists!$F$2:$F$10,MATCH('SDA Tool'!$D$15,Lists!$B$2:$B$7,0)),G48)))</f>
        <v>#N/A</v>
      </c>
      <c r="I48" s="2" t="e">
        <f>IF(I46="",NA(),IF(I43='SDA Tool'!$D$16,'SDA Tool'!$D$18,IF((I47*I34/INDEX(Lists!$F$2:$F$10,MATCH('SDA Tool'!$D$15,Lists!$B$2:$B$7,0))&gt;=0),I47*I34/INDEX(Lists!$F$2:$F$10,MATCH('SDA Tool'!$D$15,Lists!$B$2:$B$7,0)),H48)))</f>
        <v>#N/A</v>
      </c>
      <c r="J48" s="2">
        <f>IF(J46="",NA(),IF(J43='SDA Tool'!$D$16,'SDA Tool'!$D$18,IF((J47*J34/INDEX(Lists!$F$2:$F$10,MATCH('SDA Tool'!$D$15,Lists!$B$2:$B$7,0))&gt;=0),J47*J34/INDEX(Lists!$F$2:$F$10,MATCH('SDA Tool'!$D$15,Lists!$B$2:$B$7,0)),I48)))</f>
        <v>200</v>
      </c>
      <c r="K48" s="2">
        <f>IF(K46="",NA(),IF(K43='SDA Tool'!$D$16,'SDA Tool'!$D$18,IF((K47*K34/INDEX(Lists!$F$2:$F$10,MATCH('SDA Tool'!$D$15,Lists!$B$2:$B$7,0))&gt;=0),K47*K34/INDEX(Lists!$F$2:$F$10,MATCH('SDA Tool'!$D$15,Lists!$B$2:$B$7,0)),J48)))</f>
        <v>198.02903103504303</v>
      </c>
      <c r="L48" s="2">
        <f>IF(L46="",NA(),IF(L43='SDA Tool'!$D$16,'SDA Tool'!$D$18,IF((L47*L34/INDEX(Lists!$F$2:$F$10,MATCH('SDA Tool'!$D$15,Lists!$B$2:$B$7,0))&gt;=0),L47*L34/INDEX(Lists!$F$2:$F$10,MATCH('SDA Tool'!$D$15,Lists!$B$2:$B$7,0)),K48)))</f>
        <v>196.05806207008609</v>
      </c>
      <c r="M48" s="2">
        <f>IF(M46="",NA(),IF(M43='SDA Tool'!$D$16,'SDA Tool'!$D$18,IF((M47*M34/INDEX(Lists!$F$2:$F$10,MATCH('SDA Tool'!$D$15,Lists!$B$2:$B$7,0))&gt;=0),M47*M34/INDEX(Lists!$F$2:$F$10,MATCH('SDA Tool'!$D$15,Lists!$B$2:$B$7,0)),L48)))</f>
        <v>194.08709310512916</v>
      </c>
      <c r="N48" s="2">
        <f>IF(N46="",NA(),IF(N43='SDA Tool'!$D$16,'SDA Tool'!$D$18,IF((N47*N34/INDEX(Lists!$F$2:$F$10,MATCH('SDA Tool'!$D$15,Lists!$B$2:$B$7,0))&gt;=0),N47*N34/INDEX(Lists!$F$2:$F$10,MATCH('SDA Tool'!$D$15,Lists!$B$2:$B$7,0)),M48)))</f>
        <v>192.11612414017225</v>
      </c>
      <c r="O48" s="2">
        <f>IF(O46="",NA(),IF(O43='SDA Tool'!$D$16,'SDA Tool'!$D$18,IF((O47*O34/INDEX(Lists!$F$2:$F$10,MATCH('SDA Tool'!$D$15,Lists!$B$2:$B$7,0))&gt;=0),O47*O34/INDEX(Lists!$F$2:$F$10,MATCH('SDA Tool'!$D$15,Lists!$B$2:$B$7,0)),N48)))</f>
        <v>190.14515517521528</v>
      </c>
      <c r="P48" s="2">
        <f>IF(P46="",NA(),IF(P43='SDA Tool'!$D$16,'SDA Tool'!$D$18,IF((P47*P34/INDEX(Lists!$F$2:$F$10,MATCH('SDA Tool'!$D$15,Lists!$B$2:$B$7,0))&gt;=0),P47*P34/INDEX(Lists!$F$2:$F$10,MATCH('SDA Tool'!$D$15,Lists!$B$2:$B$7,0)),O48)))</f>
        <v>188.17418621025834</v>
      </c>
      <c r="Q48" s="2">
        <f>IF(Q46="",NA(),IF(Q43='SDA Tool'!$D$16,'SDA Tool'!$D$18,IF((Q47*Q34/INDEX(Lists!$F$2:$F$10,MATCH('SDA Tool'!$D$15,Lists!$B$2:$B$7,0))&gt;=0),Q47*Q34/INDEX(Lists!$F$2:$F$10,MATCH('SDA Tool'!$D$15,Lists!$B$2:$B$7,0)),P48)))</f>
        <v>186.2032172453014</v>
      </c>
      <c r="R48" s="2">
        <f>IF(R46="",NA(),IF(R43='SDA Tool'!$D$16,'SDA Tool'!$D$18,IF((R47*R34/INDEX(Lists!$F$2:$F$10,MATCH('SDA Tool'!$D$15,Lists!$B$2:$B$7,0))&gt;=0),R47*R34/INDEX(Lists!$F$2:$F$10,MATCH('SDA Tool'!$D$15,Lists!$B$2:$B$7,0)),Q48)))</f>
        <v>184.23224828034449</v>
      </c>
      <c r="S48" s="2">
        <f>IF(S46="",NA(),IF(S43='SDA Tool'!$D$16,'SDA Tool'!$D$18,IF((S47*S34/INDEX(Lists!$F$2:$F$10,MATCH('SDA Tool'!$D$15,Lists!$B$2:$B$7,0))&gt;=0),S47*S34/INDEX(Lists!$F$2:$F$10,MATCH('SDA Tool'!$D$15,Lists!$B$2:$B$7,0)),R48)))</f>
        <v>182.26127931538753</v>
      </c>
      <c r="T48" s="2">
        <f>IF(T46="",NA(),IF(T43='SDA Tool'!$D$16,'SDA Tool'!$D$18,IF((T47*T34/INDEX(Lists!$F$2:$F$10,MATCH('SDA Tool'!$D$15,Lists!$B$2:$B$7,0))&gt;=0),T47*T34/INDEX(Lists!$F$2:$F$10,MATCH('SDA Tool'!$D$15,Lists!$B$2:$B$7,0)),S48)))</f>
        <v>180.29031035043059</v>
      </c>
      <c r="U48" s="2">
        <f>IF(U46="",NA(),IF(U43='SDA Tool'!$D$16,'SDA Tool'!$D$18,IF((U47*U34/INDEX(Lists!$F$2:$F$10,MATCH('SDA Tool'!$D$15,Lists!$B$2:$B$7,0))&gt;=0),U47*U34/INDEX(Lists!$F$2:$F$10,MATCH('SDA Tool'!$D$15,Lists!$B$2:$B$7,0)),T48)))</f>
        <v>175.88122190326601</v>
      </c>
      <c r="V48" s="2">
        <f>IF(V46="",NA(),IF(V43='SDA Tool'!$D$16,'SDA Tool'!$D$18,IF((V47*V34/INDEX(Lists!$F$2:$F$10,MATCH('SDA Tool'!$D$15,Lists!$B$2:$B$7,0))&gt;=0),V47*V34/INDEX(Lists!$F$2:$F$10,MATCH('SDA Tool'!$D$15,Lists!$B$2:$B$7,0)),U48)))</f>
        <v>171.4721334561014</v>
      </c>
      <c r="W48" s="2">
        <f>IF(W46="",NA(),IF(W43='SDA Tool'!$D$16,'SDA Tool'!$D$18,IF((W47*W34/INDEX(Lists!$F$2:$F$10,MATCH('SDA Tool'!$D$15,Lists!$B$2:$B$7,0))&gt;=0),W47*W34/INDEX(Lists!$F$2:$F$10,MATCH('SDA Tool'!$D$15,Lists!$B$2:$B$7,0)),V48)))</f>
        <v>167.0630450089368</v>
      </c>
      <c r="X48" s="2">
        <f>IF(X46="",NA(),IF(X43='SDA Tool'!$D$16,'SDA Tool'!$D$18,IF((X47*X34/INDEX(Lists!$F$2:$F$10,MATCH('SDA Tool'!$D$15,Lists!$B$2:$B$7,0))&gt;=0),X47*X34/INDEX(Lists!$F$2:$F$10,MATCH('SDA Tool'!$D$15,Lists!$B$2:$B$7,0)),W48)))</f>
        <v>162.65395656177216</v>
      </c>
      <c r="Y48" s="2">
        <f>IF(Y46="",NA(),IF(Y43='SDA Tool'!$D$16,'SDA Tool'!$D$18,IF((Y47*Y34/INDEX(Lists!$F$2:$F$10,MATCH('SDA Tool'!$D$15,Lists!$B$2:$B$7,0))&gt;=0),Y47*Y34/INDEX(Lists!$F$2:$F$10,MATCH('SDA Tool'!$D$15,Lists!$B$2:$B$7,0)),X48)))</f>
        <v>158.24486811460758</v>
      </c>
      <c r="Z48" s="2">
        <f>IF(Z46="",NA(),IF(Z43='SDA Tool'!$D$16,'SDA Tool'!$D$18,IF((Z47*Z34/INDEX(Lists!$F$2:$F$10,MATCH('SDA Tool'!$D$15,Lists!$B$2:$B$7,0))&gt;=0),Z47*Z34/INDEX(Lists!$F$2:$F$10,MATCH('SDA Tool'!$D$15,Lists!$B$2:$B$7,0)),Y48)))</f>
        <v>153.83577966744298</v>
      </c>
      <c r="AA48" s="2">
        <f>IF(AA46="",NA(),IF(AA43='SDA Tool'!$D$16,'SDA Tool'!$D$18,IF((AA47*AA34/INDEX(Lists!$F$2:$F$10,MATCH('SDA Tool'!$D$15,Lists!$B$2:$B$7,0))&gt;=0),AA47*AA34/INDEX(Lists!$F$2:$F$10,MATCH('SDA Tool'!$D$15,Lists!$B$2:$B$7,0)),Z48)))</f>
        <v>149.42669122027843</v>
      </c>
      <c r="AB48" s="2">
        <f>IF(AB46="",NA(),IF(AB43='SDA Tool'!$D$16,'SDA Tool'!$D$18,IF((AB47*AB34/INDEX(Lists!$F$2:$F$10,MATCH('SDA Tool'!$D$15,Lists!$B$2:$B$7,0))&gt;=0),AB47*AB34/INDEX(Lists!$F$2:$F$10,MATCH('SDA Tool'!$D$15,Lists!$B$2:$B$7,0)),AA48)))</f>
        <v>145.01760277311379</v>
      </c>
      <c r="AC48" s="2">
        <f>IF(AC46="",NA(),IF(AC43='SDA Tool'!$D$16,'SDA Tool'!$D$18,IF((AC47*AC34/INDEX(Lists!$F$2:$F$10,MATCH('SDA Tool'!$D$15,Lists!$B$2:$B$7,0))&gt;=0),AC47*AC34/INDEX(Lists!$F$2:$F$10,MATCH('SDA Tool'!$D$15,Lists!$B$2:$B$7,0)),AB48)))</f>
        <v>140.60851432594919</v>
      </c>
      <c r="AD48" s="2">
        <f>IF(AD46="",NA(),IF(AD43='SDA Tool'!$D$16,'SDA Tool'!$D$18,IF((AD47*AD34/INDEX(Lists!$F$2:$F$10,MATCH('SDA Tool'!$D$15,Lists!$B$2:$B$7,0))&gt;=0),AD47*AD34/INDEX(Lists!$F$2:$F$10,MATCH('SDA Tool'!$D$15,Lists!$B$2:$B$7,0)),AC48)))</f>
        <v>136.19942587878461</v>
      </c>
      <c r="AE48" s="2">
        <f>IF(AE46="",NA(),IF(AE43='SDA Tool'!$D$16,'SDA Tool'!$D$18,IF((AE47*AE34/INDEX(Lists!$F$2:$F$10,MATCH('SDA Tool'!$D$15,Lists!$B$2:$B$7,0))&gt;=0),AE47*AE34/INDEX(Lists!$F$2:$F$10,MATCH('SDA Tool'!$D$15,Lists!$B$2:$B$7,0)),AD48)))</f>
        <v>133.39029410171693</v>
      </c>
      <c r="AF48" s="2">
        <f>IF(AF46="",NA(),IF(AF43='SDA Tool'!$D$16,'SDA Tool'!$D$18,IF((AF47*AF34/INDEX(Lists!$F$2:$F$10,MATCH('SDA Tool'!$D$15,Lists!$B$2:$B$7,0))&gt;=0),AF47*AF34/INDEX(Lists!$F$2:$F$10,MATCH('SDA Tool'!$D$15,Lists!$B$2:$B$7,0)),AE48)))</f>
        <v>130.58116232464931</v>
      </c>
      <c r="AG48" s="2">
        <f>IF(AG46="",NA(),IF(AG43='SDA Tool'!$D$16,'SDA Tool'!$D$18,IF((AG47*AG34/INDEX(Lists!$F$2:$F$10,MATCH('SDA Tool'!$D$15,Lists!$B$2:$B$7,0))&gt;=0),AG47*AG34/INDEX(Lists!$F$2:$F$10,MATCH('SDA Tool'!$D$15,Lists!$B$2:$B$7,0)),AF48)))</f>
        <v>127.77203054758165</v>
      </c>
      <c r="AH48" s="2">
        <f>IF(AH46="",NA(),IF(AH43='SDA Tool'!$D$16,'SDA Tool'!$D$18,IF((AH47*AH34/INDEX(Lists!$F$2:$F$10,MATCH('SDA Tool'!$D$15,Lists!$B$2:$B$7,0))&gt;=0),AH47*AH34/INDEX(Lists!$F$2:$F$10,MATCH('SDA Tool'!$D$15,Lists!$B$2:$B$7,0)),AG48)))</f>
        <v>124.962898770514</v>
      </c>
      <c r="AI48" s="2">
        <f>IF(AI46="",NA(),IF(AI43='SDA Tool'!$D$16,'SDA Tool'!$D$18,IF((AI47*AI34/INDEX(Lists!$F$2:$F$10,MATCH('SDA Tool'!$D$15,Lists!$B$2:$B$7,0))&gt;=0),AI47*AI34/INDEX(Lists!$F$2:$F$10,MATCH('SDA Tool'!$D$15,Lists!$B$2:$B$7,0)),AH48)))</f>
        <v>122.15376699344635</v>
      </c>
      <c r="AJ48" s="2">
        <f>IF(AJ46="",NA(),IF(AJ43='SDA Tool'!$D$16,'SDA Tool'!$D$18,IF((AJ47*AJ34/INDEX(Lists!$F$2:$F$10,MATCH('SDA Tool'!$D$15,Lists!$B$2:$B$7,0))&gt;=0),AJ47*AJ34/INDEX(Lists!$F$2:$F$10,MATCH('SDA Tool'!$D$15,Lists!$B$2:$B$7,0)),AI48)))</f>
        <v>119.34463521637871</v>
      </c>
      <c r="AK48" s="2">
        <f>IF(AK46="",NA(),IF(AK43='SDA Tool'!$D$16,'SDA Tool'!$D$18,IF((AK47*AK34/INDEX(Lists!$F$2:$F$10,MATCH('SDA Tool'!$D$15,Lists!$B$2:$B$7,0))&gt;=0),AK47*AK34/INDEX(Lists!$F$2:$F$10,MATCH('SDA Tool'!$D$15,Lists!$B$2:$B$7,0)),AJ48)))</f>
        <v>116.53550343931104</v>
      </c>
      <c r="AL48" s="2">
        <f>IF(AL46="",NA(),IF(AL43='SDA Tool'!$D$16,'SDA Tool'!$D$18,IF((AL47*AL34/INDEX(Lists!$F$2:$F$10,MATCH('SDA Tool'!$D$15,Lists!$B$2:$B$7,0))&gt;=0),AL47*AL34/INDEX(Lists!$F$2:$F$10,MATCH('SDA Tool'!$D$15,Lists!$B$2:$B$7,0)),AK48)))</f>
        <v>113.72637166224341</v>
      </c>
      <c r="AM48" s="2">
        <f>IF(AM46="",NA(),IF(AM43='SDA Tool'!$D$16,'SDA Tool'!$D$18,IF((AM47*AM34/INDEX(Lists!$F$2:$F$10,MATCH('SDA Tool'!$D$15,Lists!$B$2:$B$7,0))&gt;=0),AM47*AM34/INDEX(Lists!$F$2:$F$10,MATCH('SDA Tool'!$D$15,Lists!$B$2:$B$7,0)),AL48)))</f>
        <v>110.91723988517576</v>
      </c>
      <c r="AN48" s="2">
        <f>IF(AN46="",NA(),IF(AN43='SDA Tool'!$D$16,'SDA Tool'!$D$18,IF((AN47*AN34/INDEX(Lists!$F$2:$F$10,MATCH('SDA Tool'!$D$15,Lists!$B$2:$B$7,0))&gt;=0),AN47*AN34/INDEX(Lists!$F$2:$F$10,MATCH('SDA Tool'!$D$15,Lists!$B$2:$B$7,0)),AM48)))</f>
        <v>108.1081081081081</v>
      </c>
      <c r="AO48" s="61"/>
      <c r="AP48" s="61"/>
      <c r="AQ48" s="61"/>
      <c r="AR48" s="61"/>
      <c r="AS48" s="61"/>
      <c r="AT48" s="61"/>
      <c r="AU48" s="61"/>
      <c r="AV48" s="61"/>
      <c r="AW48" s="61"/>
      <c r="AX48" s="61"/>
      <c r="CM48" s="2"/>
    </row>
    <row r="49" spans="1:178" ht="13" x14ac:dyDescent="0.3">
      <c r="A49" s="1"/>
      <c r="B49" s="528" t="s">
        <v>543</v>
      </c>
      <c r="C49" t="s">
        <v>161</v>
      </c>
      <c r="D49" s="61">
        <f>IF(D45&lt;&gt;0,HLOOKUP('SDA Tool'!$D$20,Calculations!$M$1:$AN$62,ROW(Calculations!A48)),"")</f>
        <v>180.29031035043059</v>
      </c>
      <c r="AO49" s="61"/>
      <c r="AP49" s="61"/>
      <c r="AQ49" s="61"/>
      <c r="AR49" s="61"/>
      <c r="AS49" s="61"/>
      <c r="AT49" s="61"/>
      <c r="AU49" s="61"/>
      <c r="AV49" s="61"/>
      <c r="AW49" s="61"/>
      <c r="AX49" s="61"/>
    </row>
    <row r="50" spans="1:178" ht="13" x14ac:dyDescent="0.3">
      <c r="A50" s="1"/>
      <c r="B50" s="528" t="s">
        <v>543</v>
      </c>
      <c r="C50" t="str">
        <f>+C47</f>
        <v>tCO2/t</v>
      </c>
      <c r="D50" s="61">
        <f>IF(D45&lt;&gt;0,HLOOKUP('SDA Tool'!$D$20,Calculations!$M$1:$AX$62,ROW(Calculations!A47)),"")</f>
        <v>0.16270101177965687</v>
      </c>
      <c r="E50" s="2" t="str">
        <f>+IF(AN47=AN14,"CHECK","ERROR")</f>
        <v>CHECK</v>
      </c>
      <c r="AO50" s="61"/>
      <c r="AP50" s="61"/>
      <c r="AQ50" s="61"/>
      <c r="AR50" s="61"/>
      <c r="AS50" s="61"/>
      <c r="AT50" s="61"/>
      <c r="AU50" s="61"/>
      <c r="AV50" s="61"/>
      <c r="AW50" s="61"/>
      <c r="AX50" s="61"/>
    </row>
    <row r="51" spans="1:178" ht="13" x14ac:dyDescent="0.3">
      <c r="A51" s="1"/>
      <c r="B51" s="528"/>
    </row>
    <row r="52" spans="1:178" x14ac:dyDescent="0.25">
      <c r="A52" t="s">
        <v>157</v>
      </c>
      <c r="B52" s="528" t="s">
        <v>544</v>
      </c>
      <c r="C52" t="str">
        <f>INDEX(Lists!$E$2:$E$50,MATCH('SDA Tool'!$D$15,Lists!$B$2:$B$50,0))</f>
        <v>tCO2/t</v>
      </c>
      <c r="D52" s="4">
        <f>'SDA Tool'!$D$19*INDEX(Lists!$F$2:$F$50,MATCH('SDA Tool'!$D$15,Lists!$B$2:$B$50,0))/'SDA Tool'!$D$17-$AN$15</f>
        <v>9.7334433202244719E-2</v>
      </c>
      <c r="AO52" s="61"/>
      <c r="AP52" s="61"/>
      <c r="AQ52" s="61"/>
      <c r="AR52" s="61"/>
      <c r="AS52" s="61"/>
      <c r="AT52" s="61"/>
      <c r="AU52" s="61"/>
      <c r="AV52" s="61"/>
      <c r="AW52" s="61"/>
      <c r="AX52" s="61"/>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25">
      <c r="A53" t="s">
        <v>158</v>
      </c>
      <c r="B53" s="528" t="s">
        <v>545</v>
      </c>
      <c r="C53" t="s">
        <v>156</v>
      </c>
      <c r="D53" s="2" t="str">
        <f>IF(OR('SDA Tool'!$D$15="Power",D$1&lt;'SDA Tool'!$D$16),"",(D$15-$AN$15)/(HLOOKUP('SDA Tool'!$D$16,$D$1:$CL$15,ROW($A$15),)-$AN$15))</f>
        <v/>
      </c>
      <c r="E53" s="2" t="str">
        <f>IF(OR('SDA Tool'!$D$15="Power",E$1&lt;'SDA Tool'!$D$16),"",(E$15-$AN$15)/(HLOOKUP('SDA Tool'!$D$16,$D$1:$CL$15,ROW($A$15),)-$AN$15))</f>
        <v/>
      </c>
      <c r="F53" s="2" t="str">
        <f>IF(OR('SDA Tool'!$D$15="Power",F$1&lt;'SDA Tool'!$D$16),"",(F$15-$AN$15)/(HLOOKUP('SDA Tool'!$D$16,$D$1:$CL$15,ROW($A$15),)-$AN$15))</f>
        <v/>
      </c>
      <c r="G53" s="2" t="str">
        <f>IF(OR('SDA Tool'!$D$15="Power",G$1&lt;'SDA Tool'!$D$16),"",(G$15-$AN$15)/(HLOOKUP('SDA Tool'!$D$16,$D$1:$CL$15,ROW($A$15),)-$AN$15))</f>
        <v/>
      </c>
      <c r="H53" s="2" t="str">
        <f>IF(OR('SDA Tool'!$D$15="Power",H$1&lt;'SDA Tool'!$D$16),"",(H$15-$AN$15)/(HLOOKUP('SDA Tool'!$D$16,$D$1:$CL$15,ROW($A$15),)-$AN$15))</f>
        <v/>
      </c>
      <c r="I53" s="2" t="str">
        <f>IF(OR('SDA Tool'!$D$15="Power",I$1&lt;'SDA Tool'!$D$16),"",(I$15-$AN$15)/(HLOOKUP('SDA Tool'!$D$16,$D$1:$CL$15,ROW($A$15),)-$AN$15))</f>
        <v/>
      </c>
      <c r="J53" s="2">
        <f>IF(OR('SDA Tool'!$D$15="Power",J$1&lt;'SDA Tool'!$D$16),"",(J$15-$AN$15)/(HLOOKUP('SDA Tool'!$D$16,$D$1:$CL$15,ROW($A$15),)-$AN$15))</f>
        <v>1</v>
      </c>
      <c r="K53" s="2">
        <f>IF(OR('SDA Tool'!$D$15="Power",K$1&lt;'SDA Tool'!$D$16),"",(K$15-$AN$15)/(HLOOKUP('SDA Tool'!$D$16,$D$1:$CL$15,ROW($A$15),)-$AN$15))</f>
        <v>0.98914518351491965</v>
      </c>
      <c r="L53" s="2">
        <f>IF(OR('SDA Tool'!$D$15="Power",L$1&lt;'SDA Tool'!$D$16),"",(L$15-$AN$15)/(HLOOKUP('SDA Tool'!$D$16,$D$1:$CL$15,ROW($A$15),)-$AN$15))</f>
        <v>0.97852009859566103</v>
      </c>
      <c r="M53" s="2">
        <f>IF(OR('SDA Tool'!$D$15="Power",M$1&lt;'SDA Tool'!$D$16),"",(M$15-$AN$15)/(HLOOKUP('SDA Tool'!$D$16,$D$1:$CL$15,ROW($A$15),)-$AN$15))</f>
        <v>0.96811752854382171</v>
      </c>
      <c r="N53" s="2">
        <f>IF(OR('SDA Tool'!$D$15="Power",N$1&lt;'SDA Tool'!$D$16),"",(N$15-$AN$15)/(HLOOKUP('SDA Tool'!$D$16,$D$1:$CL$15,ROW($A$15),)-$AN$15))</f>
        <v>0.95793055579875597</v>
      </c>
      <c r="O53" s="2">
        <f>IF(OR('SDA Tool'!$D$15="Power",O$1&lt;'SDA Tool'!$D$16),"",(O$15-$AN$15)/(HLOOKUP('SDA Tool'!$D$16,$D$1:$CL$15,ROW($A$15),)-$AN$15))</f>
        <v>0.94795254659717876</v>
      </c>
      <c r="P53" s="2">
        <f>IF(OR('SDA Tool'!$D$15="Power",P$1&lt;'SDA Tool'!$D$16),"",(P$15-$AN$15)/(HLOOKUP('SDA Tool'!$D$16,$D$1:$CL$15,ROW($A$15),)-$AN$15))</f>
        <v>0.91897316340948765</v>
      </c>
      <c r="Q53" s="2">
        <f>IF(OR('SDA Tool'!$D$15="Power",Q$1&lt;'SDA Tool'!$D$16),"",(Q$15-$AN$15)/(HLOOKUP('SDA Tool'!$D$16,$D$1:$CL$15,ROW($A$15),)-$AN$15))</f>
        <v>0.84280677751446276</v>
      </c>
      <c r="R53" s="2">
        <f>IF(OR('SDA Tool'!$D$15="Power",R$1&lt;'SDA Tool'!$D$16),"",(R$15-$AN$15)/(HLOOKUP('SDA Tool'!$D$16,$D$1:$CL$15,ROW($A$15),)-$AN$15))</f>
        <v>0.75213034378204691</v>
      </c>
      <c r="S53" s="2">
        <f>IF(OR('SDA Tool'!$D$15="Power",S$1&lt;'SDA Tool'!$D$16),"",(S$15-$AN$15)/(HLOOKUP('SDA Tool'!$D$16,$D$1:$CL$15,ROW($A$15),)-$AN$15))</f>
        <v>0.64801482165512403</v>
      </c>
      <c r="T53" s="2">
        <f>IF(OR('SDA Tool'!$D$15="Power",T$1&lt;'SDA Tool'!$D$16),"",(T$15-$AN$15)/(HLOOKUP('SDA Tool'!$D$16,$D$1:$CL$15,ROW($A$15),)-$AN$15))</f>
        <v>0.53145552882369906</v>
      </c>
      <c r="U53" s="2">
        <f>IF(OR('SDA Tool'!$D$15="Power",U$1&lt;'SDA Tool'!$D$16),"",(U$15-$AN$15)/(HLOOKUP('SDA Tool'!$D$16,$D$1:$CL$15,ROW($A$15),)-$AN$15))</f>
        <v>0.52748666051731607</v>
      </c>
      <c r="V53" s="2">
        <f>IF(OR('SDA Tool'!$D$15="Power",V$1&lt;'SDA Tool'!$D$16),"",(V$15-$AN$15)/(HLOOKUP('SDA Tool'!$D$16,$D$1:$CL$15,ROW($A$15),)-$AN$15))</f>
        <v>0.52357503550381379</v>
      </c>
      <c r="W53" s="2">
        <f>IF(OR('SDA Tool'!$D$15="Power",W$1&lt;'SDA Tool'!$D$16),"",(W$15-$AN$15)/(HLOOKUP('SDA Tool'!$D$16,$D$1:$CL$15,ROW($A$15),)-$AN$15))</f>
        <v>0.51971942421365502</v>
      </c>
      <c r="X53" s="2">
        <f>IF(OR('SDA Tool'!$D$15="Power",X$1&lt;'SDA Tool'!$D$16),"",(X$15-$AN$15)/(HLOOKUP('SDA Tool'!$D$16,$D$1:$CL$15,ROW($A$15),)-$AN$15))</f>
        <v>0.5159186320413659</v>
      </c>
      <c r="Y53" s="2">
        <f>IF(OR('SDA Tool'!$D$15="Power",Y$1&lt;'SDA Tool'!$D$16),"",(Y$15-$AN$15)/(HLOOKUP('SDA Tool'!$D$16,$D$1:$CL$15,ROW($A$15),)-$AN$15))</f>
        <v>0.51217149811150908</v>
      </c>
      <c r="Z53" s="2">
        <f>IF(OR('SDA Tool'!$D$15="Power",Z$1&lt;'SDA Tool'!$D$16),"",(Z$15-$AN$15)/(HLOOKUP('SDA Tool'!$D$16,$D$1:$CL$15,ROW($A$15),)-$AN$15))</f>
        <v>0.50847689409655694</v>
      </c>
      <c r="AA53" s="2">
        <f>IF(OR('SDA Tool'!$D$15="Power",AA$1&lt;'SDA Tool'!$D$16),"",(AA$15-$AN$15)/(HLOOKUP('SDA Tool'!$D$16,$D$1:$CL$15,ROW($A$15),)-$AN$15))</f>
        <v>0.50483372308413299</v>
      </c>
      <c r="AB53" s="2">
        <f>IF(OR('SDA Tool'!$D$15="Power",AB$1&lt;'SDA Tool'!$D$16),"",(AB$15-$AN$15)/(HLOOKUP('SDA Tool'!$D$16,$D$1:$CL$15,ROW($A$15),)-$AN$15))</f>
        <v>0.47898677890961777</v>
      </c>
      <c r="AC53" s="2">
        <f>IF(OR('SDA Tool'!$D$15="Power",AC$1&lt;'SDA Tool'!$D$16),"",(AC$15-$AN$15)/(HLOOKUP('SDA Tool'!$D$16,$D$1:$CL$15,ROW($A$15),)-$AN$15))</f>
        <v>0.40157407118793648</v>
      </c>
      <c r="AD53" s="2">
        <f>IF(OR('SDA Tool'!$D$15="Power",AD$1&lt;'SDA Tool'!$D$16),"",(AD$15-$AN$15)/(HLOOKUP('SDA Tool'!$D$16,$D$1:$CL$15,ROW($A$15),)-$AN$15))</f>
        <v>0.3127390262446913</v>
      </c>
      <c r="AE53" s="2">
        <f>IF(OR('SDA Tool'!$D$15="Power",AE$1&lt;'SDA Tool'!$D$16),"",(AE$15-$AN$15)/(HLOOKUP('SDA Tool'!$D$16,$D$1:$CL$15,ROW($A$15),)-$AN$15))</f>
        <v>0.29568337882317347</v>
      </c>
      <c r="AF53" s="2">
        <f>IF(OR('SDA Tool'!$D$15="Power",AF$1&lt;'SDA Tool'!$D$16),"",(AF$15-$AN$15)/(HLOOKUP('SDA Tool'!$D$16,$D$1:$CL$15,ROW($A$15),)-$AN$15))</f>
        <v>0.2749223424716703</v>
      </c>
      <c r="AG53" s="2">
        <f>IF(OR('SDA Tool'!$D$15="Power",AG$1&lt;'SDA Tool'!$D$16),"",(AG$15-$AN$15)/(HLOOKUP('SDA Tool'!$D$16,$D$1:$CL$15,ROW($A$15),)-$AN$15))</f>
        <v>0.25068451321813995</v>
      </c>
      <c r="AH53" s="2">
        <f>IF(OR('SDA Tool'!$D$15="Power",AH$1&lt;'SDA Tool'!$D$16),"",(AH$15-$AN$15)/(HLOOKUP('SDA Tool'!$D$16,$D$1:$CL$15,ROW($A$15),)-$AN$15))</f>
        <v>0.22318353412962605</v>
      </c>
      <c r="AI53" s="2">
        <f>IF(OR('SDA Tool'!$D$15="Power",AI$1&lt;'SDA Tool'!$D$16),"",(AI$15-$AN$15)/(HLOOKUP('SDA Tool'!$D$16,$D$1:$CL$15,ROW($A$15),)-$AN$15))</f>
        <v>0.19261924160257249</v>
      </c>
      <c r="AJ53" s="2">
        <f>IF(OR('SDA Tool'!$D$15="Power",AJ$1&lt;'SDA Tool'!$D$16),"",(AJ$15-$AN$15)/(HLOOKUP('SDA Tool'!$D$16,$D$1:$CL$15,ROW($A$15),)-$AN$15))</f>
        <v>0.15917870916107155</v>
      </c>
      <c r="AK53" s="2">
        <f>IF(OR('SDA Tool'!$D$15="Power",AK$1&lt;'SDA Tool'!$D$16),"",(AK$15-$AN$15)/(HLOOKUP('SDA Tool'!$D$16,$D$1:$CL$15,ROW($A$15),)-$AN$15))</f>
        <v>0.12303719925731592</v>
      </c>
      <c r="AL53" s="2">
        <f>IF(OR('SDA Tool'!$D$15="Power",AL$1&lt;'SDA Tool'!$D$16),"",(AL$15-$AN$15)/(HLOOKUP('SDA Tool'!$D$16,$D$1:$CL$15,ROW($A$15),)-$AN$15))</f>
        <v>8.4359032359560174E-2</v>
      </c>
      <c r="AM53" s="2">
        <f>IF(OR('SDA Tool'!$D$15="Power",AM$1&lt;'SDA Tool'!$D$16),"",(AM$15-$AN$15)/(HLOOKUP('SDA Tool'!$D$16,$D$1:$CL$15,ROW($A$15),)-$AN$15))</f>
        <v>4.3298381558344923E-2</v>
      </c>
      <c r="AN53" s="2">
        <f>IF(OR('SDA Tool'!$D$15="Power",AN$1&lt;'SDA Tool'!$D$16),"",(AN$15-$AN$15)/(HLOOKUP('SDA Tool'!$D$16,$D$1:$CL$15,ROW($A$15),)-$AN$15))</f>
        <v>0</v>
      </c>
      <c r="AO53" s="61"/>
      <c r="AP53" s="61"/>
      <c r="AQ53" s="61"/>
      <c r="AR53" s="61"/>
      <c r="AS53" s="61"/>
      <c r="AT53" s="61"/>
      <c r="AU53" s="61"/>
      <c r="AV53" s="61"/>
      <c r="AW53" s="61"/>
      <c r="AX53" s="61"/>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row>
    <row r="54" spans="1:178" x14ac:dyDescent="0.25">
      <c r="A54" t="s">
        <v>162</v>
      </c>
      <c r="B54" s="528" t="s">
        <v>587</v>
      </c>
      <c r="C54" t="str">
        <f>INDEX(Lists!$E$2:$E$50,MATCH('SDA Tool'!$D$15,Lists!$B$2:$B$50,0))</f>
        <v>tCO2/t</v>
      </c>
      <c r="D54" s="2" t="e">
        <f t="shared" ref="D54:AN54" si="9">IF(D53="",NA(),($D$52*D$53*D$44)+$AN$15)</f>
        <v>#N/A</v>
      </c>
      <c r="E54" s="2" t="e">
        <f t="shared" si="9"/>
        <v>#N/A</v>
      </c>
      <c r="F54" s="2" t="e">
        <f t="shared" si="9"/>
        <v>#N/A</v>
      </c>
      <c r="G54" s="2" t="e">
        <f t="shared" si="9"/>
        <v>#N/A</v>
      </c>
      <c r="H54" s="2" t="e">
        <f t="shared" si="9"/>
        <v>#N/A</v>
      </c>
      <c r="I54" s="2" t="e">
        <f t="shared" si="9"/>
        <v>#N/A</v>
      </c>
      <c r="J54" s="2">
        <f t="shared" si="9"/>
        <v>0.1</v>
      </c>
      <c r="K54" s="2">
        <f t="shared" si="9"/>
        <v>9.894345258991033E-2</v>
      </c>
      <c r="L54" s="2">
        <f t="shared" si="9"/>
        <v>9.7909265971568557E-2</v>
      </c>
      <c r="M54" s="2">
        <f t="shared" si="9"/>
        <v>9.6896737711726175E-2</v>
      </c>
      <c r="N54" s="2">
        <f t="shared" si="9"/>
        <v>9.5905194493538445E-2</v>
      </c>
      <c r="O54" s="2">
        <f t="shared" si="9"/>
        <v>9.4933990623416162E-2</v>
      </c>
      <c r="P54" s="2">
        <f t="shared" si="9"/>
        <v>9.2113298786291584E-2</v>
      </c>
      <c r="Q54" s="2">
        <f t="shared" si="9"/>
        <v>8.4699686786135889E-2</v>
      </c>
      <c r="R54" s="2">
        <f t="shared" si="9"/>
        <v>7.5873747503990285E-2</v>
      </c>
      <c r="S54" s="2">
        <f t="shared" si="9"/>
        <v>6.5739722170210485E-2</v>
      </c>
      <c r="T54" s="2">
        <f t="shared" si="9"/>
        <v>5.4394489468009267E-2</v>
      </c>
      <c r="U54" s="2">
        <f t="shared" si="9"/>
        <v>5.4008181920953122E-2</v>
      </c>
      <c r="V54" s="2">
        <f t="shared" si="9"/>
        <v>5.3627446117364148E-2</v>
      </c>
      <c r="W54" s="2">
        <f t="shared" si="9"/>
        <v>5.3252162377788369E-2</v>
      </c>
      <c r="X54" s="2">
        <f t="shared" si="9"/>
        <v>5.2882214425979089E-2</v>
      </c>
      <c r="Y54" s="2">
        <f t="shared" si="9"/>
        <v>5.2517489268783565E-2</v>
      </c>
      <c r="Z54" s="2">
        <f t="shared" si="9"/>
        <v>5.2157877081081473E-2</v>
      </c>
      <c r="AA54" s="2">
        <f t="shared" si="9"/>
        <v>5.1803271095528333E-2</v>
      </c>
      <c r="AB54" s="2">
        <f t="shared" si="9"/>
        <v>4.9287473434291837E-2</v>
      </c>
      <c r="AC54" s="2">
        <f t="shared" si="9"/>
        <v>4.1752551405550953E-2</v>
      </c>
      <c r="AD54" s="2">
        <f t="shared" si="9"/>
        <v>3.3105842657504249E-2</v>
      </c>
      <c r="AE54" s="2">
        <f t="shared" si="9"/>
        <v>3.1445740882833487E-2</v>
      </c>
      <c r="AF54" s="2">
        <f t="shared" si="9"/>
        <v>2.9424977176868729E-2</v>
      </c>
      <c r="AG54" s="2">
        <f t="shared" si="9"/>
        <v>2.7065801804423566E-2</v>
      </c>
      <c r="AH54" s="2">
        <f t="shared" si="9"/>
        <v>2.438900959233628E-2</v>
      </c>
      <c r="AI54" s="2">
        <f t="shared" si="9"/>
        <v>2.1414051502987919E-2</v>
      </c>
      <c r="AJ54" s="2">
        <f t="shared" si="9"/>
        <v>1.8159136231813144E-2</v>
      </c>
      <c r="AK54" s="2">
        <f t="shared" si="9"/>
        <v>1.4641322850257781E-2</v>
      </c>
      <c r="AL54" s="2">
        <f t="shared" si="9"/>
        <v>1.0876605397962896E-2</v>
      </c>
      <c r="AM54" s="2">
        <f t="shared" si="9"/>
        <v>6.8799902253113172E-3</v>
      </c>
      <c r="AN54" s="2">
        <f t="shared" si="9"/>
        <v>2.6655667977552888E-3</v>
      </c>
      <c r="AO54" s="61"/>
      <c r="AP54" s="61"/>
      <c r="AQ54" s="61"/>
      <c r="AR54" s="61"/>
      <c r="AS54" s="61"/>
      <c r="AT54" s="61"/>
      <c r="AU54" s="61"/>
      <c r="AV54" s="61"/>
      <c r="AW54" s="61"/>
      <c r="AX54" s="61"/>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row>
    <row r="55" spans="1:178" x14ac:dyDescent="0.25">
      <c r="A55" t="s">
        <v>163</v>
      </c>
      <c r="B55" s="528" t="s">
        <v>588</v>
      </c>
      <c r="C55" t="s">
        <v>161</v>
      </c>
      <c r="D55" s="2" t="e">
        <f>IF(D53="",NA(),IF(D43='SDA Tool'!$D$16,'SDA Tool'!$D$19,IF((D54*D34/INDEX(Lists!$F$2:$F$10,MATCH('SDA Tool'!$D$15,Lists!$B$2:$B$7,0))&gt;=0),D54*D34/INDEX(Lists!$F$2:$F$10,MATCH('SDA Tool'!$D$15,Lists!$B$2:$B$7,0)),C55)))</f>
        <v>#N/A</v>
      </c>
      <c r="E55" s="2" t="e">
        <f>IF(E53="",NA(),IF(E43='SDA Tool'!$D$16,'SDA Tool'!$D$19,IF((E54*E34/INDEX(Lists!$F$2:$F$10,MATCH('SDA Tool'!$D$15,Lists!$B$2:$B$7,0))&gt;=0),E54*E34/INDEX(Lists!$F$2:$F$10,MATCH('SDA Tool'!$D$15,Lists!$B$2:$B$7,0)),D55)))</f>
        <v>#N/A</v>
      </c>
      <c r="F55" s="2" t="e">
        <f>IF(F53="",NA(),IF(F43='SDA Tool'!$D$16,'SDA Tool'!$D$19,IF((F54*F34/INDEX(Lists!$F$2:$F$10,MATCH('SDA Tool'!$D$15,Lists!$B$2:$B$7,0))&gt;=0),F54*F34/INDEX(Lists!$F$2:$F$10,MATCH('SDA Tool'!$D$15,Lists!$B$2:$B$7,0)),E55)))</f>
        <v>#N/A</v>
      </c>
      <c r="G55" s="2" t="e">
        <f>IF(G53="",NA(),IF(G43='SDA Tool'!$D$16,'SDA Tool'!$D$19,IF((G54*G34/INDEX(Lists!$F$2:$F$10,MATCH('SDA Tool'!$D$15,Lists!$B$2:$B$7,0))&gt;=0),G54*G34/INDEX(Lists!$F$2:$F$10,MATCH('SDA Tool'!$D$15,Lists!$B$2:$B$7,0)),F55)))</f>
        <v>#N/A</v>
      </c>
      <c r="H55" s="2" t="e">
        <f>IF(H53="",NA(),IF(H43='SDA Tool'!$D$16,'SDA Tool'!$D$19,IF((H54*H34/INDEX(Lists!$F$2:$F$10,MATCH('SDA Tool'!$D$15,Lists!$B$2:$B$7,0))&gt;=0),H54*H34/INDEX(Lists!$F$2:$F$10,MATCH('SDA Tool'!$D$15,Lists!$B$2:$B$7,0)),G55)))</f>
        <v>#N/A</v>
      </c>
      <c r="I55" s="2" t="e">
        <f>IF(I53="",NA(),IF(I43='SDA Tool'!$D$16,'SDA Tool'!$D$19,IF((I54*I34/INDEX(Lists!$F$2:$F$10,MATCH('SDA Tool'!$D$15,Lists!$B$2:$B$7,0))&gt;=0),I54*I34/INDEX(Lists!$F$2:$F$10,MATCH('SDA Tool'!$D$15,Lists!$B$2:$B$7,0)),H55)))</f>
        <v>#N/A</v>
      </c>
      <c r="J55" s="2">
        <f>IF(J53="",NA(),IF(J43='SDA Tool'!$D$16,'SDA Tool'!$D$19,IF((J54*J34/INDEX(Lists!$F$2:$F$10,MATCH('SDA Tool'!$D$15,Lists!$B$2:$B$7,0))&gt;=0),J54*J34/INDEX(Lists!$F$2:$F$10,MATCH('SDA Tool'!$D$15,Lists!$B$2:$B$7,0)),I55)))</f>
        <v>100</v>
      </c>
      <c r="K55" s="2">
        <f>IF(K53="",NA(),IF(K43='SDA Tool'!$D$16,'SDA Tool'!$D$19,IF((K54*K34/INDEX(Lists!$F$2:$F$10,MATCH('SDA Tool'!$D$15,Lists!$B$2:$B$7,0))&gt;=0),K54*K34/INDEX(Lists!$F$2:$F$10,MATCH('SDA Tool'!$D$15,Lists!$B$2:$B$7,0)),J55)))</f>
        <v>100.01311153682828</v>
      </c>
      <c r="L55" s="2">
        <f>IF(L53="",NA(),IF(L43='SDA Tool'!$D$16,'SDA Tool'!$D$19,IF((L54*L34/INDEX(Lists!$F$2:$F$10,MATCH('SDA Tool'!$D$15,Lists!$B$2:$B$7,0))&gt;=0),L54*L34/INDEX(Lists!$F$2:$F$10,MATCH('SDA Tool'!$D$15,Lists!$B$2:$B$7,0)),K55)))</f>
        <v>100.02622307365652</v>
      </c>
      <c r="M55" s="2">
        <f>IF(M53="",NA(),IF(M43='SDA Tool'!$D$16,'SDA Tool'!$D$19,IF((M54*M34/INDEX(Lists!$F$2:$F$10,MATCH('SDA Tool'!$D$15,Lists!$B$2:$B$7,0))&gt;=0),M54*M34/INDEX(Lists!$F$2:$F$10,MATCH('SDA Tool'!$D$15,Lists!$B$2:$B$7,0)),L55)))</f>
        <v>100.03933461048484</v>
      </c>
      <c r="N55" s="2">
        <f>IF(N53="",NA(),IF(N43='SDA Tool'!$D$16,'SDA Tool'!$D$19,IF((N54*N34/INDEX(Lists!$F$2:$F$10,MATCH('SDA Tool'!$D$15,Lists!$B$2:$B$7,0))&gt;=0),N54*N34/INDEX(Lists!$F$2:$F$10,MATCH('SDA Tool'!$D$15,Lists!$B$2:$B$7,0)),M55)))</f>
        <v>100.05244614731309</v>
      </c>
      <c r="O55" s="2">
        <f>IF(O53="",NA(),IF(O43='SDA Tool'!$D$16,'SDA Tool'!$D$19,IF((O54*O34/INDEX(Lists!$F$2:$F$10,MATCH('SDA Tool'!$D$15,Lists!$B$2:$B$7,0))&gt;=0),O54*O34/INDEX(Lists!$F$2:$F$10,MATCH('SDA Tool'!$D$15,Lists!$B$2:$B$7,0)),N55)))</f>
        <v>100.06555768414135</v>
      </c>
      <c r="P55" s="2">
        <f>IF(P53="",NA(),IF(P43='SDA Tool'!$D$16,'SDA Tool'!$D$19,IF((P54*P34/INDEX(Lists!$F$2:$F$10,MATCH('SDA Tool'!$D$15,Lists!$B$2:$B$7,0))&gt;=0),P54*P34/INDEX(Lists!$F$2:$F$10,MATCH('SDA Tool'!$D$15,Lists!$B$2:$B$7,0)),O55)))</f>
        <v>98.088215464321294</v>
      </c>
      <c r="Q55" s="2">
        <f>IF(Q53="",NA(),IF(Q43='SDA Tool'!$D$16,'SDA Tool'!$D$19,IF((Q54*Q34/INDEX(Lists!$F$2:$F$10,MATCH('SDA Tool'!$D$15,Lists!$B$2:$B$7,0))&gt;=0),Q54*Q34/INDEX(Lists!$F$2:$F$10,MATCH('SDA Tool'!$D$15,Lists!$B$2:$B$7,0)),P55)))</f>
        <v>91.109392813194816</v>
      </c>
      <c r="R55" s="2">
        <f>IF(R53="",NA(),IF(R43='SDA Tool'!$D$16,'SDA Tool'!$D$19,IF((R54*R34/INDEX(Lists!$F$2:$F$10,MATCH('SDA Tool'!$D$15,Lists!$B$2:$B$7,0))&gt;=0),R54*R34/INDEX(Lists!$F$2:$F$10,MATCH('SDA Tool'!$D$15,Lists!$B$2:$B$7,0)),Q55)))</f>
        <v>82.435801342173221</v>
      </c>
      <c r="S55" s="2">
        <f>IF(S53="",NA(),IF(S43='SDA Tool'!$D$16,'SDA Tool'!$D$19,IF((S54*S34/INDEX(Lists!$F$2:$F$10,MATCH('SDA Tool'!$D$15,Lists!$B$2:$B$7,0))&gt;=0),S54*S34/INDEX(Lists!$F$2:$F$10,MATCH('SDA Tool'!$D$15,Lists!$B$2:$B$7,0)),R55)))</f>
        <v>72.13601946244718</v>
      </c>
      <c r="T55" s="2">
        <f>IF(T53="",NA(),IF(T43='SDA Tool'!$D$16,'SDA Tool'!$D$19,IF((T54*T34/INDEX(Lists!$F$2:$F$10,MATCH('SDA Tool'!$D$15,Lists!$B$2:$B$7,0))&gt;=0),T54*T34/INDEX(Lists!$F$2:$F$10,MATCH('SDA Tool'!$D$15,Lists!$B$2:$B$7,0)),S55)))</f>
        <v>60.274974815902162</v>
      </c>
      <c r="U55" s="2">
        <f>IF(U53="",NA(),IF(U43='SDA Tool'!$D$16,'SDA Tool'!$D$19,IF((U54*U34/INDEX(Lists!$F$2:$F$10,MATCH('SDA Tool'!$D$15,Lists!$B$2:$B$7,0))&gt;=0),U54*U34/INDEX(Lists!$F$2:$F$10,MATCH('SDA Tool'!$D$15,Lists!$B$2:$B$7,0)),T55)))</f>
        <v>60.284808468523352</v>
      </c>
      <c r="V55" s="2">
        <f>IF(V53="",NA(),IF(V43='SDA Tool'!$D$16,'SDA Tool'!$D$19,IF((V54*V34/INDEX(Lists!$F$2:$F$10,MATCH('SDA Tool'!$D$15,Lists!$B$2:$B$7,0))&gt;=0),V54*V34/INDEX(Lists!$F$2:$F$10,MATCH('SDA Tool'!$D$15,Lists!$B$2:$B$7,0)),U55)))</f>
        <v>60.294642121144562</v>
      </c>
      <c r="W55" s="2">
        <f>IF(W53="",NA(),IF(W43='SDA Tool'!$D$16,'SDA Tool'!$D$19,IF((W54*W34/INDEX(Lists!$F$2:$F$10,MATCH('SDA Tool'!$D$15,Lists!$B$2:$B$7,0))&gt;=0),W54*W34/INDEX(Lists!$F$2:$F$10,MATCH('SDA Tool'!$D$15,Lists!$B$2:$B$7,0)),V55)))</f>
        <v>60.304475773765752</v>
      </c>
      <c r="X55" s="2">
        <f>IF(X53="",NA(),IF(X43='SDA Tool'!$D$16,'SDA Tool'!$D$19,IF((X54*X34/INDEX(Lists!$F$2:$F$10,MATCH('SDA Tool'!$D$15,Lists!$B$2:$B$7,0))&gt;=0),X54*X34/INDEX(Lists!$F$2:$F$10,MATCH('SDA Tool'!$D$15,Lists!$B$2:$B$7,0)),W55)))</f>
        <v>60.314309426386956</v>
      </c>
      <c r="Y55" s="2">
        <f>IF(Y53="",NA(),IF(Y43='SDA Tool'!$D$16,'SDA Tool'!$D$19,IF((Y54*Y34/INDEX(Lists!$F$2:$F$10,MATCH('SDA Tool'!$D$15,Lists!$B$2:$B$7,0))&gt;=0),Y54*Y34/INDEX(Lists!$F$2:$F$10,MATCH('SDA Tool'!$D$15,Lists!$B$2:$B$7,0)),X55)))</f>
        <v>60.324143079008152</v>
      </c>
      <c r="Z55" s="2">
        <f>IF(Z53="",NA(),IF(Z43='SDA Tool'!$D$16,'SDA Tool'!$D$19,IF((Z54*Z34/INDEX(Lists!$F$2:$F$10,MATCH('SDA Tool'!$D$15,Lists!$B$2:$B$7,0))&gt;=0),Z54*Z34/INDEX(Lists!$F$2:$F$10,MATCH('SDA Tool'!$D$15,Lists!$B$2:$B$7,0)),Y55)))</f>
        <v>60.333976731629377</v>
      </c>
      <c r="AA55" s="2">
        <f>IF(AA53="",NA(),IF(AA43='SDA Tool'!$D$16,'SDA Tool'!$D$19,IF((AA54*AA34/INDEX(Lists!$F$2:$F$10,MATCH('SDA Tool'!$D$15,Lists!$B$2:$B$7,0))&gt;=0),AA54*AA34/INDEX(Lists!$F$2:$F$10,MATCH('SDA Tool'!$D$15,Lists!$B$2:$B$7,0)),Z55)))</f>
        <v>60.343810384250581</v>
      </c>
      <c r="AB55" s="2">
        <f>IF(AB53="",NA(),IF(AB43='SDA Tool'!$D$16,'SDA Tool'!$D$19,IF((AB54*AB34/INDEX(Lists!$F$2:$F$10,MATCH('SDA Tool'!$D$15,Lists!$B$2:$B$7,0))&gt;=0),AB54*AB34/INDEX(Lists!$F$2:$F$10,MATCH('SDA Tool'!$D$15,Lists!$B$2:$B$7,0)),AA55)))</f>
        <v>57.812874244547722</v>
      </c>
      <c r="AC55" s="2">
        <f>IF(AC53="",NA(),IF(AC43='SDA Tool'!$D$16,'SDA Tool'!$D$19,IF((AC54*AC34/INDEX(Lists!$F$2:$F$10,MATCH('SDA Tool'!$D$15,Lists!$B$2:$B$7,0))&gt;=0),AC54*AC34/INDEX(Lists!$F$2:$F$10,MATCH('SDA Tool'!$D$15,Lists!$B$2:$B$7,0)),AB55)))</f>
        <v>49.313148551961532</v>
      </c>
      <c r="AD55" s="2">
        <f>IF(AD53="",NA(),IF(AD43='SDA Tool'!$D$16,'SDA Tool'!$D$19,IF((AD54*AD34/INDEX(Lists!$F$2:$F$10,MATCH('SDA Tool'!$D$15,Lists!$B$2:$B$7,0))&gt;=0),AD54*AD34/INDEX(Lists!$F$2:$F$10,MATCH('SDA Tool'!$D$15,Lists!$B$2:$B$7,0)),AC55)))</f>
        <v>39.369110187302347</v>
      </c>
      <c r="AE55" s="2">
        <f>IF(AE53="",NA(),IF(AE43='SDA Tool'!$D$16,'SDA Tool'!$D$19,IF((AE54*AE34/INDEX(Lists!$F$2:$F$10,MATCH('SDA Tool'!$D$15,Lists!$B$2:$B$7,0))&gt;=0),AE54*AE34/INDEX(Lists!$F$2:$F$10,MATCH('SDA Tool'!$D$15,Lists!$B$2:$B$7,0)),AD55)))</f>
        <v>37.564912081655137</v>
      </c>
      <c r="AF55" s="2">
        <f>IF(AF53="",NA(),IF(AF43='SDA Tool'!$D$16,'SDA Tool'!$D$19,IF((AF54*AF34/INDEX(Lists!$F$2:$F$10,MATCH('SDA Tool'!$D$15,Lists!$B$2:$B$7,0))&gt;=0),AF54*AF34/INDEX(Lists!$F$2:$F$10,MATCH('SDA Tool'!$D$15,Lists!$B$2:$B$7,0)),AE55)))</f>
        <v>35.309972612242476</v>
      </c>
      <c r="AG55" s="2">
        <f>IF(AG53="",NA(),IF(AG43='SDA Tool'!$D$16,'SDA Tool'!$D$19,IF((AG54*AG34/INDEX(Lists!$F$2:$F$10,MATCH('SDA Tool'!$D$15,Lists!$B$2:$B$7,0))&gt;=0),AG54*AG34/INDEX(Lists!$F$2:$F$10,MATCH('SDA Tool'!$D$15,Lists!$B$2:$B$7,0)),AF55)))</f>
        <v>32.625263796683541</v>
      </c>
      <c r="AH55" s="2">
        <f>IF(AH53="",NA(),IF(AH43='SDA Tool'!$D$16,'SDA Tool'!$D$19,IF((AH54*AH34/INDEX(Lists!$F$2:$F$10,MATCH('SDA Tool'!$D$15,Lists!$B$2:$B$7,0))&gt;=0),AH54*AH34/INDEX(Lists!$F$2:$F$10,MATCH('SDA Tool'!$D$15,Lists!$B$2:$B$7,0)),AG55)))</f>
        <v>29.530476479369334</v>
      </c>
      <c r="AI55" s="2">
        <f>IF(AI53="",NA(),IF(AI43='SDA Tool'!$D$16,'SDA Tool'!$D$19,IF((AI54*AI34/INDEX(Lists!$F$2:$F$10,MATCH('SDA Tool'!$D$15,Lists!$B$2:$B$7,0))&gt;=0),AI54*AI34/INDEX(Lists!$F$2:$F$10,MATCH('SDA Tool'!$D$15,Lists!$B$2:$B$7,0)),AH55)))</f>
        <v>26.044116692823145</v>
      </c>
      <c r="AJ55" s="2">
        <f>IF(AJ53="",NA(),IF(AJ43='SDA Tool'!$D$16,'SDA Tool'!$D$19,IF((AJ54*AJ34/INDEX(Lists!$F$2:$F$10,MATCH('SDA Tool'!$D$15,Lists!$B$2:$B$7,0))&gt;=0),AJ54*AJ34/INDEX(Lists!$F$2:$F$10,MATCH('SDA Tool'!$D$15,Lists!$B$2:$B$7,0)),AI55)))</f>
        <v>22.183593450755517</v>
      </c>
      <c r="AK55" s="2">
        <f>IF(AK53="",NA(),IF(AK43='SDA Tool'!$D$16,'SDA Tool'!$D$19,IF((AK54*AK34/INDEX(Lists!$F$2:$F$10,MATCH('SDA Tool'!$D$15,Lists!$B$2:$B$7,0))&gt;=0),AK54*AK34/INDEX(Lists!$F$2:$F$10,MATCH('SDA Tool'!$D$15,Lists!$B$2:$B$7,0)),AJ55)))</f>
        <v>17.96529884869468</v>
      </c>
      <c r="AL55" s="2">
        <f>IF(AL53="",NA(),IF(AL43='SDA Tool'!$D$16,'SDA Tool'!$D$19,IF((AL54*AL34/INDEX(Lists!$F$2:$F$10,MATCH('SDA Tool'!$D$15,Lists!$B$2:$B$7,0))&gt;=0),AL54*AL34/INDEX(Lists!$F$2:$F$10,MATCH('SDA Tool'!$D$15,Lists!$B$2:$B$7,0)),AK55)))</f>
        <v>13.404681247219138</v>
      </c>
      <c r="AM55" s="2">
        <f>IF(AM53="",NA(),IF(AM43='SDA Tool'!$D$16,'SDA Tool'!$D$19,IF((AM54*AM34/INDEX(Lists!$F$2:$F$10,MATCH('SDA Tool'!$D$15,Lists!$B$2:$B$7,0))&gt;=0),AM54*AM34/INDEX(Lists!$F$2:$F$10,MATCH('SDA Tool'!$D$15,Lists!$B$2:$B$7,0)),AL55)))</f>
        <v>8.5163122248448211</v>
      </c>
      <c r="AN55" s="2">
        <f>IF(AN53="",NA(),IF(AN43='SDA Tool'!$D$16,'SDA Tool'!$D$19,IF((AN54*AN34/INDEX(Lists!$F$2:$F$10,MATCH('SDA Tool'!$D$15,Lists!$B$2:$B$7,0))&gt;=0),AN54*AN34/INDEX(Lists!$F$2:$F$10,MATCH('SDA Tool'!$D$15,Lists!$B$2:$B$7,0)),AM55)))</f>
        <v>3.3139479107227912</v>
      </c>
      <c r="AO55" s="61"/>
      <c r="AP55" s="61"/>
      <c r="AQ55" s="61"/>
      <c r="AR55" s="61"/>
      <c r="AS55" s="61"/>
      <c r="AT55" s="61"/>
      <c r="AU55" s="61"/>
      <c r="AV55" s="61"/>
      <c r="AW55" s="61"/>
      <c r="AX55" s="61"/>
      <c r="CM55" s="2"/>
    </row>
    <row r="56" spans="1:178" x14ac:dyDescent="0.25">
      <c r="B56" s="528" t="s">
        <v>546</v>
      </c>
      <c r="C56" t="s">
        <v>161</v>
      </c>
      <c r="D56" s="61">
        <f>IF(D52&lt;&gt;0,HLOOKUP('SDA Tool'!$D$20,Calculations!$M$1:$AN$62,ROW(Calculations!A55)),"")</f>
        <v>60.274974815902162</v>
      </c>
      <c r="E56" s="2" t="e">
        <f>IF(AND(E$1='SDA Tool'!$D$20,E55&lt;&gt;0),E55,"")</f>
        <v>#N/A</v>
      </c>
      <c r="F56" s="2" t="e">
        <f>IF(AND(F$1='SDA Tool'!$D$20,F55&lt;&gt;0),F55,"")</f>
        <v>#N/A</v>
      </c>
      <c r="G56" s="2" t="e">
        <f>IF(AND(G$1='SDA Tool'!$D$20,G55&lt;&gt;0),G55,"")</f>
        <v>#N/A</v>
      </c>
      <c r="H56" s="2" t="e">
        <f>IF(AND(H$1='SDA Tool'!$D$20,H55&lt;&gt;0),H55,"")</f>
        <v>#N/A</v>
      </c>
      <c r="I56" s="2" t="e">
        <f>IF(AND(I$1='SDA Tool'!$D$20,I55&lt;&gt;0),I55,"")</f>
        <v>#N/A</v>
      </c>
      <c r="J56" s="2" t="str">
        <f>IF(AND(J$1='SDA Tool'!$D$20,J55&lt;&gt;0),J55,"")</f>
        <v/>
      </c>
      <c r="K56" s="2" t="str">
        <f>IF(AND(K$1='SDA Tool'!$D$20,K55&lt;&gt;0),K55,"")</f>
        <v/>
      </c>
      <c r="L56" s="2" t="str">
        <f>IF(AND(L$1='SDA Tool'!$D$20,L55&lt;&gt;0),L55,"")</f>
        <v/>
      </c>
      <c r="M56" s="2" t="str">
        <f>IF(AND(M$1='SDA Tool'!$D$20,M55&lt;&gt;0),M55,"")</f>
        <v/>
      </c>
      <c r="N56" s="2" t="str">
        <f>IF(AND(N$1='SDA Tool'!$D$20,N55&lt;&gt;0),N55,"")</f>
        <v/>
      </c>
      <c r="O56" s="2" t="str">
        <f>IF(AND(O$1='SDA Tool'!$D$20,O55&lt;&gt;0),O55,"")</f>
        <v/>
      </c>
      <c r="P56" s="2" t="str">
        <f>IF(AND(P$1='SDA Tool'!$D$20,P55&lt;&gt;0),P55,"")</f>
        <v/>
      </c>
      <c r="Q56" s="2" t="str">
        <f>IF(AND(Q$1='SDA Tool'!$D$20,Q55&lt;&gt;0),Q55,"")</f>
        <v/>
      </c>
      <c r="R56" s="2" t="str">
        <f>IF(AND(R$1='SDA Tool'!$D$20,R55&lt;&gt;0),R55,"")</f>
        <v/>
      </c>
      <c r="S56" s="2" t="str">
        <f>IF(AND(S$1='SDA Tool'!$D$20,S55&lt;&gt;0),S55,"")</f>
        <v/>
      </c>
      <c r="T56" s="2">
        <f>IF(AND(T$1='SDA Tool'!$D$20,T55&lt;&gt;0),T55,"")</f>
        <v>60.274974815902162</v>
      </c>
      <c r="U56" s="2" t="str">
        <f>IF(AND(U$1='SDA Tool'!$D$20,U55&lt;&gt;0),U55,"")</f>
        <v/>
      </c>
      <c r="V56" s="2" t="str">
        <f>IF(AND(V$1='SDA Tool'!$D$20,V55&lt;&gt;0),V55,"")</f>
        <v/>
      </c>
      <c r="W56" s="2" t="str">
        <f>IF(AND(W$1='SDA Tool'!$D$20,W55&lt;&gt;0),W55,"")</f>
        <v/>
      </c>
      <c r="X56" s="2" t="str">
        <f>IF(AND(X$1='SDA Tool'!$D$20,X55&lt;&gt;0),X55,"")</f>
        <v/>
      </c>
      <c r="Y56" s="2" t="str">
        <f>IF(AND(Y$1='SDA Tool'!$D$20,Y55&lt;&gt;0),Y55,"")</f>
        <v/>
      </c>
      <c r="Z56" s="2" t="str">
        <f>IF(AND(Z$1='SDA Tool'!$D$20,Z55&lt;&gt;0),Z55,"")</f>
        <v/>
      </c>
      <c r="AA56" s="2" t="str">
        <f>IF(AND(AA$1='SDA Tool'!$D$20,AA55&lt;&gt;0),AA55,"")</f>
        <v/>
      </c>
      <c r="AB56" s="2" t="str">
        <f>IF(AND(AB$1='SDA Tool'!$D$20,AB55&lt;&gt;0),AB55,"")</f>
        <v/>
      </c>
      <c r="AC56" s="2" t="str">
        <f>IF(AND(AC$1='SDA Tool'!$D$20,AC55&lt;&gt;0),AC55,"")</f>
        <v/>
      </c>
      <c r="AD56" s="2" t="str">
        <f>IF(AND(AD$1='SDA Tool'!$D$20,AD55&lt;&gt;0),AD55,"")</f>
        <v/>
      </c>
      <c r="AE56" s="2" t="str">
        <f>IF(AND(AE$1='SDA Tool'!$D$20,AE55&lt;&gt;0),AE55,"")</f>
        <v/>
      </c>
      <c r="AF56" s="2" t="str">
        <f>IF(AND(AF$1='SDA Tool'!$D$20,AF55&lt;&gt;0),AF55,"")</f>
        <v/>
      </c>
      <c r="AG56" s="2" t="str">
        <f>IF(AND(AG$1='SDA Tool'!$D$20,AG55&lt;&gt;0),AG55,"")</f>
        <v/>
      </c>
      <c r="AH56" s="2" t="str">
        <f>IF(AND(AH$1='SDA Tool'!$D$20,AH55&lt;&gt;0),AH55,"")</f>
        <v/>
      </c>
      <c r="AI56" s="2" t="str">
        <f>IF(AND(AI$1='SDA Tool'!$D$20,AI55&lt;&gt;0),AI55,"")</f>
        <v/>
      </c>
      <c r="AJ56" s="2" t="str">
        <f>IF(AND(AJ$1='SDA Tool'!$D$20,AJ55&lt;&gt;0),AJ55,"")</f>
        <v/>
      </c>
      <c r="AK56" s="2" t="str">
        <f>IF(AND(AK$1='SDA Tool'!$D$20,AK55&lt;&gt;0),AK55,"")</f>
        <v/>
      </c>
      <c r="AL56" s="2" t="str">
        <f>IF(AND(AL$1='SDA Tool'!$D$20,AL55&lt;&gt;0),AL55,"")</f>
        <v/>
      </c>
      <c r="AM56" s="2" t="str">
        <f>IF(AND(AM$1='SDA Tool'!$D$20,AM55&lt;&gt;0),AM55,"")</f>
        <v/>
      </c>
      <c r="AN56" s="2" t="str">
        <f>IF(AND(AX$1='SDA Tool'!$D$20,AX55&lt;&gt;0),AX55,"")</f>
        <v/>
      </c>
      <c r="AO56" s="61"/>
      <c r="AP56" s="61"/>
      <c r="AQ56" s="61"/>
      <c r="AR56" s="61"/>
      <c r="AS56" s="61"/>
      <c r="AT56" s="61"/>
      <c r="AU56" s="61"/>
      <c r="AV56" s="61"/>
      <c r="AW56" s="61"/>
      <c r="AX56" s="61"/>
    </row>
    <row r="57" spans="1:178" x14ac:dyDescent="0.25">
      <c r="B57" s="528" t="s">
        <v>546</v>
      </c>
      <c r="C57" t="str">
        <f>+C54</f>
        <v>tCO2/t</v>
      </c>
      <c r="D57" s="61">
        <f>IF(D52&lt;&gt;0,HLOOKUP('SDA Tool'!$D$20,Calculations!$M$1:$AN$62,ROW(Calculations!A54)),"")</f>
        <v>5.4394489468009267E-2</v>
      </c>
      <c r="AO57" s="61"/>
      <c r="AP57" s="61"/>
      <c r="AQ57" s="61"/>
      <c r="AR57" s="61"/>
      <c r="AS57" s="61"/>
      <c r="AT57" s="61"/>
      <c r="AU57" s="61"/>
      <c r="AV57" s="61"/>
      <c r="AW57" s="61"/>
      <c r="AX57" s="61"/>
    </row>
    <row r="58" spans="1:178" x14ac:dyDescent="0.25">
      <c r="B58" s="528"/>
      <c r="D58" s="414"/>
      <c r="T58" s="4"/>
    </row>
    <row r="59" spans="1:178" x14ac:dyDescent="0.25">
      <c r="A59" t="s">
        <v>157</v>
      </c>
      <c r="B59" s="528" t="s">
        <v>547</v>
      </c>
      <c r="C59" t="str">
        <f>INDEX(Lists!$E$2:$E$50,MATCH('SDA Tool'!$D$15,Lists!$B$2:$B$50,0))</f>
        <v>tCO2/t</v>
      </c>
      <c r="D59" s="2">
        <f>IF(('SDA Tool'!$D$18+'SDA Tool'!$D$19)*INDEX(Lists!$F$2:$F$50,MATCH('SDA Tool'!$D$15,Lists!$B$2:$B$50,0))/'SDA Tool'!$D$17-$AN$16&lt;0,0,('SDA Tool'!$D$18+'SDA Tool'!$D$19)*INDEX(Lists!$F$2:$F$50,MATCH('SDA Tool'!$D$15,Lists!$B$2:$B$50,0))/'SDA Tool'!$D$17-$AN$16)</f>
        <v>0.21037791146311427</v>
      </c>
      <c r="AO59" s="61"/>
      <c r="AP59" s="61"/>
      <c r="AQ59" s="61"/>
      <c r="AR59" s="61"/>
      <c r="AS59" s="61"/>
      <c r="AT59" s="61"/>
      <c r="AU59" s="61"/>
      <c r="AV59" s="61"/>
      <c r="AW59" s="61"/>
      <c r="AX59" s="61"/>
    </row>
    <row r="60" spans="1:178" x14ac:dyDescent="0.25">
      <c r="A60" t="s">
        <v>158</v>
      </c>
      <c r="B60" s="528" t="s">
        <v>548</v>
      </c>
      <c r="C60" t="s">
        <v>156</v>
      </c>
      <c r="D60" s="2" t="str">
        <f>IF(D$1&lt;'SDA Tool'!$D$16,"",(D$16-$AN$16)/(HLOOKUP('SDA Tool'!$D$16,$D$1:$CL$16,ROW($A$16),)-$AN$16))</f>
        <v/>
      </c>
      <c r="E60" s="2" t="str">
        <f>IF(E$1&lt;'SDA Tool'!$D$16,"",(E$16-$AN$16)/(HLOOKUP('SDA Tool'!$D$16,$D$1:$CL$16,ROW($A$16),)-$AN$16))</f>
        <v/>
      </c>
      <c r="F60" s="2" t="str">
        <f>IF(F$1&lt;'SDA Tool'!$D$16,"",(F$16-$AN$16)/(HLOOKUP('SDA Tool'!$D$16,$D$1:$CL$16,ROW($A$16),)-$AN$16))</f>
        <v/>
      </c>
      <c r="G60" s="2" t="str">
        <f>IF(G$1&lt;'SDA Tool'!$D$16,"",(G$16-$AN$16)/(HLOOKUP('SDA Tool'!$D$16,$D$1:$CL$16,ROW($A$16),)-$AN$16))</f>
        <v/>
      </c>
      <c r="H60" s="2" t="str">
        <f>IF(H$1&lt;'SDA Tool'!$D$16,"",(H$16-$AN$16)/(HLOOKUP('SDA Tool'!$D$16,$D$1:$CL$16,ROW($A$16),)-$AN$16))</f>
        <v/>
      </c>
      <c r="I60" s="2" t="str">
        <f>IF(I$1&lt;'SDA Tool'!$D$16,"",(I$16-$AN$16)/(HLOOKUP('SDA Tool'!$D$16,$D$1:$CL$16,ROW($A$16),)-$AN$16))</f>
        <v/>
      </c>
      <c r="J60" s="2">
        <f>IF(J$1&lt;'SDA Tool'!$D$16,"",(J$16-$AN$16)/(HLOOKUP('SDA Tool'!$D$16,$D$1:$CL$16,ROW($A$16),)-$AN$16))</f>
        <v>1</v>
      </c>
      <c r="K60" s="2">
        <f>IF(K$1&lt;'SDA Tool'!$D$16,"",(K$16-$AN$16)/(HLOOKUP('SDA Tool'!$D$16,$D$1:$CL$16,ROW($A$16),)-$AN$16))</f>
        <v>0.96562002128808422</v>
      </c>
      <c r="L60" s="2">
        <f>IF(L$1&lt;'SDA Tool'!$D$16,"",(L$16-$AN$16)/(HLOOKUP('SDA Tool'!$D$16,$D$1:$CL$16,ROW($A$16),)-$AN$16))</f>
        <v>0.93196766117324625</v>
      </c>
      <c r="M60" s="2">
        <f>IF(M$1&lt;'SDA Tool'!$D$16,"",(M$16-$AN$16)/(HLOOKUP('SDA Tool'!$D$16,$D$1:$CL$16,ROW($A$16),)-$AN$16))</f>
        <v>0.89902006252678168</v>
      </c>
      <c r="N60" s="2">
        <f>IF(N$1&lt;'SDA Tool'!$D$16,"",(N$16-$AN$16)/(HLOOKUP('SDA Tool'!$D$16,$D$1:$CL$16,ROW($A$16),)-$AN$16))</f>
        <v>0.86675531566573638</v>
      </c>
      <c r="O60" s="2">
        <f>IF(O$1&lt;'SDA Tool'!$D$16,"",(O$16-$AN$16)/(HLOOKUP('SDA Tool'!$D$16,$D$1:$CL$16,ROW($A$16),)-$AN$16))</f>
        <v>0.83515240976594296</v>
      </c>
      <c r="P60" s="2">
        <f>IF(P$1&lt;'SDA Tool'!$D$16,"",(P$16-$AN$16)/(HLOOKUP('SDA Tool'!$D$16,$D$1:$CL$16,ROW($A$16),)-$AN$16))</f>
        <v>0.8028323885460209</v>
      </c>
      <c r="Q60" s="2">
        <f>IF(Q$1&lt;'SDA Tool'!$D$16,"",(Q$16-$AN$16)/(HLOOKUP('SDA Tool'!$D$16,$D$1:$CL$16,ROW($A$16),)-$AN$16))</f>
        <v>0.76778203116846422</v>
      </c>
      <c r="R60" s="2">
        <f>IF(R$1&lt;'SDA Tool'!$D$16,"",(R$16-$AN$16)/(HLOOKUP('SDA Tool'!$D$16,$D$1:$CL$16,ROW($A$16),)-$AN$16))</f>
        <v>0.73229527008890261</v>
      </c>
      <c r="S60" s="2">
        <f>IF(S$1&lt;'SDA Tool'!$D$16,"",(S$16-$AN$16)/(HLOOKUP('SDA Tool'!$D$16,$D$1:$CL$16,ROW($A$16),)-$AN$16))</f>
        <v>0.69643043581115449</v>
      </c>
      <c r="T60" s="2">
        <f>IF(T$1&lt;'SDA Tool'!$D$16,"",(T$16-$AN$16)/(HLOOKUP('SDA Tool'!$D$16,$D$1:$CL$16,ROW($A$16),)-$AN$16))</f>
        <v>0.66024118755832351</v>
      </c>
      <c r="U60" s="2">
        <f>IF(U$1&lt;'SDA Tool'!$D$16,"",(U$16-$AN$16)/(HLOOKUP('SDA Tool'!$D$16,$D$1:$CL$16,ROW($A$16),)-$AN$16))</f>
        <v>0.61777512336526941</v>
      </c>
      <c r="V60" s="2">
        <f>IF(V$1&lt;'SDA Tool'!$D$16,"",(V$16-$AN$16)/(HLOOKUP('SDA Tool'!$D$16,$D$1:$CL$16,ROW($A$16),)-$AN$16))</f>
        <v>0.57592155048269211</v>
      </c>
      <c r="W60" s="2">
        <f>IF(W$1&lt;'SDA Tool'!$D$16,"",(W$16-$AN$16)/(HLOOKUP('SDA Tool'!$D$16,$D$1:$CL$16,ROW($A$16),)-$AN$16))</f>
        <v>0.53466731277265767</v>
      </c>
      <c r="X60" s="2">
        <f>IF(X$1&lt;'SDA Tool'!$D$16,"",(X$16-$AN$16)/(HLOOKUP('SDA Tool'!$D$16,$D$1:$CL$16,ROW($A$16),)-$AN$16))</f>
        <v>0.49399962820541987</v>
      </c>
      <c r="Y60" s="2">
        <f>IF(Y$1&lt;'SDA Tool'!$D$16,"",(Y$16-$AN$16)/(HLOOKUP('SDA Tool'!$D$16,$D$1:$CL$16,ROW($A$16),)-$AN$16))</f>
        <v>0.45390607565560204</v>
      </c>
      <c r="Z60" s="2">
        <f>IF(Z$1&lt;'SDA Tool'!$D$16,"",(Z$16-$AN$16)/(HLOOKUP('SDA Tool'!$D$16,$D$1:$CL$16,ROW($A$16),)-$AN$16))</f>
        <v>0.41437458225367879</v>
      </c>
      <c r="AA60" s="2">
        <f>IF(AA$1&lt;'SDA Tool'!$D$16,"",(AA$16-$AN$16)/(HLOOKUP('SDA Tool'!$D$16,$D$1:$CL$16,ROW($A$16),)-$AN$16))</f>
        <v>0.37539341126570336</v>
      </c>
      <c r="AB60" s="2">
        <f>IF(AB$1&lt;'SDA Tool'!$D$16,"",(AB$16-$AN$16)/(HLOOKUP('SDA Tool'!$D$16,$D$1:$CL$16,ROW($A$16),)-$AN$16))</f>
        <v>0.3353765338361176</v>
      </c>
      <c r="AC60" s="2">
        <f>IF(AC$1&lt;'SDA Tool'!$D$16,"",(AC$16-$AN$16)/(HLOOKUP('SDA Tool'!$D$16,$D$1:$CL$16,ROW($A$16),)-$AN$16))</f>
        <v>0.29223538391685389</v>
      </c>
      <c r="AD60" s="2">
        <f>IF(AD$1&lt;'SDA Tool'!$D$16,"",(AD$16-$AN$16)/(HLOOKUP('SDA Tool'!$D$16,$D$1:$CL$16,ROW($A$16),)-$AN$16))</f>
        <v>0.24879962997424016</v>
      </c>
      <c r="AE60" s="2">
        <f>IF(AE$1&lt;'SDA Tool'!$D$16,"",(AE$16-$AN$16)/(HLOOKUP('SDA Tool'!$D$16,$D$1:$CL$16,ROW($A$16),)-$AN$16))</f>
        <v>0.22400259927520905</v>
      </c>
      <c r="AF60" s="2">
        <f>IF(AF$1&lt;'SDA Tool'!$D$16,"",(AF$16-$AN$16)/(HLOOKUP('SDA Tool'!$D$16,$D$1:$CL$16,ROW($A$16),)-$AN$16))</f>
        <v>0.19915591429850782</v>
      </c>
      <c r="AG60" s="2">
        <f>IF(AG$1&lt;'SDA Tool'!$D$16,"",(AG$16-$AN$16)/(HLOOKUP('SDA Tool'!$D$16,$D$1:$CL$16,ROW($A$16),)-$AN$16))</f>
        <v>0.17427289053644962</v>
      </c>
      <c r="AH60" s="2">
        <f>IF(AH$1&lt;'SDA Tool'!$D$16,"",(AH$16-$AN$16)/(HLOOKUP('SDA Tool'!$D$16,$D$1:$CL$16,ROW($A$16),)-$AN$16))</f>
        <v>0.14936583652273988</v>
      </c>
      <c r="AI60" s="2">
        <f>IF(AI$1&lt;'SDA Tool'!$D$16,"",(AI$16-$AN$16)/(HLOOKUP('SDA Tool'!$D$16,$D$1:$CL$16,ROW($A$16),)-$AN$16))</f>
        <v>0.12444613380498096</v>
      </c>
      <c r="AJ60" s="2">
        <f>IF(AJ$1&lt;'SDA Tool'!$D$16,"",(AJ$16-$AN$16)/(HLOOKUP('SDA Tool'!$D$16,$D$1:$CL$16,ROW($A$16),)-$AN$16))</f>
        <v>9.9524309695355861E-2</v>
      </c>
      <c r="AK60" s="2">
        <f>IF(AK$1&lt;'SDA Tool'!$D$16,"",(AK$16-$AN$16)/(HLOOKUP('SDA Tool'!$D$16,$D$1:$CL$16,ROW($A$16),)-$AN$16))</f>
        <v>7.4610103541097497E-2</v>
      </c>
      <c r="AL60" s="2">
        <f>IF(AL$1&lt;'SDA Tool'!$D$16,"",(AL$16-$AN$16)/(HLOOKUP('SDA Tool'!$D$16,$D$1:$CL$16,ROW($A$16),)-$AN$16))</f>
        <v>4.9712527170837677E-2</v>
      </c>
      <c r="AM60" s="2">
        <f>IF(AM$1&lt;'SDA Tool'!$D$16,"",(AM$16-$AN$16)/(HLOOKUP('SDA Tool'!$D$16,$D$1:$CL$16,ROW($A$16),)-$AN$16))</f>
        <v>2.4839920098348855E-2</v>
      </c>
      <c r="AN60" s="2">
        <f>IF(AN$1&lt;'SDA Tool'!$D$16,"",(AN$16-$AN$16)/(HLOOKUP('SDA Tool'!$D$16,$D$1:$CL$16,ROW($A$16),)-$AN$16))</f>
        <v>0</v>
      </c>
      <c r="AO60" s="61"/>
      <c r="AP60" s="61"/>
      <c r="AQ60" s="61"/>
      <c r="AR60" s="61"/>
      <c r="AS60" s="61"/>
      <c r="AT60" s="61"/>
      <c r="AU60" s="61"/>
      <c r="AV60" s="61"/>
      <c r="AW60" s="61"/>
      <c r="AX60" s="61"/>
    </row>
    <row r="61" spans="1:178" x14ac:dyDescent="0.25">
      <c r="A61" t="s">
        <v>164</v>
      </c>
      <c r="B61" s="528" t="s">
        <v>589</v>
      </c>
      <c r="C61" t="str">
        <f>INDEX(Lists!$E$2:$E$50,MATCH('SDA Tool'!$D$15,Lists!$B$2:$B$50,0))</f>
        <v>tCO2/t</v>
      </c>
      <c r="D61" s="2" t="e">
        <f t="shared" ref="D61:AN61" si="10">IF(D60="",NA(),($D$59*D$60*D$44)+$AN$16)</f>
        <v>#N/A</v>
      </c>
      <c r="E61" s="2" t="e">
        <f t="shared" si="10"/>
        <v>#N/A</v>
      </c>
      <c r="F61" s="2" t="e">
        <f t="shared" si="10"/>
        <v>#N/A</v>
      </c>
      <c r="G61" s="2" t="e">
        <f t="shared" si="10"/>
        <v>#N/A</v>
      </c>
      <c r="H61" s="2" t="e">
        <f t="shared" si="10"/>
        <v>#N/A</v>
      </c>
      <c r="I61" s="2" t="e">
        <f t="shared" si="10"/>
        <v>#N/A</v>
      </c>
      <c r="J61" s="2">
        <f t="shared" si="10"/>
        <v>0.3</v>
      </c>
      <c r="K61" s="2">
        <f t="shared" si="10"/>
        <v>0.29276721188244081</v>
      </c>
      <c r="L61" s="2">
        <f t="shared" si="10"/>
        <v>0.28568749864567655</v>
      </c>
      <c r="M61" s="2">
        <f>IF(M60="",NA(),($D$59*M$60*M$44)+$AN$16)</f>
        <v>0.27875605165470851</v>
      </c>
      <c r="N61" s="2">
        <f t="shared" si="10"/>
        <v>0.27196826159619564</v>
      </c>
      <c r="O61" s="2">
        <f t="shared" si="10"/>
        <v>0.26531970825683182</v>
      </c>
      <c r="P61" s="2">
        <f t="shared" si="10"/>
        <v>0.25852028969414109</v>
      </c>
      <c r="Q61" s="2">
        <f t="shared" si="10"/>
        <v>0.25114646871301494</v>
      </c>
      <c r="R61" s="2">
        <f t="shared" si="10"/>
        <v>0.24368083803250623</v>
      </c>
      <c r="S61" s="2">
        <f t="shared" si="10"/>
        <v>0.23613566910218287</v>
      </c>
      <c r="T61" s="2">
        <f t="shared" si="10"/>
        <v>0.22852225063733211</v>
      </c>
      <c r="U61" s="2">
        <f t="shared" si="10"/>
        <v>0.21958832874433887</v>
      </c>
      <c r="V61" s="2">
        <f t="shared" si="10"/>
        <v>0.21078326149403301</v>
      </c>
      <c r="W61" s="2">
        <f t="shared" si="10"/>
        <v>0.20210428112559309</v>
      </c>
      <c r="X61" s="2">
        <f t="shared" si="10"/>
        <v>0.1935486985822969</v>
      </c>
      <c r="Y61" s="2">
        <f t="shared" si="10"/>
        <v>0.1851139007337296</v>
      </c>
      <c r="Z61" s="2">
        <f t="shared" si="10"/>
        <v>0.17679734771481512</v>
      </c>
      <c r="AA61" s="2">
        <f t="shared" si="10"/>
        <v>0.16859657037597831</v>
      </c>
      <c r="AB61" s="2">
        <f t="shared" si="10"/>
        <v>0.16017790327906661</v>
      </c>
      <c r="AC61" s="2">
        <f t="shared" si="10"/>
        <v>0.15110195826093481</v>
      </c>
      <c r="AD61" s="2">
        <f t="shared" si="10"/>
        <v>0.14196403506366201</v>
      </c>
      <c r="AE61" s="2">
        <f t="shared" si="10"/>
        <v>0.1367472875347131</v>
      </c>
      <c r="AF61" s="2">
        <f t="shared" si="10"/>
        <v>0.13152009384253277</v>
      </c>
      <c r="AG61" s="2">
        <f t="shared" si="10"/>
        <v>0.12628525527258391</v>
      </c>
      <c r="AH61" s="2">
        <f t="shared" si="10"/>
        <v>0.12104536126848069</v>
      </c>
      <c r="AI61" s="2">
        <f t="shared" si="10"/>
        <v>0.11580280625643688</v>
      </c>
      <c r="AJ61" s="2">
        <f t="shared" si="10"/>
        <v>0.11055980495040285</v>
      </c>
      <c r="AK61" s="2">
        <f t="shared" si="10"/>
        <v>0.10531840629390851</v>
      </c>
      <c r="AL61" s="2">
        <f t="shared" si="10"/>
        <v>0.10008050617663987</v>
      </c>
      <c r="AM61" s="2">
        <f t="shared" si="10"/>
        <v>9.4847859048086985E-2</v>
      </c>
      <c r="AN61" s="2">
        <f t="shared" si="10"/>
        <v>8.9622088536885719E-2</v>
      </c>
      <c r="AO61" s="61"/>
      <c r="AP61" s="61"/>
      <c r="AQ61" s="61"/>
      <c r="AR61" s="61"/>
      <c r="AS61" s="61"/>
      <c r="AT61" s="61"/>
      <c r="AU61" s="61"/>
      <c r="AV61" s="61"/>
      <c r="AW61" s="61"/>
      <c r="AX61" s="61"/>
    </row>
    <row r="62" spans="1:178" x14ac:dyDescent="0.25">
      <c r="A62" t="s">
        <v>165</v>
      </c>
      <c r="B62" s="528" t="s">
        <v>590</v>
      </c>
      <c r="C62" t="s">
        <v>161</v>
      </c>
      <c r="D62" s="2" t="e">
        <f>IFERROR(D61*D34/INDEX(Lists!$F$2:$F$50,MATCH('SDA Tool'!$D$15,Lists!$B$2:$B$50,0)),NA())</f>
        <v>#N/A</v>
      </c>
      <c r="E62" s="2" t="e">
        <f>IFERROR(E61*E34/INDEX(Lists!$F$2:$F$50,MATCH('SDA Tool'!$D$15,Lists!$B$2:$B$50,0)),NA())</f>
        <v>#N/A</v>
      </c>
      <c r="F62" s="2" t="e">
        <f>IFERROR(F61*F34/INDEX(Lists!$F$2:$F$50,MATCH('SDA Tool'!$D$15,Lists!$B$2:$B$50,0)),NA())</f>
        <v>#N/A</v>
      </c>
      <c r="G62" s="2" t="e">
        <f>IFERROR(G61*G34/INDEX(Lists!$F$2:$F$50,MATCH('SDA Tool'!$D$15,Lists!$B$2:$B$50,0)),NA())</f>
        <v>#N/A</v>
      </c>
      <c r="H62" s="2" t="e">
        <f>IFERROR(H61*H34/INDEX(Lists!$F$2:$F$50,MATCH('SDA Tool'!$D$15,Lists!$B$2:$B$50,0)),NA())</f>
        <v>#N/A</v>
      </c>
      <c r="I62" s="2" t="e">
        <f>IFERROR(I61*I34/INDEX(Lists!$F$2:$F$50,MATCH('SDA Tool'!$D$15,Lists!$B$2:$B$50,0)),NA())</f>
        <v>#N/A</v>
      </c>
      <c r="J62" s="2">
        <f>IFERROR(J61*J34/INDEX(Lists!$F$2:$F$50,MATCH('SDA Tool'!$D$15,Lists!$B$2:$B$50,0)),NA())</f>
        <v>300</v>
      </c>
      <c r="K62" s="2">
        <f>IFERROR(K61*K34/INDEX(Lists!$F$2:$F$50,MATCH('SDA Tool'!$D$15,Lists!$B$2:$B$50,0)),NA())</f>
        <v>295.93226282171042</v>
      </c>
      <c r="L62" s="2">
        <f>IFERROR(L61*L34/INDEX(Lists!$F$2:$F$50,MATCH('SDA Tool'!$D$15,Lists!$B$2:$B$50,0)),NA())</f>
        <v>291.8645256434209</v>
      </c>
      <c r="M62" s="2">
        <f>IFERROR(M61*M34/INDEX(Lists!$F$2:$F$50,MATCH('SDA Tool'!$D$15,Lists!$B$2:$B$50,0)),NA())</f>
        <v>287.79678846513144</v>
      </c>
      <c r="N62" s="2">
        <f>IFERROR(N61*N34/INDEX(Lists!$F$2:$F$50,MATCH('SDA Tool'!$D$15,Lists!$B$2:$B$50,0)),NA())</f>
        <v>283.72905128684198</v>
      </c>
      <c r="O62" s="2">
        <f>IFERROR(O61*O34/INDEX(Lists!$F$2:$F$50,MATCH('SDA Tool'!$D$15,Lists!$B$2:$B$50,0)),NA())</f>
        <v>279.66131410855246</v>
      </c>
      <c r="P62" s="2">
        <f>IFERROR(P61*P34/INDEX(Lists!$F$2:$F$50,MATCH('SDA Tool'!$D$15,Lists!$B$2:$B$50,0)),NA())</f>
        <v>275.28917334997726</v>
      </c>
      <c r="Q62" s="2">
        <f>IFERROR(Q61*Q34/INDEX(Lists!$F$2:$F$50,MATCH('SDA Tool'!$D$15,Lists!$B$2:$B$50,0)),NA())</f>
        <v>270.15214742643229</v>
      </c>
      <c r="R62" s="2">
        <f>IFERROR(R61*R34/INDEX(Lists!$F$2:$F$50,MATCH('SDA Tool'!$D$15,Lists!$B$2:$B$50,0)),NA())</f>
        <v>264.75593753802025</v>
      </c>
      <c r="S62" s="2">
        <f>IFERROR(S61*S34/INDEX(Lists!$F$2:$F$50,MATCH('SDA Tool'!$D$15,Lists!$B$2:$B$50,0)),NA())</f>
        <v>259.11103150131419</v>
      </c>
      <c r="T62" s="2">
        <f>IFERROR(T61*T34/INDEX(Lists!$F$2:$F$50,MATCH('SDA Tool'!$D$15,Lists!$B$2:$B$50,0)),NA())</f>
        <v>253.22735881434099</v>
      </c>
      <c r="U62" s="2">
        <f>IFERROR(U61*U34/INDEX(Lists!$F$2:$F$50,MATCH('SDA Tool'!$D$15,Lists!$B$2:$B$50,0)),NA())</f>
        <v>245.10805343624853</v>
      </c>
      <c r="V62" s="2">
        <f>IFERROR(V61*V34/INDEX(Lists!$F$2:$F$50,MATCH('SDA Tool'!$D$15,Lists!$B$2:$B$50,0)),NA())</f>
        <v>236.98874805815603</v>
      </c>
      <c r="W62" s="2">
        <f>IFERROR(W61*W34/INDEX(Lists!$F$2:$F$50,MATCH('SDA Tool'!$D$15,Lists!$B$2:$B$50,0)),NA())</f>
        <v>228.86944268006354</v>
      </c>
      <c r="X62" s="2">
        <f>IFERROR(X61*X34/INDEX(Lists!$F$2:$F$50,MATCH('SDA Tool'!$D$15,Lists!$B$2:$B$50,0)),NA())</f>
        <v>220.75013730197102</v>
      </c>
      <c r="Y62" s="2">
        <f>IFERROR(Y61*Y34/INDEX(Lists!$F$2:$F$50,MATCH('SDA Tool'!$D$15,Lists!$B$2:$B$50,0)),NA())</f>
        <v>212.63083192387862</v>
      </c>
      <c r="Z62" s="2">
        <f>IFERROR(Z61*Z34/INDEX(Lists!$F$2:$F$50,MATCH('SDA Tool'!$D$15,Lists!$B$2:$B$50,0)),NA())</f>
        <v>204.51152654578613</v>
      </c>
      <c r="AA62" s="2">
        <f>IFERROR(AA61*AA34/INDEX(Lists!$F$2:$F$50,MATCH('SDA Tool'!$D$15,Lists!$B$2:$B$50,0)),NA())</f>
        <v>196.39222116769366</v>
      </c>
      <c r="AB62" s="2">
        <f>IFERROR(AB61*AB34/INDEX(Lists!$F$2:$F$50,MATCH('SDA Tool'!$D$15,Lists!$B$2:$B$50,0)),NA())</f>
        <v>187.88435141382408</v>
      </c>
      <c r="AC62" s="2">
        <f>IFERROR(AC61*AC34/INDEX(Lists!$F$2:$F$50,MATCH('SDA Tool'!$D$15,Lists!$B$2:$B$50,0)),NA())</f>
        <v>178.46366421629327</v>
      </c>
      <c r="AD62" s="2">
        <f>IFERROR(AD61*AD34/INDEX(Lists!$F$2:$F$50,MATCH('SDA Tool'!$D$15,Lists!$B$2:$B$50,0)),NA())</f>
        <v>168.82209575138185</v>
      </c>
      <c r="AE62" s="2">
        <f>IFERROR(AE61*AE34/INDEX(Lists!$F$2:$F$50,MATCH('SDA Tool'!$D$15,Lists!$B$2:$B$50,0)),NA())</f>
        <v>163.35757051444105</v>
      </c>
      <c r="AF62" s="2">
        <f>IFERROR(AF61*AF34/INDEX(Lists!$F$2:$F$50,MATCH('SDA Tool'!$D$15,Lists!$B$2:$B$50,0)),NA())</f>
        <v>157.82411261103931</v>
      </c>
      <c r="AG62" s="2">
        <f>IFERROR(AG61*AG34/INDEX(Lists!$F$2:$F$50,MATCH('SDA Tool'!$D$15,Lists!$B$2:$B$50,0)),NA())</f>
        <v>152.22492932857412</v>
      </c>
      <c r="AH62" s="2">
        <f>IFERROR(AH61*AH34/INDEX(Lists!$F$2:$F$50,MATCH('SDA Tool'!$D$15,Lists!$B$2:$B$50,0)),NA())</f>
        <v>146.5630320223766</v>
      </c>
      <c r="AI62" s="2">
        <f>IFERROR(AI61*AI34/INDEX(Lists!$F$2:$F$50,MATCH('SDA Tool'!$D$15,Lists!$B$2:$B$50,0)),NA())</f>
        <v>140.84125085242323</v>
      </c>
      <c r="AJ62" s="2">
        <f>IFERROR(AJ61*AJ34/INDEX(Lists!$F$2:$F$50,MATCH('SDA Tool'!$D$15,Lists!$B$2:$B$50,0)),NA())</f>
        <v>135.06224820968131</v>
      </c>
      <c r="AK62" s="2">
        <f>IFERROR(AK61*AK34/INDEX(Lists!$F$2:$F$50,MATCH('SDA Tool'!$D$15,Lists!$B$2:$B$50,0)),NA())</f>
        <v>129.22853096603907</v>
      </c>
      <c r="AL62" s="2">
        <f>IFERROR(AL61*AL34/INDEX(Lists!$F$2:$F$50,MATCH('SDA Tool'!$D$15,Lists!$B$2:$B$50,0)),NA())</f>
        <v>123.34246166634536</v>
      </c>
      <c r="AM62" s="2">
        <f>IFERROR(AM61*AM34/INDEX(Lists!$F$2:$F$50,MATCH('SDA Tool'!$D$15,Lists!$B$2:$B$50,0)),NA())</f>
        <v>117.406268767632</v>
      </c>
      <c r="AN62" s="2">
        <f>IFERROR(AN61*AN34/INDEX(Lists!$F$2:$F$50,MATCH('SDA Tool'!$D$15,Lists!$B$2:$B$50,0)),NA())</f>
        <v>111.42205601883089</v>
      </c>
      <c r="AO62" s="61"/>
      <c r="AP62" s="61"/>
      <c r="AQ62" s="61"/>
      <c r="AR62" s="61"/>
      <c r="AS62" s="61"/>
      <c r="AT62" s="61"/>
      <c r="AU62" s="61"/>
      <c r="AV62" s="61"/>
      <c r="AW62" s="61"/>
      <c r="AX62" s="61"/>
    </row>
    <row r="63" spans="1:178" x14ac:dyDescent="0.25">
      <c r="B63" s="528" t="s">
        <v>549</v>
      </c>
      <c r="C63" t="s">
        <v>161</v>
      </c>
      <c r="D63" s="61">
        <f>IF(D59&lt;&gt;0,HLOOKUP('SDA Tool'!$D$20,Calculations!$M$1:$AN$62,ROW(Calculations!A62)),"")</f>
        <v>253.22735881434099</v>
      </c>
      <c r="AO63" s="61"/>
      <c r="AP63" s="61"/>
      <c r="AQ63" s="61"/>
      <c r="AR63" s="61"/>
      <c r="AS63" s="61"/>
      <c r="AT63" s="61"/>
      <c r="AU63" s="61"/>
      <c r="AV63" s="61"/>
      <c r="AW63" s="61"/>
      <c r="AX63" s="61"/>
    </row>
    <row r="64" spans="1:178" x14ac:dyDescent="0.25">
      <c r="B64" s="528" t="s">
        <v>549</v>
      </c>
      <c r="C64" t="str">
        <f>+C61</f>
        <v>tCO2/t</v>
      </c>
      <c r="D64" s="415">
        <f>IF(D59&lt;&gt;0,HLOOKUP('SDA Tool'!$D$20,Calculations!$M$1:$AN$62,ROW(Calculations!A61)),"")</f>
        <v>0.22852225063733211</v>
      </c>
      <c r="AO64" s="61"/>
      <c r="AP64" s="61"/>
      <c r="AQ64" s="61"/>
      <c r="AR64" s="61"/>
      <c r="AS64" s="61"/>
      <c r="AT64" s="61"/>
      <c r="AU64" s="61"/>
      <c r="AV64" s="61"/>
      <c r="AW64" s="61"/>
      <c r="AX64" s="61"/>
    </row>
    <row r="66" spans="1:90" s="493" customFormat="1" ht="22.5" x14ac:dyDescent="0.45">
      <c r="A66" s="492" t="s">
        <v>166</v>
      </c>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row>
    <row r="67" spans="1:90" ht="13" x14ac:dyDescent="0.3">
      <c r="A67" s="1" t="s">
        <v>167</v>
      </c>
    </row>
    <row r="68" spans="1:90" ht="13" x14ac:dyDescent="0.3">
      <c r="B68" t="s">
        <v>153</v>
      </c>
      <c r="D68" s="1" t="e">
        <f>IF(AND(D$1&gt;='S3-Fertilizer N2O Tool'!$D$14,D$1&lt;=2035),IF(D$1='S3-Fertilizer N2O Tool'!$D$14,'S3-Fertilizer N2O Tool'!$D$14,D$1),NA())</f>
        <v>#N/A</v>
      </c>
      <c r="E68" s="1" t="e">
        <f>IF(AND(E$1&gt;='S3-Fertilizer N2O Tool'!$D$14,E$1&lt;=2035),IF(E$1='S3-Fertilizer N2O Tool'!$D$14,'S3-Fertilizer N2O Tool'!$D$14,E$1),NA())</f>
        <v>#N/A</v>
      </c>
      <c r="F68" s="1" t="e">
        <f>IF(AND(F$1&gt;='S3-Fertilizer N2O Tool'!$D$14,F$1&lt;=2035),IF(F$1='S3-Fertilizer N2O Tool'!$D$14,'S3-Fertilizer N2O Tool'!$D$14,F$1),NA())</f>
        <v>#N/A</v>
      </c>
      <c r="G68" s="1" t="e">
        <f>IF(AND(G$1&gt;='S3-Fertilizer N2O Tool'!$D$14,G$1&lt;=2035),IF(G$1='S3-Fertilizer N2O Tool'!$D$14,'S3-Fertilizer N2O Tool'!$D$14,G$1),NA())</f>
        <v>#N/A</v>
      </c>
      <c r="H68" s="1" t="e">
        <f>IF(AND(H$1&gt;='S3-Fertilizer N2O Tool'!$D$14,H$1&lt;=2035),IF(H$1='S3-Fertilizer N2O Tool'!$D$14,'S3-Fertilizer N2O Tool'!$D$14,H$1),NA())</f>
        <v>#N/A</v>
      </c>
      <c r="I68" s="1" t="e">
        <f>IF(AND(I$1&gt;='S3-Fertilizer N2O Tool'!$D$14,I$1&lt;=2035),IF(I$1='S3-Fertilizer N2O Tool'!$D$14,'S3-Fertilizer N2O Tool'!$D$14,I$1),NA())</f>
        <v>#N/A</v>
      </c>
      <c r="J68" s="1">
        <f>IF(AND(J$1&gt;='S3-Fertilizer N2O Tool'!$D$14,J$1&lt;=2035),IF(J$1='S3-Fertilizer N2O Tool'!$D$14,'S3-Fertilizer N2O Tool'!$D$14,J$1),NA())</f>
        <v>2020</v>
      </c>
      <c r="K68" s="1">
        <f>IF(AND(K$1&gt;='S3-Fertilizer N2O Tool'!$D$14,K$1&lt;=2035),IF(K$1='S3-Fertilizer N2O Tool'!$D$14,'S3-Fertilizer N2O Tool'!$D$14,K$1),NA())</f>
        <v>2021</v>
      </c>
      <c r="L68" s="1">
        <f>IF(AND(L$1&gt;='S3-Fertilizer N2O Tool'!$D$14,L$1&lt;=2035),IF(L$1='S3-Fertilizer N2O Tool'!$D$14,'S3-Fertilizer N2O Tool'!$D$14,L$1),NA())</f>
        <v>2022</v>
      </c>
      <c r="M68" s="1">
        <f>IF(AND(M$1&gt;='S3-Fertilizer N2O Tool'!$D$14,M$1&lt;=2035),IF(M$1='S3-Fertilizer N2O Tool'!$D$14,'S3-Fertilizer N2O Tool'!$D$14,M$1),NA())</f>
        <v>2023</v>
      </c>
      <c r="N68" s="1">
        <f>IF(AND(N$1&gt;='S3-Fertilizer N2O Tool'!$D$14,N$1&lt;=2035),IF(N$1='S3-Fertilizer N2O Tool'!$D$14,'S3-Fertilizer N2O Tool'!$D$14,N$1),NA())</f>
        <v>2024</v>
      </c>
      <c r="O68" s="1">
        <f>IF(AND(O$1&gt;='S3-Fertilizer N2O Tool'!$D$14,O$1&lt;=2035),IF(O$1='S3-Fertilizer N2O Tool'!$D$14,'S3-Fertilizer N2O Tool'!$D$14,O$1),NA())</f>
        <v>2025</v>
      </c>
      <c r="P68" s="1">
        <f>IF(AND(P$1&gt;='S3-Fertilizer N2O Tool'!$D$14,P$1&lt;=2035),IF(P$1='S3-Fertilizer N2O Tool'!$D$14,'S3-Fertilizer N2O Tool'!$D$14,P$1),NA())</f>
        <v>2026</v>
      </c>
      <c r="Q68" s="1">
        <f>IF(AND(Q$1&gt;='S3-Fertilizer N2O Tool'!$D$14,Q$1&lt;=2035),IF(Q$1='S3-Fertilizer N2O Tool'!$D$14,'S3-Fertilizer N2O Tool'!$D$14,Q$1),NA())</f>
        <v>2027</v>
      </c>
      <c r="R68" s="1">
        <f>IF(AND(R$1&gt;='S3-Fertilizer N2O Tool'!$D$14,R$1&lt;=2035),IF(R$1='S3-Fertilizer N2O Tool'!$D$14,'S3-Fertilizer N2O Tool'!$D$14,R$1),NA())</f>
        <v>2028</v>
      </c>
      <c r="S68" s="1">
        <f>IF(AND(S$1&gt;='S3-Fertilizer N2O Tool'!$D$14,S$1&lt;=2035),IF(S$1='S3-Fertilizer N2O Tool'!$D$14,'S3-Fertilizer N2O Tool'!$D$14,S$1),NA())</f>
        <v>2029</v>
      </c>
      <c r="T68" s="1">
        <f>IF(AND(T$1&gt;='S3-Fertilizer N2O Tool'!$D$14,T$1&lt;=2035),IF(T$1='S3-Fertilizer N2O Tool'!$D$14,'S3-Fertilizer N2O Tool'!$D$14,T$1),NA())</f>
        <v>2030</v>
      </c>
      <c r="U68" s="1">
        <f>IF(AND(U$1&gt;='S3-Fertilizer N2O Tool'!$D$14,U$1&lt;=2035),IF(U$1='S3-Fertilizer N2O Tool'!$D$14,'S3-Fertilizer N2O Tool'!$D$14,U$1),NA())</f>
        <v>2031</v>
      </c>
      <c r="V68" s="1">
        <f>IF(AND(V$1&gt;='S3-Fertilizer N2O Tool'!$D$14,V$1&lt;=2035),IF(V$1='S3-Fertilizer N2O Tool'!$D$14,'S3-Fertilizer N2O Tool'!$D$14,V$1),NA())</f>
        <v>2032</v>
      </c>
      <c r="W68" s="1">
        <f>IF(AND(W$1&gt;='S3-Fertilizer N2O Tool'!$D$14,W$1&lt;=2035),IF(W$1='S3-Fertilizer N2O Tool'!$D$14,'S3-Fertilizer N2O Tool'!$D$14,W$1),NA())</f>
        <v>2033</v>
      </c>
      <c r="X68" s="1">
        <f>IF(AND(X$1&gt;='S3-Fertilizer N2O Tool'!$D$14,X$1&lt;=2035),IF(X$1='S3-Fertilizer N2O Tool'!$D$14,'S3-Fertilizer N2O Tool'!$D$14,X$1),NA())</f>
        <v>2034</v>
      </c>
      <c r="Y68" s="1">
        <f>IF(AND(Y$1&gt;='S3-Fertilizer N2O Tool'!$D$14,Y$1&lt;=2035),IF(Y$1='S3-Fertilizer N2O Tool'!$D$14,'S3-Fertilizer N2O Tool'!$D$14,Y$1),NA())</f>
        <v>2035</v>
      </c>
      <c r="Z68" s="1" t="e">
        <f>IF(AND(Z$1&gt;='S3-Fertilizer N2O Tool'!$D$14,Z$1&lt;=2035),IF(Z$1='S3-Fertilizer N2O Tool'!$D$14,'S3-Fertilizer N2O Tool'!$D$14,Z$1),NA())</f>
        <v>#N/A</v>
      </c>
      <c r="AA68" s="1" t="e">
        <f>IF(AND(AA$1&gt;='S3-Fertilizer N2O Tool'!$D$14,AA$1&lt;=2035),IF(AA$1='S3-Fertilizer N2O Tool'!$D$14,'S3-Fertilizer N2O Tool'!$D$14,AA$1),NA())</f>
        <v>#N/A</v>
      </c>
      <c r="AB68" s="1" t="e">
        <f>IF(AND(AB$1&gt;='S3-Fertilizer N2O Tool'!$D$14,AB$1&lt;=2035),IF(AB$1='S3-Fertilizer N2O Tool'!$D$14,'S3-Fertilizer N2O Tool'!$D$14,AB$1),NA())</f>
        <v>#N/A</v>
      </c>
      <c r="AC68" s="1" t="e">
        <f>IF(AND(AC$1&gt;='S3-Fertilizer N2O Tool'!$D$14,AC$1&lt;=2035),IF(AC$1='S3-Fertilizer N2O Tool'!$D$14,'S3-Fertilizer N2O Tool'!$D$14,AC$1),NA())</f>
        <v>#N/A</v>
      </c>
      <c r="AD68" s="1" t="e">
        <f>IF(AND(AD$1&gt;='S3-Fertilizer N2O Tool'!$D$14,AD$1&lt;=2035),IF(AD$1='S3-Fertilizer N2O Tool'!$D$14,'S3-Fertilizer N2O Tool'!$D$14,AD$1),NA())</f>
        <v>#N/A</v>
      </c>
      <c r="AE68" s="1" t="e">
        <f>IF(AND(AE$1&gt;='S3-Fertilizer N2O Tool'!$D$14,AE$1&lt;=2035),IF(AE$1='S3-Fertilizer N2O Tool'!$D$14,'S3-Fertilizer N2O Tool'!$D$14,AE$1),NA())</f>
        <v>#N/A</v>
      </c>
      <c r="AF68" s="1" t="e">
        <f>IF(AND(AF$1&gt;='S3-Fertilizer N2O Tool'!$D$14,AF$1&lt;=2035),IF(AF$1='S3-Fertilizer N2O Tool'!$D$14,'S3-Fertilizer N2O Tool'!$D$14,AF$1),NA())</f>
        <v>#N/A</v>
      </c>
      <c r="AG68" s="1" t="e">
        <f>IF(AND(AG$1&gt;='S3-Fertilizer N2O Tool'!$D$14,AG$1&lt;=2035),IF(AG$1='S3-Fertilizer N2O Tool'!$D$14,'S3-Fertilizer N2O Tool'!$D$14,AG$1),NA())</f>
        <v>#N/A</v>
      </c>
      <c r="AH68" s="1" t="e">
        <f>IF(AND(AH$1&gt;='S3-Fertilizer N2O Tool'!$D$14,AH$1&lt;=2035),IF(AH$1='S3-Fertilizer N2O Tool'!$D$14,'S3-Fertilizer N2O Tool'!$D$14,AH$1),NA())</f>
        <v>#N/A</v>
      </c>
      <c r="AI68" s="1" t="e">
        <f>IF(AND(AI$1&gt;='S3-Fertilizer N2O Tool'!$D$14,AI$1&lt;=2035),IF(AI$1='S3-Fertilizer N2O Tool'!$D$14,'S3-Fertilizer N2O Tool'!$D$14,AI$1),NA())</f>
        <v>#N/A</v>
      </c>
      <c r="AJ68" s="1" t="e">
        <f>IF(AND(AJ$1&gt;='S3-Fertilizer N2O Tool'!$D$14,AJ$1&lt;=2035),IF(AJ$1='S3-Fertilizer N2O Tool'!$D$14,'S3-Fertilizer N2O Tool'!$D$14,AJ$1),NA())</f>
        <v>#N/A</v>
      </c>
      <c r="AK68" s="1" t="e">
        <f>IF(AND(AK$1&gt;='S3-Fertilizer N2O Tool'!$D$14,AK$1&lt;=2035),IF(AK$1='S3-Fertilizer N2O Tool'!$D$14,'S3-Fertilizer N2O Tool'!$D$14,AK$1),NA())</f>
        <v>#N/A</v>
      </c>
      <c r="AL68" s="1" t="e">
        <f>IF(AND(AL$1&gt;='S3-Fertilizer N2O Tool'!$D$14,AL$1&lt;=2035),IF(AL$1='S3-Fertilizer N2O Tool'!$D$14,'S3-Fertilizer N2O Tool'!$D$14,AL$1),NA())</f>
        <v>#N/A</v>
      </c>
      <c r="AM68" s="1" t="e">
        <f>IF(AND(AM$1&gt;='S3-Fertilizer N2O Tool'!$D$14,AM$1&lt;=2035),IF(AM$1='S3-Fertilizer N2O Tool'!$D$14,'S3-Fertilizer N2O Tool'!$D$14,AM$1),NA())</f>
        <v>#N/A</v>
      </c>
      <c r="AN68" s="1" t="e">
        <f>IF(AND(AN$1&gt;='S3-Fertilizer N2O Tool'!$D$14,AN$1&lt;=2035),IF(AN$1='S3-Fertilizer N2O Tool'!$D$14,'S3-Fertilizer N2O Tool'!$D$14,AN$1),NA())</f>
        <v>#N/A</v>
      </c>
      <c r="AO68" s="1"/>
      <c r="AP68" s="1"/>
      <c r="AQ68" s="1"/>
      <c r="AR68" s="1"/>
      <c r="AS68" s="1"/>
      <c r="AT68" s="1"/>
      <c r="AU68" s="1"/>
      <c r="AV68" s="1"/>
      <c r="AW68" s="1"/>
      <c r="AX68" s="1"/>
    </row>
    <row r="69" spans="1:90" x14ac:dyDescent="0.25">
      <c r="B69" t="s">
        <v>168</v>
      </c>
      <c r="C69" t="s">
        <v>169</v>
      </c>
      <c r="D69" s="72">
        <f>IF('S3-Fertilizer N2O Tool'!D14&lt;=2020,0.026,NA())</f>
        <v>2.5999999999999999E-2</v>
      </c>
      <c r="E69" s="454"/>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1:90" x14ac:dyDescent="0.25">
      <c r="B70" t="s">
        <v>170</v>
      </c>
      <c r="C70" t="s">
        <v>169</v>
      </c>
      <c r="D70" s="72" t="e">
        <f>IF('S3-Fertilizer N2O Tool'!D14&lt;=2020,NA(),((D72/10)*('S3-Fertilizer N2O Tool'!D16-2020))/('S3-Fertilizer N2O Tool'!D16-'S3-Fertilizer N2O Tool'!D14))</f>
        <v>#N/A</v>
      </c>
      <c r="E70" s="454"/>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1:90" x14ac:dyDescent="0.25">
      <c r="B71" t="s">
        <v>171</v>
      </c>
      <c r="C71" t="s">
        <v>169</v>
      </c>
      <c r="D71" s="72"/>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1:90" x14ac:dyDescent="0.25">
      <c r="B72" t="s">
        <v>550</v>
      </c>
      <c r="C72" t="s">
        <v>169</v>
      </c>
      <c r="D72" s="72">
        <v>0.26</v>
      </c>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row r="73" spans="1:90" x14ac:dyDescent="0.25">
      <c r="B73" t="s">
        <v>172</v>
      </c>
      <c r="C73" t="s">
        <v>169</v>
      </c>
      <c r="D73" s="72">
        <v>0.72</v>
      </c>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row>
    <row r="74" spans="1:90" x14ac:dyDescent="0.25">
      <c r="B74" t="s">
        <v>173</v>
      </c>
      <c r="D74" s="2" t="e">
        <f>IF(AND(D1&gt;='S3-Fertilizer N2O Tool'!$D$14,D1&lt;=2050),IF(D$1='S3-Fertilizer N2O Tool'!$D$14,0,D$1-'S3-Fertilizer N2O Tool'!$D$14),NA())</f>
        <v>#N/A</v>
      </c>
      <c r="E74" s="2" t="e">
        <f>IF(AND(E1&gt;='S3-Fertilizer N2O Tool'!$D$14,E1&lt;=2050),IF(E$1='S3-Fertilizer N2O Tool'!$D$14,0,E$1-'S3-Fertilizer N2O Tool'!$D$14),NA())</f>
        <v>#N/A</v>
      </c>
      <c r="F74" s="2" t="e">
        <f>IF(AND(F1&gt;='S3-Fertilizer N2O Tool'!$D$14,F1&lt;=2050),IF(F$1='S3-Fertilizer N2O Tool'!$D$14,0,F$1-'S3-Fertilizer N2O Tool'!$D$14),NA())</f>
        <v>#N/A</v>
      </c>
      <c r="G74" s="2" t="e">
        <f>IF(AND(G1&gt;='S3-Fertilizer N2O Tool'!$D$14,G1&lt;=2050),IF(G$1='S3-Fertilizer N2O Tool'!$D$14,0,G$1-'S3-Fertilizer N2O Tool'!$D$14),NA())</f>
        <v>#N/A</v>
      </c>
      <c r="H74" s="2" t="e">
        <f>IF(AND(H1&gt;='S3-Fertilizer N2O Tool'!$D$14,H1&lt;=2050),IF(H$1='S3-Fertilizer N2O Tool'!$D$14,0,H$1-'S3-Fertilizer N2O Tool'!$D$14),NA())</f>
        <v>#N/A</v>
      </c>
      <c r="I74" s="2" t="e">
        <f>IF(AND(I1&gt;='S3-Fertilizer N2O Tool'!$D$14,I1&lt;=2050),IF(I$1='S3-Fertilizer N2O Tool'!$D$14,0,I$1-'S3-Fertilizer N2O Tool'!$D$14),NA())</f>
        <v>#N/A</v>
      </c>
      <c r="J74" s="2">
        <f>IF(AND(J1&gt;='S3-Fertilizer N2O Tool'!$D$14,J1&lt;=2050),IF(J$1='S3-Fertilizer N2O Tool'!$D$14,0,J$1-'S3-Fertilizer N2O Tool'!$D$14),NA())</f>
        <v>0</v>
      </c>
      <c r="K74" s="2">
        <f>IF(AND(K1&gt;='S3-Fertilizer N2O Tool'!$D$14,K1&lt;=2050),IF(K$1='S3-Fertilizer N2O Tool'!$D$14,0,K$1-'S3-Fertilizer N2O Tool'!$D$14),NA())</f>
        <v>1</v>
      </c>
      <c r="L74" s="2">
        <f>IF(AND(L1&gt;='S3-Fertilizer N2O Tool'!$D$14,L1&lt;=2050),IF(L$1='S3-Fertilizer N2O Tool'!$D$14,0,L$1-'S3-Fertilizer N2O Tool'!$D$14),NA())</f>
        <v>2</v>
      </c>
      <c r="M74" s="2">
        <f>IF(AND(M1&gt;='S3-Fertilizer N2O Tool'!$D$14,M1&lt;=2050),IF(M$1='S3-Fertilizer N2O Tool'!$D$14,0,M$1-'S3-Fertilizer N2O Tool'!$D$14),NA())</f>
        <v>3</v>
      </c>
      <c r="N74" s="2">
        <f>IF(AND(N1&gt;='S3-Fertilizer N2O Tool'!$D$14,N1&lt;=2050),IF(N$1='S3-Fertilizer N2O Tool'!$D$14,0,N$1-'S3-Fertilizer N2O Tool'!$D$14),NA())</f>
        <v>4</v>
      </c>
      <c r="O74" s="2">
        <f>IF(AND(O1&gt;='S3-Fertilizer N2O Tool'!$D$14,O1&lt;=2050),IF(O$1='S3-Fertilizer N2O Tool'!$D$14,0,O$1-'S3-Fertilizer N2O Tool'!$D$14),NA())</f>
        <v>5</v>
      </c>
      <c r="P74" s="2">
        <f>IF(AND(P1&gt;='S3-Fertilizer N2O Tool'!$D$14,P1&lt;=2050),IF(P$1='S3-Fertilizer N2O Tool'!$D$14,0,P$1-'S3-Fertilizer N2O Tool'!$D$14),NA())</f>
        <v>6</v>
      </c>
      <c r="Q74" s="2">
        <f>IF(AND(Q1&gt;='S3-Fertilizer N2O Tool'!$D$14,Q1&lt;=2050),IF(Q$1='S3-Fertilizer N2O Tool'!$D$14,0,Q$1-'S3-Fertilizer N2O Tool'!$D$14),NA())</f>
        <v>7</v>
      </c>
      <c r="R74" s="2">
        <f>IF(AND(R1&gt;='S3-Fertilizer N2O Tool'!$D$14,R1&lt;=2050),IF(R$1='S3-Fertilizer N2O Tool'!$D$14,0,R$1-'S3-Fertilizer N2O Tool'!$D$14),NA())</f>
        <v>8</v>
      </c>
      <c r="S74" s="2">
        <f>IF(AND(S1&gt;='S3-Fertilizer N2O Tool'!$D$14,S1&lt;=2050),IF(S$1='S3-Fertilizer N2O Tool'!$D$14,0,S$1-'S3-Fertilizer N2O Tool'!$D$14),NA())</f>
        <v>9</v>
      </c>
      <c r="T74" s="2">
        <f>IF(AND(T1&gt;='S3-Fertilizer N2O Tool'!$D$14,T1&lt;=2050),IF(T$1='S3-Fertilizer N2O Tool'!$D$14,0,T$1-'S3-Fertilizer N2O Tool'!$D$14),NA())</f>
        <v>10</v>
      </c>
      <c r="U74" s="2">
        <f>IF(AND(U1&gt;='S3-Fertilizer N2O Tool'!$D$14,U1&lt;=2050),IF(U$1='S3-Fertilizer N2O Tool'!$D$14,0,U$1-'S3-Fertilizer N2O Tool'!$D$14),NA())</f>
        <v>11</v>
      </c>
      <c r="V74" s="2">
        <f>IF(AND(V1&gt;='S3-Fertilizer N2O Tool'!$D$14,V1&lt;=2050),IF(V$1='S3-Fertilizer N2O Tool'!$D$14,0,V$1-'S3-Fertilizer N2O Tool'!$D$14),NA())</f>
        <v>12</v>
      </c>
      <c r="W74" s="2">
        <f>IF(AND(W1&gt;='S3-Fertilizer N2O Tool'!$D$14,W1&lt;=2050),IF(W$1='S3-Fertilizer N2O Tool'!$D$14,0,W$1-'S3-Fertilizer N2O Tool'!$D$14),NA())</f>
        <v>13</v>
      </c>
      <c r="X74" s="2">
        <f>IF(AND(X1&gt;='S3-Fertilizer N2O Tool'!$D$14,X1&lt;=2050),IF(X$1='S3-Fertilizer N2O Tool'!$D$14,0,X$1-'S3-Fertilizer N2O Tool'!$D$14),NA())</f>
        <v>14</v>
      </c>
      <c r="Y74" s="2">
        <f>IF(AND(Y1&gt;='S3-Fertilizer N2O Tool'!$D$14,Y1&lt;=2050),IF(Y$1='S3-Fertilizer N2O Tool'!$D$14,0,Y$1-'S3-Fertilizer N2O Tool'!$D$14),NA())</f>
        <v>15</v>
      </c>
      <c r="Z74" s="2">
        <f>IF(AND(Z1&gt;='S3-Fertilizer N2O Tool'!$D$14,Z1&lt;=2050),IF(Z$1='S3-Fertilizer N2O Tool'!$D$14,0,Z$1-'S3-Fertilizer N2O Tool'!$D$14),NA())</f>
        <v>16</v>
      </c>
      <c r="AA74" s="2">
        <f>IF(AND(AA1&gt;='S3-Fertilizer N2O Tool'!$D$14,AA1&lt;=2050),IF(AA$1='S3-Fertilizer N2O Tool'!$D$14,0,AA$1-'S3-Fertilizer N2O Tool'!$D$14),NA())</f>
        <v>17</v>
      </c>
      <c r="AB74" s="2">
        <f>IF(AND(AB1&gt;='S3-Fertilizer N2O Tool'!$D$14,AB1&lt;=2050),IF(AB$1='S3-Fertilizer N2O Tool'!$D$14,0,AB$1-'S3-Fertilizer N2O Tool'!$D$14),NA())</f>
        <v>18</v>
      </c>
      <c r="AC74" s="2">
        <f>IF(AND(AC1&gt;='S3-Fertilizer N2O Tool'!$D$14,AC1&lt;=2050),IF(AC$1='S3-Fertilizer N2O Tool'!$D$14,0,AC$1-'S3-Fertilizer N2O Tool'!$D$14),NA())</f>
        <v>19</v>
      </c>
      <c r="AD74" s="2">
        <f>IF(AND(AD1&gt;='S3-Fertilizer N2O Tool'!$D$14,AD1&lt;=2050),IF(AD$1='S3-Fertilizer N2O Tool'!$D$14,0,AD$1-'S3-Fertilizer N2O Tool'!$D$14),NA())</f>
        <v>20</v>
      </c>
      <c r="AE74" s="2">
        <f>IF(AND(AE1&gt;='S3-Fertilizer N2O Tool'!$D$14,AE1&lt;=2050),IF(AE$1='S3-Fertilizer N2O Tool'!$D$14,0,AE$1-'S3-Fertilizer N2O Tool'!$D$14),NA())</f>
        <v>21</v>
      </c>
      <c r="AF74" s="2">
        <f>IF(AND(AF1&gt;='S3-Fertilizer N2O Tool'!$D$14,AF1&lt;=2050),IF(AF$1='S3-Fertilizer N2O Tool'!$D$14,0,AF$1-'S3-Fertilizer N2O Tool'!$D$14),NA())</f>
        <v>22</v>
      </c>
      <c r="AG74" s="2">
        <f>IF(AND(AG1&gt;='S3-Fertilizer N2O Tool'!$D$14,AG1&lt;=2050),IF(AG$1='S3-Fertilizer N2O Tool'!$D$14,0,AG$1-'S3-Fertilizer N2O Tool'!$D$14),NA())</f>
        <v>23</v>
      </c>
      <c r="AH74" s="2">
        <f>IF(AND(AH1&gt;='S3-Fertilizer N2O Tool'!$D$14,AH1&lt;=2050),IF(AH$1='S3-Fertilizer N2O Tool'!$D$14,0,AH$1-'S3-Fertilizer N2O Tool'!$D$14),NA())</f>
        <v>24</v>
      </c>
      <c r="AI74" s="2">
        <f>IF(AND(AI1&gt;='S3-Fertilizer N2O Tool'!$D$14,AI1&lt;=2050),IF(AI$1='S3-Fertilizer N2O Tool'!$D$14,0,AI$1-'S3-Fertilizer N2O Tool'!$D$14),NA())</f>
        <v>25</v>
      </c>
      <c r="AJ74" s="2">
        <f>IF(AND(AJ1&gt;='S3-Fertilizer N2O Tool'!$D$14,AJ1&lt;=2050),IF(AJ$1='S3-Fertilizer N2O Tool'!$D$14,0,AJ$1-'S3-Fertilizer N2O Tool'!$D$14),NA())</f>
        <v>26</v>
      </c>
      <c r="AK74" s="2">
        <f>IF(AND(AK1&gt;='S3-Fertilizer N2O Tool'!$D$14,AK1&lt;=2050),IF(AK$1='S3-Fertilizer N2O Tool'!$D$14,0,AK$1-'S3-Fertilizer N2O Tool'!$D$14),NA())</f>
        <v>27</v>
      </c>
      <c r="AL74" s="2">
        <f>IF(AND(AL1&gt;='S3-Fertilizer N2O Tool'!$D$14,AL1&lt;=2050),IF(AL$1='S3-Fertilizer N2O Tool'!$D$14,0,AL$1-'S3-Fertilizer N2O Tool'!$D$14),NA())</f>
        <v>28</v>
      </c>
      <c r="AM74" s="2">
        <f>IF(AND(AM1&gt;='S3-Fertilizer N2O Tool'!$D$14,AM1&lt;=2050),IF(AM$1='S3-Fertilizer N2O Tool'!$D$14,0,AM$1-'S3-Fertilizer N2O Tool'!$D$14),NA())</f>
        <v>29</v>
      </c>
      <c r="AN74" s="2">
        <f>IF(AND(AN1&gt;='S3-Fertilizer N2O Tool'!$D$14,AN1&lt;=2050),IF(AN$1='S3-Fertilizer N2O Tool'!$D$14,0,AN$1-'S3-Fertilizer N2O Tool'!$D$14),NA())</f>
        <v>30</v>
      </c>
      <c r="AO74" s="61"/>
      <c r="AP74" s="61"/>
      <c r="AQ74" s="61"/>
      <c r="AR74" s="61"/>
      <c r="AS74" s="61"/>
      <c r="AT74" s="61"/>
      <c r="AU74" s="61"/>
      <c r="AV74" s="61"/>
      <c r="AW74" s="61"/>
      <c r="AX74" s="61"/>
    </row>
    <row r="75" spans="1:90" x14ac:dyDescent="0.25">
      <c r="B75" t="s">
        <v>174</v>
      </c>
      <c r="C75" t="s">
        <v>29</v>
      </c>
      <c r="D75" s="2" t="e">
        <f>IF(D$1&lt;'S3-Fertilizer N2O Tool'!$D$14,NA(),IF(D$1='S3-Fertilizer N2O Tool'!$D$14,'S3-Fertilizer N2O Tool'!$D$15,IF(AND('S3-Fertilizer N2O Tool'!$D$14&lt;=2020,D$1&gt;'S3-Fertilizer N2O Tool'!$D$14),'S3-Fertilizer N2O Tool'!$D$15*(1-$D$69*D$74),IF(AND('S3-Fertilizer N2O Tool'!$D$14&gt;2020,D$1&gt;'S3-Fertilizer N2O Tool'!$D$14),'S3-Fertilizer N2O Tool'!$D$15*(1-$D$70*D$74),NA()))))</f>
        <v>#N/A</v>
      </c>
      <c r="E75" s="2" t="e">
        <f>IF(E$1&lt;'S3-Fertilizer N2O Tool'!$D$14,NA(),IF(E$1='S3-Fertilizer N2O Tool'!$D$14,'S3-Fertilizer N2O Tool'!$D$15,IF(AND('S3-Fertilizer N2O Tool'!$D$14&lt;=2020,E$1&gt;'S3-Fertilizer N2O Tool'!$D$14),'S3-Fertilizer N2O Tool'!$D$15*(1-$D$69*E$74),IF(AND('S3-Fertilizer N2O Tool'!$D$14&gt;2020,E$1&gt;'S3-Fertilizer N2O Tool'!$D$14),'S3-Fertilizer N2O Tool'!$D$15*(1-$D$70*E$74),NA()))))</f>
        <v>#N/A</v>
      </c>
      <c r="F75" s="2" t="e">
        <f>IF(F$1&lt;'S3-Fertilizer N2O Tool'!$D$14,NA(),IF(F$1='S3-Fertilizer N2O Tool'!$D$14,'S3-Fertilizer N2O Tool'!$D$15,IF(AND('S3-Fertilizer N2O Tool'!$D$14&lt;=2020,F$1&gt;'S3-Fertilizer N2O Tool'!$D$14),'S3-Fertilizer N2O Tool'!$D$15*(1-$D$69*F$74),IF(AND('S3-Fertilizer N2O Tool'!$D$14&gt;2020,F$1&gt;'S3-Fertilizer N2O Tool'!$D$14),'S3-Fertilizer N2O Tool'!$D$15*(1-$D$70*F$74),NA()))))</f>
        <v>#N/A</v>
      </c>
      <c r="G75" s="2" t="e">
        <f>IF(G$1&lt;'S3-Fertilizer N2O Tool'!$D$14,NA(),IF(G$1='S3-Fertilizer N2O Tool'!$D$14,'S3-Fertilizer N2O Tool'!$D$15,IF(AND('S3-Fertilizer N2O Tool'!$D$14&lt;=2020,G$1&gt;'S3-Fertilizer N2O Tool'!$D$14),'S3-Fertilizer N2O Tool'!$D$15*(1-$D$69*G$74),IF(AND('S3-Fertilizer N2O Tool'!$D$14&gt;2020,G$1&gt;'S3-Fertilizer N2O Tool'!$D$14),'S3-Fertilizer N2O Tool'!$D$15*(1-$D$70*G$74),NA()))))</f>
        <v>#N/A</v>
      </c>
      <c r="H75" s="2" t="e">
        <f>IF(H$1&lt;'S3-Fertilizer N2O Tool'!$D$14,NA(),IF(H$1='S3-Fertilizer N2O Tool'!$D$14,'S3-Fertilizer N2O Tool'!$D$15,IF(AND('S3-Fertilizer N2O Tool'!$D$14&lt;=2020,H$1&gt;'S3-Fertilizer N2O Tool'!$D$14),'S3-Fertilizer N2O Tool'!$D$15*(1-$D$69*H$74),IF(AND('S3-Fertilizer N2O Tool'!$D$14&gt;2020,H$1&gt;'S3-Fertilizer N2O Tool'!$D$14),'S3-Fertilizer N2O Tool'!$D$15*(1-$D$70*H$74),NA()))))</f>
        <v>#N/A</v>
      </c>
      <c r="I75" s="2" t="e">
        <f>IF(I$1&lt;'S3-Fertilizer N2O Tool'!$D$14,NA(),IF(I$1='S3-Fertilizer N2O Tool'!$D$14,'S3-Fertilizer N2O Tool'!$D$15,IF(AND('S3-Fertilizer N2O Tool'!$D$14&lt;=2020,I$1&gt;'S3-Fertilizer N2O Tool'!$D$14),'S3-Fertilizer N2O Tool'!$D$15*(1-$D$69*I$74),IF(AND('S3-Fertilizer N2O Tool'!$D$14&gt;2020,I$1&gt;'S3-Fertilizer N2O Tool'!$D$14),'S3-Fertilizer N2O Tool'!$D$15*(1-$D$70*I$74),NA()))))</f>
        <v>#N/A</v>
      </c>
      <c r="J75" s="2">
        <f>IF(J$1&lt;'S3-Fertilizer N2O Tool'!$D$14,NA(),IF(J$1='S3-Fertilizer N2O Tool'!$D$14,'S3-Fertilizer N2O Tool'!$D$15,IF(AND('S3-Fertilizer N2O Tool'!$D$14&lt;=2020,J$1&gt;'S3-Fertilizer N2O Tool'!$D$14),'S3-Fertilizer N2O Tool'!$D$15*(1-$D$69*J$74),IF(AND('S3-Fertilizer N2O Tool'!$D$14&gt;2020,J$1&gt;'S3-Fertilizer N2O Tool'!$D$14),'S3-Fertilizer N2O Tool'!$D$15*(1-$D$70*J$74),NA()))))</f>
        <v>0</v>
      </c>
      <c r="K75" s="2">
        <f>IF(K$1&lt;'S3-Fertilizer N2O Tool'!$D$14,NA(),IF(K$1='S3-Fertilizer N2O Tool'!$D$14,'S3-Fertilizer N2O Tool'!$D$15,IF(AND('S3-Fertilizer N2O Tool'!$D$14&lt;=2020,K$1&gt;'S3-Fertilizer N2O Tool'!$D$14),'S3-Fertilizer N2O Tool'!$D$15*(1-$D$69*K$74),IF(AND('S3-Fertilizer N2O Tool'!$D$14&gt;2020,K$1&gt;'S3-Fertilizer N2O Tool'!$D$14),'S3-Fertilizer N2O Tool'!$D$15*(1-$D$70*K$74),NA()))))</f>
        <v>0</v>
      </c>
      <c r="L75" s="2">
        <f>IF(L$1&lt;'S3-Fertilizer N2O Tool'!$D$14,NA(),IF(L$1='S3-Fertilizer N2O Tool'!$D$14,'S3-Fertilizer N2O Tool'!$D$15,IF(AND('S3-Fertilizer N2O Tool'!$D$14&lt;=2020,L$1&gt;'S3-Fertilizer N2O Tool'!$D$14),'S3-Fertilizer N2O Tool'!$D$15*(1-$D$69*L$74),IF(AND('S3-Fertilizer N2O Tool'!$D$14&gt;2020,L$1&gt;'S3-Fertilizer N2O Tool'!$D$14),'S3-Fertilizer N2O Tool'!$D$15*(1-$D$70*L$74),NA()))))</f>
        <v>0</v>
      </c>
      <c r="M75" s="2">
        <f>IF(M$1&lt;'S3-Fertilizer N2O Tool'!$D$14,NA(),IF(M$1='S3-Fertilizer N2O Tool'!$D$14,'S3-Fertilizer N2O Tool'!$D$15,IF(AND('S3-Fertilizer N2O Tool'!$D$14&lt;=2020,M$1&gt;'S3-Fertilizer N2O Tool'!$D$14),'S3-Fertilizer N2O Tool'!$D$15*(1-$D$69*M$74),IF(AND('S3-Fertilizer N2O Tool'!$D$14&gt;2020,M$1&gt;'S3-Fertilizer N2O Tool'!$D$14),'S3-Fertilizer N2O Tool'!$D$15*(1-$D$70*M$74),NA()))))</f>
        <v>0</v>
      </c>
      <c r="N75" s="2">
        <f>IF(N$1&lt;'S3-Fertilizer N2O Tool'!$D$14,NA(),IF(N$1='S3-Fertilizer N2O Tool'!$D$14,'S3-Fertilizer N2O Tool'!$D$15,IF(AND('S3-Fertilizer N2O Tool'!$D$14&lt;=2020,N$1&gt;'S3-Fertilizer N2O Tool'!$D$14),'S3-Fertilizer N2O Tool'!$D$15*(1-$D$69*N$74),IF(AND('S3-Fertilizer N2O Tool'!$D$14&gt;2020,N$1&gt;'S3-Fertilizer N2O Tool'!$D$14),'S3-Fertilizer N2O Tool'!$D$15*(1-$D$70*N$74),NA()))))</f>
        <v>0</v>
      </c>
      <c r="O75" s="2">
        <f>IF(O$1&lt;'S3-Fertilizer N2O Tool'!$D$14,NA(),IF(O$1='S3-Fertilizer N2O Tool'!$D$14,'S3-Fertilizer N2O Tool'!$D$15,IF(AND('S3-Fertilizer N2O Tool'!$D$14&lt;=2020,O$1&gt;'S3-Fertilizer N2O Tool'!$D$14),'S3-Fertilizer N2O Tool'!$D$15*(1-$D$69*O$74),IF(AND('S3-Fertilizer N2O Tool'!$D$14&gt;2020,O$1&gt;'S3-Fertilizer N2O Tool'!$D$14),'S3-Fertilizer N2O Tool'!$D$15*(1-$D$70*O$74),NA()))))</f>
        <v>0</v>
      </c>
      <c r="P75" s="2">
        <f>IF(P$1&lt;'S3-Fertilizer N2O Tool'!$D$14,NA(),IF(P$1='S3-Fertilizer N2O Tool'!$D$14,'S3-Fertilizer N2O Tool'!$D$15,IF(AND('S3-Fertilizer N2O Tool'!$D$14&lt;=2020,P$1&gt;'S3-Fertilizer N2O Tool'!$D$14),'S3-Fertilizer N2O Tool'!$D$15*(1-$D$69*P$74),IF(AND('S3-Fertilizer N2O Tool'!$D$14&gt;2020,P$1&gt;'S3-Fertilizer N2O Tool'!$D$14),'S3-Fertilizer N2O Tool'!$D$15*(1-$D$70*P$74),NA()))))</f>
        <v>0</v>
      </c>
      <c r="Q75" s="2">
        <f>IF(Q$1&lt;'S3-Fertilizer N2O Tool'!$D$14,NA(),IF(Q$1='S3-Fertilizer N2O Tool'!$D$14,'S3-Fertilizer N2O Tool'!$D$15,IF(AND('S3-Fertilizer N2O Tool'!$D$14&lt;=2020,Q$1&gt;'S3-Fertilizer N2O Tool'!$D$14),'S3-Fertilizer N2O Tool'!$D$15*(1-$D$69*Q$74),IF(AND('S3-Fertilizer N2O Tool'!$D$14&gt;2020,Q$1&gt;'S3-Fertilizer N2O Tool'!$D$14),'S3-Fertilizer N2O Tool'!$D$15*(1-$D$70*Q$74),NA()))))</f>
        <v>0</v>
      </c>
      <c r="R75" s="2">
        <f>IF(R$1&lt;'S3-Fertilizer N2O Tool'!$D$14,NA(),IF(R$1='S3-Fertilizer N2O Tool'!$D$14,'S3-Fertilizer N2O Tool'!$D$15,IF(AND('S3-Fertilizer N2O Tool'!$D$14&lt;=2020,R$1&gt;'S3-Fertilizer N2O Tool'!$D$14),'S3-Fertilizer N2O Tool'!$D$15*(1-$D$69*R$74),IF(AND('S3-Fertilizer N2O Tool'!$D$14&gt;2020,R$1&gt;'S3-Fertilizer N2O Tool'!$D$14),'S3-Fertilizer N2O Tool'!$D$15*(1-$D$70*R$74),NA()))))</f>
        <v>0</v>
      </c>
      <c r="S75" s="2">
        <f>IF(S$1&lt;'S3-Fertilizer N2O Tool'!$D$14,NA(),IF(S$1='S3-Fertilizer N2O Tool'!$D$14,'S3-Fertilizer N2O Tool'!$D$15,IF(AND('S3-Fertilizer N2O Tool'!$D$14&lt;=2020,S$1&gt;'S3-Fertilizer N2O Tool'!$D$14),'S3-Fertilizer N2O Tool'!$D$15*(1-$D$69*S$74),IF(AND('S3-Fertilizer N2O Tool'!$D$14&gt;2020,S$1&gt;'S3-Fertilizer N2O Tool'!$D$14),'S3-Fertilizer N2O Tool'!$D$15*(1-$D$70*S$74),NA()))))</f>
        <v>0</v>
      </c>
      <c r="T75" s="2">
        <f>IF(T$1&lt;'S3-Fertilizer N2O Tool'!$D$14,NA(),IF(T$1='S3-Fertilizer N2O Tool'!$D$14,'S3-Fertilizer N2O Tool'!$D$15,IF(AND('S3-Fertilizer N2O Tool'!$D$14&lt;=2020,T$1&gt;'S3-Fertilizer N2O Tool'!$D$14),'S3-Fertilizer N2O Tool'!$D$15*(1-$D$69*T$74),IF(AND('S3-Fertilizer N2O Tool'!$D$14&gt;2020,T$1&gt;'S3-Fertilizer N2O Tool'!$D$14),'S3-Fertilizer N2O Tool'!$D$15*(1-$D$70*T$74),NA()))))</f>
        <v>0</v>
      </c>
      <c r="U75" s="2">
        <f>IF(U$1&lt;'S3-Fertilizer N2O Tool'!$D$14,NA(),IF(U$1='S3-Fertilizer N2O Tool'!$D$14,'S3-Fertilizer N2O Tool'!$D$15,IF(AND('S3-Fertilizer N2O Tool'!$D$14&lt;=2020,U$1&gt;'S3-Fertilizer N2O Tool'!$D$14),'S3-Fertilizer N2O Tool'!$D$15*(1-$D$69*U$74),IF(AND('S3-Fertilizer N2O Tool'!$D$14&gt;2020,U$1&gt;'S3-Fertilizer N2O Tool'!$D$14),'S3-Fertilizer N2O Tool'!$D$15*(1-$D$70*U$74),NA()))))</f>
        <v>0</v>
      </c>
      <c r="V75" s="2">
        <f>IF(V$1&lt;'S3-Fertilizer N2O Tool'!$D$14,NA(),IF(V$1='S3-Fertilizer N2O Tool'!$D$14,'S3-Fertilizer N2O Tool'!$D$15,IF(AND('S3-Fertilizer N2O Tool'!$D$14&lt;=2020,V$1&gt;'S3-Fertilizer N2O Tool'!$D$14),'S3-Fertilizer N2O Tool'!$D$15*(1-$D$69*V$74),IF(AND('S3-Fertilizer N2O Tool'!$D$14&gt;2020,V$1&gt;'S3-Fertilizer N2O Tool'!$D$14),'S3-Fertilizer N2O Tool'!$D$15*(1-$D$70*V$74),NA()))))</f>
        <v>0</v>
      </c>
      <c r="W75" s="2">
        <f>IF(W$1&lt;'S3-Fertilizer N2O Tool'!$D$14,NA(),IF(W$1='S3-Fertilizer N2O Tool'!$D$14,'S3-Fertilizer N2O Tool'!$D$15,IF(AND('S3-Fertilizer N2O Tool'!$D$14&lt;=2020,W$1&gt;'S3-Fertilizer N2O Tool'!$D$14),'S3-Fertilizer N2O Tool'!$D$15*(1-$D$69*W$74),IF(AND('S3-Fertilizer N2O Tool'!$D$14&gt;2020,W$1&gt;'S3-Fertilizer N2O Tool'!$D$14),'S3-Fertilizer N2O Tool'!$D$15*(1-$D$70*W$74),NA()))))</f>
        <v>0</v>
      </c>
      <c r="X75" s="2">
        <f>IF(X$1&lt;'S3-Fertilizer N2O Tool'!$D$14,NA(),IF(X$1='S3-Fertilizer N2O Tool'!$D$14,'S3-Fertilizer N2O Tool'!$D$15,IF(AND('S3-Fertilizer N2O Tool'!$D$14&lt;=2020,X$1&gt;'S3-Fertilizer N2O Tool'!$D$14),'S3-Fertilizer N2O Tool'!$D$15*(1-$D$69*X$74),IF(AND('S3-Fertilizer N2O Tool'!$D$14&gt;2020,X$1&gt;'S3-Fertilizer N2O Tool'!$D$14),'S3-Fertilizer N2O Tool'!$D$15*(1-$D$70*X$74),NA()))))</f>
        <v>0</v>
      </c>
      <c r="Y75" s="2">
        <f>IF(Y$1&lt;'S3-Fertilizer N2O Tool'!$D$14,NA(),IF(Y$1='S3-Fertilizer N2O Tool'!$D$14,'S3-Fertilizer N2O Tool'!$D$15,IF(AND('S3-Fertilizer N2O Tool'!$D$14&lt;=2020,Y$1&gt;'S3-Fertilizer N2O Tool'!$D$14),'S3-Fertilizer N2O Tool'!$D$15*(1-$D$69*Y$74),IF(AND('S3-Fertilizer N2O Tool'!$D$14&gt;2020,Y$1&gt;'S3-Fertilizer N2O Tool'!$D$14),'S3-Fertilizer N2O Tool'!$D$15*(1-$D$70*Y$74),NA()))))</f>
        <v>0</v>
      </c>
      <c r="Z75" s="2">
        <f>IF(Z$1&lt;'S3-Fertilizer N2O Tool'!$D$14,NA(),IF(Z$1='S3-Fertilizer N2O Tool'!$D$14,'S3-Fertilizer N2O Tool'!$D$15,IF(AND('S3-Fertilizer N2O Tool'!$D$14&lt;=2020,Z$1&gt;'S3-Fertilizer N2O Tool'!$D$14),'S3-Fertilizer N2O Tool'!$D$15*(1-$D$69*Z$74),IF(AND('S3-Fertilizer N2O Tool'!$D$14&gt;2020,Z$1&gt;'S3-Fertilizer N2O Tool'!$D$14),'S3-Fertilizer N2O Tool'!$D$15*(1-$D$70*Z$74),NA()))))</f>
        <v>0</v>
      </c>
      <c r="AA75" s="2">
        <f>IF(AA$1&lt;'S3-Fertilizer N2O Tool'!$D$14,NA(),IF(AA$1='S3-Fertilizer N2O Tool'!$D$14,'S3-Fertilizer N2O Tool'!$D$15,IF(AND('S3-Fertilizer N2O Tool'!$D$14&lt;=2020,AA$1&gt;'S3-Fertilizer N2O Tool'!$D$14),'S3-Fertilizer N2O Tool'!$D$15*(1-$D$69*AA$74),IF(AND('S3-Fertilizer N2O Tool'!$D$14&gt;2020,AA$1&gt;'S3-Fertilizer N2O Tool'!$D$14),'S3-Fertilizer N2O Tool'!$D$15*(1-$D$70*AA$74),NA()))))</f>
        <v>0</v>
      </c>
      <c r="AB75" s="2">
        <f>IF(AB$1&lt;'S3-Fertilizer N2O Tool'!$D$14,NA(),IF(AB$1='S3-Fertilizer N2O Tool'!$D$14,'S3-Fertilizer N2O Tool'!$D$15,IF(AND('S3-Fertilizer N2O Tool'!$D$14&lt;=2020,AB$1&gt;'S3-Fertilizer N2O Tool'!$D$14),'S3-Fertilizer N2O Tool'!$D$15*(1-$D$69*AB$74),IF(AND('S3-Fertilizer N2O Tool'!$D$14&gt;2020,AB$1&gt;'S3-Fertilizer N2O Tool'!$D$14),'S3-Fertilizer N2O Tool'!$D$15*(1-$D$70*AB$74),NA()))))</f>
        <v>0</v>
      </c>
      <c r="AC75" s="2">
        <f>IF(AC$1&lt;'S3-Fertilizer N2O Tool'!$D$14,NA(),IF(AC$1='S3-Fertilizer N2O Tool'!$D$14,'S3-Fertilizer N2O Tool'!$D$15,IF(AND('S3-Fertilizer N2O Tool'!$D$14&lt;=2020,AC$1&gt;'S3-Fertilizer N2O Tool'!$D$14),'S3-Fertilizer N2O Tool'!$D$15*(1-$D$69*AC$74),IF(AND('S3-Fertilizer N2O Tool'!$D$14&gt;2020,AC$1&gt;'S3-Fertilizer N2O Tool'!$D$14),'S3-Fertilizer N2O Tool'!$D$15*(1-$D$70*AC$74),NA()))))</f>
        <v>0</v>
      </c>
      <c r="AD75" s="2">
        <f>IF(AD$1&lt;'S3-Fertilizer N2O Tool'!$D$14,NA(),IF(AD$1='S3-Fertilizer N2O Tool'!$D$14,'S3-Fertilizer N2O Tool'!$D$15,IF(AND('S3-Fertilizer N2O Tool'!$D$14&lt;=2020,AD$1&gt;'S3-Fertilizer N2O Tool'!$D$14),'S3-Fertilizer N2O Tool'!$D$15*(1-$D$69*AD$74),IF(AND('S3-Fertilizer N2O Tool'!$D$14&gt;2020,AD$1&gt;'S3-Fertilizer N2O Tool'!$D$14),'S3-Fertilizer N2O Tool'!$D$15*(1-$D$70*AD$74),NA()))))</f>
        <v>0</v>
      </c>
      <c r="AE75" s="2">
        <f>IF(AE$1&lt;'S3-Fertilizer N2O Tool'!$D$14,NA(),IF(AE$1='S3-Fertilizer N2O Tool'!$D$14,'S3-Fertilizer N2O Tool'!$D$15,IF(AND('S3-Fertilizer N2O Tool'!$D$14&lt;=2020,AE$1&gt;'S3-Fertilizer N2O Tool'!$D$14),'S3-Fertilizer N2O Tool'!$D$15*(1-$D$69*AE$74),IF(AND('S3-Fertilizer N2O Tool'!$D$14&gt;2020,AE$1&gt;'S3-Fertilizer N2O Tool'!$D$14),'S3-Fertilizer N2O Tool'!$D$15*(1-$D$70*AE$74),NA()))))</f>
        <v>0</v>
      </c>
      <c r="AF75" s="2">
        <f>IF(AF$1&lt;'S3-Fertilizer N2O Tool'!$D$14,NA(),IF(AF$1='S3-Fertilizer N2O Tool'!$D$14,'S3-Fertilizer N2O Tool'!$D$15,IF(AND('S3-Fertilizer N2O Tool'!$D$14&lt;=2020,AF$1&gt;'S3-Fertilizer N2O Tool'!$D$14),'S3-Fertilizer N2O Tool'!$D$15*(1-$D$69*AF$74),IF(AND('S3-Fertilizer N2O Tool'!$D$14&gt;2020,AF$1&gt;'S3-Fertilizer N2O Tool'!$D$14),'S3-Fertilizer N2O Tool'!$D$15*(1-$D$70*AF$74),NA()))))</f>
        <v>0</v>
      </c>
      <c r="AG75" s="2">
        <f>IF(AG$1&lt;'S3-Fertilizer N2O Tool'!$D$14,NA(),IF(AG$1='S3-Fertilizer N2O Tool'!$D$14,'S3-Fertilizer N2O Tool'!$D$15,IF(AND('S3-Fertilizer N2O Tool'!$D$14&lt;=2020,AG$1&gt;'S3-Fertilizer N2O Tool'!$D$14),'S3-Fertilizer N2O Tool'!$D$15*(1-$D$69*AG$74),IF(AND('S3-Fertilizer N2O Tool'!$D$14&gt;2020,AG$1&gt;'S3-Fertilizer N2O Tool'!$D$14),'S3-Fertilizer N2O Tool'!$D$15*(1-$D$70*AG$74),NA()))))</f>
        <v>0</v>
      </c>
      <c r="AH75" s="2">
        <f>IF(AH$1&lt;'S3-Fertilizer N2O Tool'!$D$14,NA(),IF(AH$1='S3-Fertilizer N2O Tool'!$D$14,'S3-Fertilizer N2O Tool'!$D$15,IF(AND('S3-Fertilizer N2O Tool'!$D$14&lt;=2020,AH$1&gt;'S3-Fertilizer N2O Tool'!$D$14),'S3-Fertilizer N2O Tool'!$D$15*(1-$D$69*AH$74),IF(AND('S3-Fertilizer N2O Tool'!$D$14&gt;2020,AH$1&gt;'S3-Fertilizer N2O Tool'!$D$14),'S3-Fertilizer N2O Tool'!$D$15*(1-$D$70*AH$74),NA()))))</f>
        <v>0</v>
      </c>
      <c r="AI75" s="2">
        <f>IF(AI$1&lt;'S3-Fertilizer N2O Tool'!$D$14,NA(),IF(AI$1='S3-Fertilizer N2O Tool'!$D$14,'S3-Fertilizer N2O Tool'!$D$15,IF(AND('S3-Fertilizer N2O Tool'!$D$14&lt;=2020,AI$1&gt;'S3-Fertilizer N2O Tool'!$D$14),'S3-Fertilizer N2O Tool'!$D$15*(1-$D$69*AI$74),IF(AND('S3-Fertilizer N2O Tool'!$D$14&gt;2020,AI$1&gt;'S3-Fertilizer N2O Tool'!$D$14),'S3-Fertilizer N2O Tool'!$D$15*(1-$D$70*AI$74),NA()))))</f>
        <v>0</v>
      </c>
      <c r="AJ75" s="2">
        <f>IF(AJ$1&lt;'S3-Fertilizer N2O Tool'!$D$14,NA(),IF(AJ$1='S3-Fertilizer N2O Tool'!$D$14,'S3-Fertilizer N2O Tool'!$D$15,IF(AND('S3-Fertilizer N2O Tool'!$D$14&lt;=2020,AJ$1&gt;'S3-Fertilizer N2O Tool'!$D$14),'S3-Fertilizer N2O Tool'!$D$15*(1-$D$69*AJ$74),IF(AND('S3-Fertilizer N2O Tool'!$D$14&gt;2020,AJ$1&gt;'S3-Fertilizer N2O Tool'!$D$14),'S3-Fertilizer N2O Tool'!$D$15*(1-$D$70*AJ$74),NA()))))</f>
        <v>0</v>
      </c>
      <c r="AK75" s="2">
        <f>IF(AK$1&lt;'S3-Fertilizer N2O Tool'!$D$14,NA(),IF(AK$1='S3-Fertilizer N2O Tool'!$D$14,'S3-Fertilizer N2O Tool'!$D$15,IF(AND('S3-Fertilizer N2O Tool'!$D$14&lt;=2020,AK$1&gt;'S3-Fertilizer N2O Tool'!$D$14),'S3-Fertilizer N2O Tool'!$D$15*(1-$D$69*AK$74),IF(AND('S3-Fertilizer N2O Tool'!$D$14&gt;2020,AK$1&gt;'S3-Fertilizer N2O Tool'!$D$14),'S3-Fertilizer N2O Tool'!$D$15*(1-$D$70*AK$74),NA()))))</f>
        <v>0</v>
      </c>
      <c r="AL75" s="2">
        <f>IF(AL$1&lt;'S3-Fertilizer N2O Tool'!$D$14,NA(),IF(AL$1='S3-Fertilizer N2O Tool'!$D$14,'S3-Fertilizer N2O Tool'!$D$15,IF(AND('S3-Fertilizer N2O Tool'!$D$14&lt;=2020,AL$1&gt;'S3-Fertilizer N2O Tool'!$D$14),'S3-Fertilizer N2O Tool'!$D$15*(1-$D$69*AL$74),IF(AND('S3-Fertilizer N2O Tool'!$D$14&gt;2020,AL$1&gt;'S3-Fertilizer N2O Tool'!$D$14),'S3-Fertilizer N2O Tool'!$D$15*(1-$D$70*AL$74),NA()))))</f>
        <v>0</v>
      </c>
      <c r="AM75" s="2">
        <f>IF(AM$1&lt;'S3-Fertilizer N2O Tool'!$D$14,NA(),IF(AM$1='S3-Fertilizer N2O Tool'!$D$14,'S3-Fertilizer N2O Tool'!$D$15,IF(AND('S3-Fertilizer N2O Tool'!$D$14&lt;=2020,AM$1&gt;'S3-Fertilizer N2O Tool'!$D$14),'S3-Fertilizer N2O Tool'!$D$15*(1-$D$69*AM$74),IF(AND('S3-Fertilizer N2O Tool'!$D$14&gt;2020,AM$1&gt;'S3-Fertilizer N2O Tool'!$D$14),'S3-Fertilizer N2O Tool'!$D$15*(1-$D$70*AM$74),NA()))))</f>
        <v>0</v>
      </c>
      <c r="AN75" s="2">
        <f>IF(AN$1&lt;'S3-Fertilizer N2O Tool'!$D$14,NA(),IF(AN$1='S3-Fertilizer N2O Tool'!$D$14,'S3-Fertilizer N2O Tool'!$D$15,IF(AND('S3-Fertilizer N2O Tool'!$D$14&lt;=2020,AN$1&gt;'S3-Fertilizer N2O Tool'!$D$14),'S3-Fertilizer N2O Tool'!$D$15*(1-$D$69*AN$74),IF(AND('S3-Fertilizer N2O Tool'!$D$14&gt;2020,AN$1&gt;'S3-Fertilizer N2O Tool'!$D$14),'S3-Fertilizer N2O Tool'!$D$15*(1-$D$70*AN$74),NA()))))</f>
        <v>0</v>
      </c>
      <c r="AO75" s="61"/>
      <c r="AP75" s="61"/>
      <c r="AQ75" s="61"/>
      <c r="AR75" s="61"/>
      <c r="AS75" s="61"/>
      <c r="AT75" s="61"/>
      <c r="AU75" s="61"/>
      <c r="AV75" s="61"/>
      <c r="AW75" s="61"/>
      <c r="AX75" s="61"/>
    </row>
    <row r="76" spans="1:90" x14ac:dyDescent="0.25">
      <c r="B76" t="s">
        <v>175</v>
      </c>
      <c r="C76" t="s">
        <v>29</v>
      </c>
      <c r="D76" s="61" t="str">
        <f>IF('S3-Fertilizer N2O Tool'!$D$15&lt;&gt;0,HLOOKUP('S3-Fertilizer N2O Tool'!$D$16,Calculations!$M$1:$AX$78,ROW(Calculations!B75)),"")</f>
        <v/>
      </c>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1"/>
      <c r="AP76" s="61"/>
      <c r="AQ76" s="61"/>
      <c r="AR76" s="61"/>
      <c r="AS76" s="61"/>
      <c r="AT76" s="61"/>
      <c r="AU76" s="61"/>
      <c r="AV76" s="61"/>
      <c r="AW76" s="61"/>
      <c r="AX76" s="61"/>
    </row>
    <row r="77" spans="1:90" x14ac:dyDescent="0.25">
      <c r="B77" t="s">
        <v>175</v>
      </c>
      <c r="C77" t="s">
        <v>169</v>
      </c>
      <c r="D77" s="72" t="e">
        <f>(1-$D$76/'S3-Fertilizer N2O Tool'!$D$15)</f>
        <v>#VALUE!</v>
      </c>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1"/>
      <c r="AP77" s="61"/>
      <c r="AQ77" s="61"/>
      <c r="AR77" s="61"/>
      <c r="AS77" s="61"/>
      <c r="AT77" s="61"/>
      <c r="AU77" s="61"/>
      <c r="AV77" s="61"/>
      <c r="AW77" s="61"/>
      <c r="AX77" s="61"/>
    </row>
    <row r="78" spans="1:90" x14ac:dyDescent="0.25">
      <c r="B78" t="s">
        <v>175</v>
      </c>
      <c r="C78" t="s">
        <v>29</v>
      </c>
      <c r="D78" s="2" t="str">
        <f>D76</f>
        <v/>
      </c>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1"/>
      <c r="AP78" s="61"/>
      <c r="AQ78" s="61"/>
      <c r="AR78" s="61"/>
      <c r="AS78" s="61"/>
      <c r="AT78" s="61"/>
      <c r="AU78" s="61"/>
      <c r="AV78" s="61"/>
      <c r="AW78" s="61"/>
      <c r="AX78" s="61"/>
    </row>
    <row r="79" spans="1:90" s="43" customFormat="1" ht="22.5" x14ac:dyDescent="0.45">
      <c r="A79" s="62" t="s">
        <v>176</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row>
    <row r="80" spans="1:90" s="43" customFormat="1" ht="13" hidden="1" x14ac:dyDescent="0.3">
      <c r="A80" s="56" t="s">
        <v>177</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row>
    <row r="81" spans="1:91" s="43" customFormat="1" ht="13" hidden="1" x14ac:dyDescent="0.3">
      <c r="A81" s="56"/>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row>
    <row r="82" spans="1:91" s="43" customFormat="1" hidden="1" x14ac:dyDescent="0.25">
      <c r="A82" s="43" t="s">
        <v>160</v>
      </c>
      <c r="B82" s="43" t="str">
        <f>IF(OR('SDA Tool'!$D$15=Lists!$B$26,'SDA Tool'!$D$15=Lists!$B$27,'SDA Tool'!$D$15=Lists!$B$28),"Scope 3 emissions ("&amp;C82&amp;")","Scope 1 emissions ("&amp;C82&amp;")")</f>
        <v>Scope 1 emissions (MtCO2)</v>
      </c>
      <c r="C82" s="43" t="s">
        <v>138</v>
      </c>
      <c r="D82" s="54" t="e">
        <f>IFERROR(IF(D$1&lt;'SDA Tool'!$D$16,NA(),IF(D$1&gt;'SDA Tool'!$D$20,NA(),'SDA Tool'!$D$18+('SDA Tool'!$D$18*(HLOOKUP('SDA Tool'!$D$20,$D$1:$CL$11,ROW($A$11),)/HLOOKUP('SDA Tool'!$D$16,$D$1:$CL$11,ROW($A$11),))-'SDA Tool'!$D$18)*(D$1-'SDA Tool'!$D$16)/('SDA Tool'!$D$20-'SDA Tool'!$D$16)))/1000,NA())</f>
        <v>#N/A</v>
      </c>
      <c r="E82" s="54" t="e">
        <f>IFERROR(IF(E$1&lt;'SDA Tool'!$D$16,NA(),IF(E$1&gt;'SDA Tool'!$D$20,NA(),'SDA Tool'!$D$18+('SDA Tool'!$D$18*(HLOOKUP('SDA Tool'!$D$20,$D$1:$CL$11,ROW($A$11),)/HLOOKUP('SDA Tool'!$D$16,$D$1:$CL$11,ROW($A$11),))-'SDA Tool'!$D$18)*(E$1-'SDA Tool'!$D$16)/('SDA Tool'!$D$20-'SDA Tool'!$D$16)))/1000,NA())</f>
        <v>#N/A</v>
      </c>
      <c r="F82" s="54" t="e">
        <f>IFERROR(IF(F$1&lt;'SDA Tool'!$D$16,NA(),IF(F$1&gt;'SDA Tool'!$D$20,NA(),'SDA Tool'!$D$18+('SDA Tool'!$D$18*(HLOOKUP('SDA Tool'!$D$20,$D$1:$CL$11,ROW($A$11),)/HLOOKUP('SDA Tool'!$D$16,$D$1:$CL$11,ROW($A$11),))-'SDA Tool'!$D$18)*(F$1-'SDA Tool'!$D$16)/('SDA Tool'!$D$20-'SDA Tool'!$D$16)))/1000,NA())</f>
        <v>#N/A</v>
      </c>
      <c r="G82" s="54" t="e">
        <f>IFERROR(IF(G$1&lt;'SDA Tool'!$D$16,NA(),IF(G$1&gt;'SDA Tool'!$D$20,NA(),'SDA Tool'!$D$18+('SDA Tool'!$D$18*(HLOOKUP('SDA Tool'!$D$20,$D$1:$CL$11,ROW($A$11),)/HLOOKUP('SDA Tool'!$D$16,$D$1:$CL$11,ROW($A$11),))-'SDA Tool'!$D$18)*(G$1-'SDA Tool'!$D$16)/('SDA Tool'!$D$20-'SDA Tool'!$D$16)))/1000,NA())</f>
        <v>#N/A</v>
      </c>
      <c r="H82" s="54" t="e">
        <f>IFERROR(IF(H$1&lt;'SDA Tool'!$D$16,NA(),IF(H$1&gt;'SDA Tool'!$D$20,NA(),'SDA Tool'!$D$18+('SDA Tool'!$D$18*(HLOOKUP('SDA Tool'!$D$20,$D$1:$CL$11,ROW($A$11),)/HLOOKUP('SDA Tool'!$D$16,$D$1:$CL$11,ROW($A$11),))-'SDA Tool'!$D$18)*(H$1-'SDA Tool'!$D$16)/('SDA Tool'!$D$20-'SDA Tool'!$D$16)))/1000,NA())</f>
        <v>#N/A</v>
      </c>
      <c r="I82" s="54" t="e">
        <f>IFERROR(IF(I$1&lt;'SDA Tool'!$D$16,NA(),IF(I$1&gt;'SDA Tool'!$D$20,NA(),'SDA Tool'!$D$18+('SDA Tool'!$D$18*(HLOOKUP('SDA Tool'!$D$20,$D$1:$CL$11,ROW($A$11),)/HLOOKUP('SDA Tool'!$D$16,$D$1:$CL$11,ROW($A$11),))-'SDA Tool'!$D$18)*(I$1-'SDA Tool'!$D$16)/('SDA Tool'!$D$20-'SDA Tool'!$D$16)))/1000,NA())</f>
        <v>#N/A</v>
      </c>
      <c r="J82" s="54">
        <f>IFERROR(IF(J$1&lt;'SDA Tool'!$D$16,NA(),IF(J$1&gt;'SDA Tool'!$D$20,NA(),'SDA Tool'!$D$18+('SDA Tool'!$D$18*(HLOOKUP('SDA Tool'!$D$20,$D$1:$CL$11,ROW($A$11),)/HLOOKUP('SDA Tool'!$D$16,$D$1:$CL$11,ROW($A$11),))-'SDA Tool'!$D$18)*(J$1-'SDA Tool'!$D$16)/('SDA Tool'!$D$20-'SDA Tool'!$D$16)))/1000,NA())</f>
        <v>0.2</v>
      </c>
      <c r="K82" s="54">
        <f>IFERROR(IF(K$1&lt;'SDA Tool'!$D$16,NA(),IF(K$1&gt;'SDA Tool'!$D$20,NA(),'SDA Tool'!$D$18+('SDA Tool'!$D$18*(HLOOKUP('SDA Tool'!$D$20,$D$1:$CL$11,ROW($A$11),)/HLOOKUP('SDA Tool'!$D$16,$D$1:$CL$11,ROW($A$11),))-'SDA Tool'!$D$18)*(K$1-'SDA Tool'!$D$16)/('SDA Tool'!$D$20-'SDA Tool'!$D$16)))/1000,NA())</f>
        <v>0.19511111111111112</v>
      </c>
      <c r="L82" s="54">
        <f>IFERROR(IF(L$1&lt;'SDA Tool'!$D$16,NA(),IF(L$1&gt;'SDA Tool'!$D$20,NA(),'SDA Tool'!$D$18+('SDA Tool'!$D$18*(HLOOKUP('SDA Tool'!$D$20,$D$1:$CL$11,ROW($A$11),)/HLOOKUP('SDA Tool'!$D$16,$D$1:$CL$11,ROW($A$11),))-'SDA Tool'!$D$18)*(L$1-'SDA Tool'!$D$16)/('SDA Tool'!$D$20-'SDA Tool'!$D$16)))/1000,NA())</f>
        <v>0.19022222222222224</v>
      </c>
      <c r="M82" s="54">
        <f>IFERROR(IF(M$1&lt;'SDA Tool'!$D$16,NA(),IF(M$1&gt;'SDA Tool'!$D$20,NA(),'SDA Tool'!$D$18+('SDA Tool'!$D$18*(HLOOKUP('SDA Tool'!$D$20,$D$1:$CL$11,ROW($A$11),)/HLOOKUP('SDA Tool'!$D$16,$D$1:$CL$11,ROW($A$11),))-'SDA Tool'!$D$18)*(M$1-'SDA Tool'!$D$16)/('SDA Tool'!$D$20-'SDA Tool'!$D$16)))/1000,NA())</f>
        <v>0.18533333333333335</v>
      </c>
      <c r="N82" s="54">
        <f>IFERROR(IF(N$1&lt;'SDA Tool'!$D$16,NA(),IF(N$1&gt;'SDA Tool'!$D$20,NA(),'SDA Tool'!$D$18+('SDA Tool'!$D$18*(HLOOKUP('SDA Tool'!$D$20,$D$1:$CL$11,ROW($A$11),)/HLOOKUP('SDA Tool'!$D$16,$D$1:$CL$11,ROW($A$11),))-'SDA Tool'!$D$18)*(N$1-'SDA Tool'!$D$16)/('SDA Tool'!$D$20-'SDA Tool'!$D$16)))/1000,NA())</f>
        <v>0.18044444444444446</v>
      </c>
      <c r="O82" s="54">
        <f>IFERROR(IF(O$1&lt;'SDA Tool'!$D$16,NA(),IF(O$1&gt;'SDA Tool'!$D$20,NA(),'SDA Tool'!$D$18+('SDA Tool'!$D$18*(HLOOKUP('SDA Tool'!$D$20,$D$1:$CL$11,ROW($A$11),)/HLOOKUP('SDA Tool'!$D$16,$D$1:$CL$11,ROW($A$11),))-'SDA Tool'!$D$18)*(O$1-'SDA Tool'!$D$16)/('SDA Tool'!$D$20-'SDA Tool'!$D$16)))/1000,NA())</f>
        <v>0.17555555555555555</v>
      </c>
      <c r="P82" s="54">
        <f>IFERROR(IF(P$1&lt;'SDA Tool'!$D$16,NA(),IF(P$1&gt;'SDA Tool'!$D$20,NA(),'SDA Tool'!$D$18+('SDA Tool'!$D$18*(HLOOKUP('SDA Tool'!$D$20,$D$1:$CL$11,ROW($A$11),)/HLOOKUP('SDA Tool'!$D$16,$D$1:$CL$11,ROW($A$11),))-'SDA Tool'!$D$18)*(P$1-'SDA Tool'!$D$16)/('SDA Tool'!$D$20-'SDA Tool'!$D$16)))/1000,NA())</f>
        <v>0.17066666666666666</v>
      </c>
      <c r="Q82" s="54">
        <f>IFERROR(IF(Q$1&lt;'SDA Tool'!$D$16,NA(),IF(Q$1&gt;'SDA Tool'!$D$20,NA(),'SDA Tool'!$D$18+('SDA Tool'!$D$18*(HLOOKUP('SDA Tool'!$D$20,$D$1:$CL$11,ROW($A$11),)/HLOOKUP('SDA Tool'!$D$16,$D$1:$CL$11,ROW($A$11),))-'SDA Tool'!$D$18)*(Q$1-'SDA Tool'!$D$16)/('SDA Tool'!$D$20-'SDA Tool'!$D$16)))/1000,NA())</f>
        <v>0.16577777777777777</v>
      </c>
      <c r="R82" s="54">
        <f>IFERROR(IF(R$1&lt;'SDA Tool'!$D$16,NA(),IF(R$1&gt;'SDA Tool'!$D$20,NA(),'SDA Tool'!$D$18+('SDA Tool'!$D$18*(HLOOKUP('SDA Tool'!$D$20,$D$1:$CL$11,ROW($A$11),)/HLOOKUP('SDA Tool'!$D$16,$D$1:$CL$11,ROW($A$11),))-'SDA Tool'!$D$18)*(R$1-'SDA Tool'!$D$16)/('SDA Tool'!$D$20-'SDA Tool'!$D$16)))/1000,NA())</f>
        <v>0.16088888888888889</v>
      </c>
      <c r="S82" s="54">
        <f>IFERROR(IF(S$1&lt;'SDA Tool'!$D$16,NA(),IF(S$1&gt;'SDA Tool'!$D$20,NA(),'SDA Tool'!$D$18+('SDA Tool'!$D$18*(HLOOKUP('SDA Tool'!$D$20,$D$1:$CL$11,ROW($A$11),)/HLOOKUP('SDA Tool'!$D$16,$D$1:$CL$11,ROW($A$11),))-'SDA Tool'!$D$18)*(S$1-'SDA Tool'!$D$16)/('SDA Tool'!$D$20-'SDA Tool'!$D$16)))/1000,NA())</f>
        <v>0.156</v>
      </c>
      <c r="T82" s="54">
        <f>IFERROR(IF(T$1&lt;'SDA Tool'!$D$16,NA(),IF(T$1&gt;'SDA Tool'!$D$20,NA(),'SDA Tool'!$D$18+('SDA Tool'!$D$18*(HLOOKUP('SDA Tool'!$D$20,$D$1:$CL$11,ROW($A$11),)/HLOOKUP('SDA Tool'!$D$16,$D$1:$CL$11,ROW($A$11),))-'SDA Tool'!$D$18)*(T$1-'SDA Tool'!$D$16)/('SDA Tool'!$D$20-'SDA Tool'!$D$16)))/1000,NA())</f>
        <v>0.15111111111111111</v>
      </c>
      <c r="U82" s="54" t="e">
        <f>IFERROR(IF(U$1&lt;'SDA Tool'!$D$16,NA(),IF(U$1&gt;'SDA Tool'!$D$20,NA(),'SDA Tool'!$D$18+('SDA Tool'!$D$18*(HLOOKUP('SDA Tool'!$D$20,$D$1:$CL$11,ROW($A$11),)/HLOOKUP('SDA Tool'!$D$16,$D$1:$CL$11,ROW($A$11),))-'SDA Tool'!$D$18)*(U$1-'SDA Tool'!$D$16)/('SDA Tool'!$D$20-'SDA Tool'!$D$16)))/1000,NA())</f>
        <v>#N/A</v>
      </c>
      <c r="V82" s="54" t="e">
        <f>IFERROR(IF(V$1&lt;'SDA Tool'!$D$16,NA(),IF(V$1&gt;'SDA Tool'!$D$20,NA(),'SDA Tool'!$D$18+('SDA Tool'!$D$18*(HLOOKUP('SDA Tool'!$D$20,$D$1:$CL$11,ROW($A$11),)/HLOOKUP('SDA Tool'!$D$16,$D$1:$CL$11,ROW($A$11),))-'SDA Tool'!$D$18)*(V$1-'SDA Tool'!$D$16)/('SDA Tool'!$D$20-'SDA Tool'!$D$16)))/1000,NA())</f>
        <v>#N/A</v>
      </c>
      <c r="W82" s="54" t="e">
        <f>IFERROR(IF(W$1&lt;'SDA Tool'!$D$16,NA(),IF(W$1&gt;'SDA Tool'!$D$20,NA(),'SDA Tool'!$D$18+('SDA Tool'!$D$18*(HLOOKUP('SDA Tool'!$D$20,$D$1:$CL$11,ROW($A$11),)/HLOOKUP('SDA Tool'!$D$16,$D$1:$CL$11,ROW($A$11),))-'SDA Tool'!$D$18)*(W$1-'SDA Tool'!$D$16)/('SDA Tool'!$D$20-'SDA Tool'!$D$16)))/1000,NA())</f>
        <v>#N/A</v>
      </c>
      <c r="X82" s="54" t="e">
        <f>IFERROR(IF(X$1&lt;'SDA Tool'!$D$16,NA(),IF(X$1&gt;'SDA Tool'!$D$20,NA(),'SDA Tool'!$D$18+('SDA Tool'!$D$18*(HLOOKUP('SDA Tool'!$D$20,$D$1:$CL$11,ROW($A$11),)/HLOOKUP('SDA Tool'!$D$16,$D$1:$CL$11,ROW($A$11),))-'SDA Tool'!$D$18)*(X$1-'SDA Tool'!$D$16)/('SDA Tool'!$D$20-'SDA Tool'!$D$16)))/1000,NA())</f>
        <v>#N/A</v>
      </c>
      <c r="Y82" s="54" t="e">
        <f>IFERROR(IF(Y$1&lt;'SDA Tool'!$D$16,NA(),IF(Y$1&gt;'SDA Tool'!$D$20,NA(),'SDA Tool'!$D$18+('SDA Tool'!$D$18*(HLOOKUP('SDA Tool'!$D$20,$D$1:$CL$11,ROW($A$11),)/HLOOKUP('SDA Tool'!$D$16,$D$1:$CL$11,ROW($A$11),))-'SDA Tool'!$D$18)*(Y$1-'SDA Tool'!$D$16)/('SDA Tool'!$D$20-'SDA Tool'!$D$16)))/1000,NA())</f>
        <v>#N/A</v>
      </c>
      <c r="Z82" s="54" t="e">
        <f>IFERROR(IF(Z$1&lt;'SDA Tool'!$D$16,NA(),IF(Z$1&gt;'SDA Tool'!$D$20,NA(),'SDA Tool'!$D$18+('SDA Tool'!$D$18*(HLOOKUP('SDA Tool'!$D$20,$D$1:$CL$11,ROW($A$11),)/HLOOKUP('SDA Tool'!$D$16,$D$1:$CL$11,ROW($A$11),))-'SDA Tool'!$D$18)*(Z$1-'SDA Tool'!$D$16)/('SDA Tool'!$D$20-'SDA Tool'!$D$16)))/1000,NA())</f>
        <v>#N/A</v>
      </c>
      <c r="AA82" s="54" t="e">
        <f>IFERROR(IF(AA$1&lt;'SDA Tool'!$D$16,NA(),IF(AA$1&gt;'SDA Tool'!$D$20,NA(),'SDA Tool'!$D$18+('SDA Tool'!$D$18*(HLOOKUP('SDA Tool'!$D$20,$D$1:$CL$11,ROW($A$11),)/HLOOKUP('SDA Tool'!$D$16,$D$1:$CL$11,ROW($A$11),))-'SDA Tool'!$D$18)*(AA$1-'SDA Tool'!$D$16)/('SDA Tool'!$D$20-'SDA Tool'!$D$16)))/1000,NA())</f>
        <v>#N/A</v>
      </c>
      <c r="AB82" s="54" t="e">
        <f>IFERROR(IF(AB$1&lt;'SDA Tool'!$D$16,NA(),IF(AB$1&gt;'SDA Tool'!$D$20,NA(),'SDA Tool'!$D$18+('SDA Tool'!$D$18*(HLOOKUP('SDA Tool'!$D$20,$D$1:$CL$11,ROW($A$11),)/HLOOKUP('SDA Tool'!$D$16,$D$1:$CL$11,ROW($A$11),))-'SDA Tool'!$D$18)*(AB$1-'SDA Tool'!$D$16)/('SDA Tool'!$D$20-'SDA Tool'!$D$16)))/1000,NA())</f>
        <v>#N/A</v>
      </c>
      <c r="AC82" s="54" t="e">
        <f>IFERROR(IF(AC$1&lt;'SDA Tool'!$D$16,NA(),IF(AC$1&gt;'SDA Tool'!$D$20,NA(),'SDA Tool'!$D$18+('SDA Tool'!$D$18*(HLOOKUP('SDA Tool'!$D$20,$D$1:$CL$11,ROW($A$11),)/HLOOKUP('SDA Tool'!$D$16,$D$1:$CL$11,ROW($A$11),))-'SDA Tool'!$D$18)*(AC$1-'SDA Tool'!$D$16)/('SDA Tool'!$D$20-'SDA Tool'!$D$16)))/1000,NA())</f>
        <v>#N/A</v>
      </c>
      <c r="AD82" s="54" t="e">
        <f>IFERROR(IF(AD$1&lt;'SDA Tool'!$D$16,NA(),IF(AD$1&gt;'SDA Tool'!$D$20,NA(),'SDA Tool'!$D$18+('SDA Tool'!$D$18*(HLOOKUP('SDA Tool'!$D$20,$D$1:$CL$11,ROW($A$11),)/HLOOKUP('SDA Tool'!$D$16,$D$1:$CL$11,ROW($A$11),))-'SDA Tool'!$D$18)*(AD$1-'SDA Tool'!$D$16)/('SDA Tool'!$D$20-'SDA Tool'!$D$16)))/1000,NA())</f>
        <v>#N/A</v>
      </c>
      <c r="AE82" s="54" t="e">
        <f>IFERROR(IF(AE$1&lt;'SDA Tool'!$D$16,NA(),IF(AE$1&gt;'SDA Tool'!$D$20,NA(),'SDA Tool'!$D$18+('SDA Tool'!$D$18*(HLOOKUP('SDA Tool'!$D$20,$D$1:$CL$11,ROW($A$11),)/HLOOKUP('SDA Tool'!$D$16,$D$1:$CL$11,ROW($A$11),))-'SDA Tool'!$D$18)*(AE$1-'SDA Tool'!$D$16)/('SDA Tool'!$D$20-'SDA Tool'!$D$16)))/1000,NA())</f>
        <v>#N/A</v>
      </c>
      <c r="AF82" s="54" t="e">
        <f>IFERROR(IF(AF$1&lt;'SDA Tool'!$D$16,NA(),IF(AF$1&gt;'SDA Tool'!$D$20,NA(),'SDA Tool'!$D$18+('SDA Tool'!$D$18*(HLOOKUP('SDA Tool'!$D$20,$D$1:$CL$11,ROW($A$11),)/HLOOKUP('SDA Tool'!$D$16,$D$1:$CL$11,ROW($A$11),))-'SDA Tool'!$D$18)*(AF$1-'SDA Tool'!$D$16)/('SDA Tool'!$D$20-'SDA Tool'!$D$16)))/1000,NA())</f>
        <v>#N/A</v>
      </c>
      <c r="AG82" s="54" t="e">
        <f>IFERROR(IF(AG$1&lt;'SDA Tool'!$D$16,NA(),IF(AG$1&gt;'SDA Tool'!$D$20,NA(),'SDA Tool'!$D$18+('SDA Tool'!$D$18*(HLOOKUP('SDA Tool'!$D$20,$D$1:$CL$11,ROW($A$11),)/HLOOKUP('SDA Tool'!$D$16,$D$1:$CL$11,ROW($A$11),))-'SDA Tool'!$D$18)*(AG$1-'SDA Tool'!$D$16)/('SDA Tool'!$D$20-'SDA Tool'!$D$16)))/1000,NA())</f>
        <v>#N/A</v>
      </c>
      <c r="AH82" s="54" t="e">
        <f>IFERROR(IF(AH$1&lt;'SDA Tool'!$D$16,NA(),IF(AH$1&gt;'SDA Tool'!$D$20,NA(),'SDA Tool'!$D$18+('SDA Tool'!$D$18*(HLOOKUP('SDA Tool'!$D$20,$D$1:$CL$11,ROW($A$11),)/HLOOKUP('SDA Tool'!$D$16,$D$1:$CL$11,ROW($A$11),))-'SDA Tool'!$D$18)*(AH$1-'SDA Tool'!$D$16)/('SDA Tool'!$D$20-'SDA Tool'!$D$16)))/1000,NA())</f>
        <v>#N/A</v>
      </c>
      <c r="AI82" s="54" t="e">
        <f>IFERROR(IF(AI$1&lt;'SDA Tool'!$D$16,NA(),IF(AI$1&gt;'SDA Tool'!$D$20,NA(),'SDA Tool'!$D$18+('SDA Tool'!$D$18*(HLOOKUP('SDA Tool'!$D$20,$D$1:$CL$11,ROW($A$11),)/HLOOKUP('SDA Tool'!$D$16,$D$1:$CL$11,ROW($A$11),))-'SDA Tool'!$D$18)*(AI$1-'SDA Tool'!$D$16)/('SDA Tool'!$D$20-'SDA Tool'!$D$16)))/1000,NA())</f>
        <v>#N/A</v>
      </c>
      <c r="AJ82" s="54" t="e">
        <f>IFERROR(IF(AJ$1&lt;'SDA Tool'!$D$16,NA(),IF(AJ$1&gt;'SDA Tool'!$D$20,NA(),'SDA Tool'!$D$18+('SDA Tool'!$D$18*(HLOOKUP('SDA Tool'!$D$20,$D$1:$CL$11,ROW($A$11),)/HLOOKUP('SDA Tool'!$D$16,$D$1:$CL$11,ROW($A$11),))-'SDA Tool'!$D$18)*(AJ$1-'SDA Tool'!$D$16)/('SDA Tool'!$D$20-'SDA Tool'!$D$16)))/1000,NA())</f>
        <v>#N/A</v>
      </c>
      <c r="AK82" s="54" t="e">
        <f>IFERROR(IF(AK$1&lt;'SDA Tool'!$D$16,NA(),IF(AK$1&gt;'SDA Tool'!$D$20,NA(),'SDA Tool'!$D$18+('SDA Tool'!$D$18*(HLOOKUP('SDA Tool'!$D$20,$D$1:$CL$11,ROW($A$11),)/HLOOKUP('SDA Tool'!$D$16,$D$1:$CL$11,ROW($A$11),))-'SDA Tool'!$D$18)*(AK$1-'SDA Tool'!$D$16)/('SDA Tool'!$D$20-'SDA Tool'!$D$16)))/1000,NA())</f>
        <v>#N/A</v>
      </c>
      <c r="AL82" s="54" t="e">
        <f>IFERROR(IF(AL$1&lt;'SDA Tool'!$D$16,NA(),IF(AL$1&gt;'SDA Tool'!$D$20,NA(),'SDA Tool'!$D$18+('SDA Tool'!$D$18*(HLOOKUP('SDA Tool'!$D$20,$D$1:$CL$11,ROW($A$11),)/HLOOKUP('SDA Tool'!$D$16,$D$1:$CL$11,ROW($A$11),))-'SDA Tool'!$D$18)*(AL$1-'SDA Tool'!$D$16)/('SDA Tool'!$D$20-'SDA Tool'!$D$16)))/1000,NA())</f>
        <v>#N/A</v>
      </c>
      <c r="AM82" s="54" t="e">
        <f>IFERROR(IF(AM$1&lt;'SDA Tool'!$D$16,NA(),IF(AM$1&gt;'SDA Tool'!$D$20,NA(),'SDA Tool'!$D$18+('SDA Tool'!$D$18*(HLOOKUP('SDA Tool'!$D$20,$D$1:$CL$11,ROW($A$11),)/HLOOKUP('SDA Tool'!$D$16,$D$1:$CL$11,ROW($A$11),))-'SDA Tool'!$D$18)*(AM$1-'SDA Tool'!$D$16)/('SDA Tool'!$D$20-'SDA Tool'!$D$16)))/1000,NA())</f>
        <v>#N/A</v>
      </c>
      <c r="AN82" s="54" t="e">
        <f>IFERROR(IF(AN$1&lt;'SDA Tool'!$D$16,NA(),IF(AN$1&gt;'SDA Tool'!$D$20,NA(),'SDA Tool'!$D$18+('SDA Tool'!$D$18*(HLOOKUP('SDA Tool'!$D$20,$D$1:$CL$11,ROW($A$11),)/HLOOKUP('SDA Tool'!$D$16,$D$1:$CL$11,ROW($A$11),))-'SDA Tool'!$D$18)*(AN$1-'SDA Tool'!$D$16)/('SDA Tool'!$D$20-'SDA Tool'!$D$16)))/1000,NA())</f>
        <v>#N/A</v>
      </c>
      <c r="AO82" s="54" t="e">
        <f>IFERROR(IF(AO$1&lt;'SDA Tool'!$D$16,NA(),IF(AO$1&gt;'SDA Tool'!$D$20,NA(),'SDA Tool'!$D$18+('SDA Tool'!$D$18*(HLOOKUP('SDA Tool'!$D$20,$D$1:$CL$11,ROW($A$11),)/HLOOKUP('SDA Tool'!$D$16,$D$1:$CL$11,ROW($A$11),))-'SDA Tool'!$D$18)*(AO$1-'SDA Tool'!$D$16)/('SDA Tool'!$D$20-'SDA Tool'!$D$16)))/1000,NA())</f>
        <v>#N/A</v>
      </c>
      <c r="AP82" s="54" t="e">
        <f>IFERROR(IF(AP$1&lt;'SDA Tool'!$D$16,NA(),IF(AP$1&gt;'SDA Tool'!$D$20,NA(),'SDA Tool'!$D$18+('SDA Tool'!$D$18*(HLOOKUP('SDA Tool'!$D$20,$D$1:$CL$11,ROW($A$11),)/HLOOKUP('SDA Tool'!$D$16,$D$1:$CL$11,ROW($A$11),))-'SDA Tool'!$D$18)*(AP$1-'SDA Tool'!$D$16)/('SDA Tool'!$D$20-'SDA Tool'!$D$16)))/1000,NA())</f>
        <v>#N/A</v>
      </c>
      <c r="AQ82" s="54" t="e">
        <f>IFERROR(IF(AQ$1&lt;'SDA Tool'!$D$16,NA(),IF(AQ$1&gt;'SDA Tool'!$D$20,NA(),'SDA Tool'!$D$18+('SDA Tool'!$D$18*(HLOOKUP('SDA Tool'!$D$20,$D$1:$CL$11,ROW($A$11),)/HLOOKUP('SDA Tool'!$D$16,$D$1:$CL$11,ROW($A$11),))-'SDA Tool'!$D$18)*(AQ$1-'SDA Tool'!$D$16)/('SDA Tool'!$D$20-'SDA Tool'!$D$16)))/1000,NA())</f>
        <v>#N/A</v>
      </c>
      <c r="AR82" s="54" t="e">
        <f>IFERROR(IF(AR$1&lt;'SDA Tool'!$D$16,NA(),IF(AR$1&gt;'SDA Tool'!$D$20,NA(),'SDA Tool'!$D$18+('SDA Tool'!$D$18*(HLOOKUP('SDA Tool'!$D$20,$D$1:$CL$11,ROW($A$11),)/HLOOKUP('SDA Tool'!$D$16,$D$1:$CL$11,ROW($A$11),))-'SDA Tool'!$D$18)*(AR$1-'SDA Tool'!$D$16)/('SDA Tool'!$D$20-'SDA Tool'!$D$16)))/1000,NA())</f>
        <v>#N/A</v>
      </c>
      <c r="AS82" s="54" t="e">
        <f>IFERROR(IF(AS$1&lt;'SDA Tool'!$D$16,NA(),IF(AS$1&gt;'SDA Tool'!$D$20,NA(),'SDA Tool'!$D$18+('SDA Tool'!$D$18*(HLOOKUP('SDA Tool'!$D$20,$D$1:$CL$11,ROW($A$11),)/HLOOKUP('SDA Tool'!$D$16,$D$1:$CL$11,ROW($A$11),))-'SDA Tool'!$D$18)*(AS$1-'SDA Tool'!$D$16)/('SDA Tool'!$D$20-'SDA Tool'!$D$16)))/1000,NA())</f>
        <v>#N/A</v>
      </c>
      <c r="AT82" s="54" t="e">
        <f>IFERROR(IF(AT$1&lt;'SDA Tool'!$D$16,NA(),IF(AT$1&gt;'SDA Tool'!$D$20,NA(),'SDA Tool'!$D$18+('SDA Tool'!$D$18*(HLOOKUP('SDA Tool'!$D$20,$D$1:$CL$11,ROW($A$11),)/HLOOKUP('SDA Tool'!$D$16,$D$1:$CL$11,ROW($A$11),))-'SDA Tool'!$D$18)*(AT$1-'SDA Tool'!$D$16)/('SDA Tool'!$D$20-'SDA Tool'!$D$16)))/1000,NA())</f>
        <v>#N/A</v>
      </c>
      <c r="AU82" s="54" t="e">
        <f>IFERROR(IF(AU$1&lt;'SDA Tool'!$D$16,NA(),IF(AU$1&gt;'SDA Tool'!$D$20,NA(),'SDA Tool'!$D$18+('SDA Tool'!$D$18*(HLOOKUP('SDA Tool'!$D$20,$D$1:$CL$11,ROW($A$11),)/HLOOKUP('SDA Tool'!$D$16,$D$1:$CL$11,ROW($A$11),))-'SDA Tool'!$D$18)*(AU$1-'SDA Tool'!$D$16)/('SDA Tool'!$D$20-'SDA Tool'!$D$16)))/1000,NA())</f>
        <v>#N/A</v>
      </c>
      <c r="AV82" s="54" t="e">
        <f>IFERROR(IF(AV$1&lt;'SDA Tool'!$D$16,NA(),IF(AV$1&gt;'SDA Tool'!$D$20,NA(),'SDA Tool'!$D$18+('SDA Tool'!$D$18*(HLOOKUP('SDA Tool'!$D$20,$D$1:$CL$11,ROW($A$11),)/HLOOKUP('SDA Tool'!$D$16,$D$1:$CL$11,ROW($A$11),))-'SDA Tool'!$D$18)*(AV$1-'SDA Tool'!$D$16)/('SDA Tool'!$D$20-'SDA Tool'!$D$16)))/1000,NA())</f>
        <v>#N/A</v>
      </c>
      <c r="AW82" s="54" t="e">
        <f>IFERROR(IF(AW$1&lt;'SDA Tool'!$D$16,NA(),IF(AW$1&gt;'SDA Tool'!$D$20,NA(),'SDA Tool'!$D$18+('SDA Tool'!$D$18*(HLOOKUP('SDA Tool'!$D$20,$D$1:$CL$11,ROW($A$11),)/HLOOKUP('SDA Tool'!$D$16,$D$1:$CL$11,ROW($A$11),))-'SDA Tool'!$D$18)*(AW$1-'SDA Tool'!$D$16)/('SDA Tool'!$D$20-'SDA Tool'!$D$16)))/1000,NA())</f>
        <v>#N/A</v>
      </c>
      <c r="AX82" s="54" t="e">
        <f>IFERROR(IF(AX$1&lt;'SDA Tool'!$D$16,NA(),IF(AX$1&gt;'SDA Tool'!$D$20,NA(),'SDA Tool'!$D$18+('SDA Tool'!$D$18*(HLOOKUP('SDA Tool'!$D$20,$D$1:$CL$11,ROW($A$11),)/HLOOKUP('SDA Tool'!$D$16,$D$1:$CL$11,ROW($A$11),))-'SDA Tool'!$D$18)*(AX$1-'SDA Tool'!$D$16)/('SDA Tool'!$D$20-'SDA Tool'!$D$16)))/1000,NA())</f>
        <v>#N/A</v>
      </c>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row>
    <row r="83" spans="1:91" s="43" customFormat="1" hidden="1" x14ac:dyDescent="0.25">
      <c r="A83" s="43" t="s">
        <v>163</v>
      </c>
      <c r="B83" s="43" t="str">
        <f>"Scope 2 emissions ("&amp;C83&amp;")"</f>
        <v>Scope 2 emissions (MtCO2)</v>
      </c>
      <c r="C83" s="43" t="s">
        <v>138</v>
      </c>
      <c r="D83" s="54" t="e">
        <f>IFERROR(IF(D$1&lt;'SDA Tool'!$D$16,NA(),IF(D$1&gt;'SDA Tool'!$D$20,NA(),'SDA Tool'!$D$19+('SDA Tool'!$D$19*(HLOOKUP('SDA Tool'!$D$20,$D$1:$CL$13,ROW($A$13),)/HLOOKUP('SDA Tool'!$D$16,$D$1:$CL$13,ROW($A$13),))-'SDA Tool'!$D$19)*(D$1-'SDA Tool'!$D$16)/('SDA Tool'!$D$20-'SDA Tool'!$D$16)))/1000,NA())</f>
        <v>#N/A</v>
      </c>
      <c r="E83" s="54" t="e">
        <f>IFERROR(IF(E$1&lt;'SDA Tool'!$D$16,NA(),IF(E$1&gt;'SDA Tool'!$D$20,NA(),'SDA Tool'!$D$19+('SDA Tool'!$D$19*(HLOOKUP('SDA Tool'!$D$20,$D$1:$CL$13,ROW($A$13),)/HLOOKUP('SDA Tool'!$D$16,$D$1:$CL$13,ROW($A$13),))-'SDA Tool'!$D$19)*(E$1-'SDA Tool'!$D$16)/('SDA Tool'!$D$20-'SDA Tool'!$D$16)))/1000,NA())</f>
        <v>#N/A</v>
      </c>
      <c r="F83" s="54" t="e">
        <f>IFERROR(IF(F$1&lt;'SDA Tool'!$D$16,NA(),IF(F$1&gt;'SDA Tool'!$D$20,NA(),'SDA Tool'!$D$19+('SDA Tool'!$D$19*(HLOOKUP('SDA Tool'!$D$20,$D$1:$CL$13,ROW($A$13),)/HLOOKUP('SDA Tool'!$D$16,$D$1:$CL$13,ROW($A$13),))-'SDA Tool'!$D$19)*(F$1-'SDA Tool'!$D$16)/('SDA Tool'!$D$20-'SDA Tool'!$D$16)))/1000,NA())</f>
        <v>#N/A</v>
      </c>
      <c r="G83" s="54" t="e">
        <f>IFERROR(IF(G$1&lt;'SDA Tool'!$D$16,NA(),IF(G$1&gt;'SDA Tool'!$D$20,NA(),'SDA Tool'!$D$19+('SDA Tool'!$D$19*(HLOOKUP('SDA Tool'!$D$20,$D$1:$CL$13,ROW($A$13),)/HLOOKUP('SDA Tool'!$D$16,$D$1:$CL$13,ROW($A$13),))-'SDA Tool'!$D$19)*(G$1-'SDA Tool'!$D$16)/('SDA Tool'!$D$20-'SDA Tool'!$D$16)))/1000,NA())</f>
        <v>#N/A</v>
      </c>
      <c r="H83" s="54" t="e">
        <f>IFERROR(IF(H$1&lt;'SDA Tool'!$D$16,NA(),IF(H$1&gt;'SDA Tool'!$D$20,NA(),'SDA Tool'!$D$19+('SDA Tool'!$D$19*(HLOOKUP('SDA Tool'!$D$20,$D$1:$CL$13,ROW($A$13),)/HLOOKUP('SDA Tool'!$D$16,$D$1:$CL$13,ROW($A$13),))-'SDA Tool'!$D$19)*(H$1-'SDA Tool'!$D$16)/('SDA Tool'!$D$20-'SDA Tool'!$D$16)))/1000,NA())</f>
        <v>#N/A</v>
      </c>
      <c r="I83" s="54" t="e">
        <f>IFERROR(IF(I$1&lt;'SDA Tool'!$D$16,NA(),IF(I$1&gt;'SDA Tool'!$D$20,NA(),'SDA Tool'!$D$19+('SDA Tool'!$D$19*(HLOOKUP('SDA Tool'!$D$20,$D$1:$CL$13,ROW($A$13),)/HLOOKUP('SDA Tool'!$D$16,$D$1:$CL$13,ROW($A$13),))-'SDA Tool'!$D$19)*(I$1-'SDA Tool'!$D$16)/('SDA Tool'!$D$20-'SDA Tool'!$D$16)))/1000,NA())</f>
        <v>#N/A</v>
      </c>
      <c r="J83" s="54">
        <f>IFERROR(IF(J$1&lt;'SDA Tool'!$D$16,NA(),IF(J$1&gt;'SDA Tool'!$D$20,NA(),'SDA Tool'!$D$19+('SDA Tool'!$D$19*(HLOOKUP('SDA Tool'!$D$20,$D$1:$CL$13,ROW($A$13),)/HLOOKUP('SDA Tool'!$D$16,$D$1:$CL$13,ROW($A$13),))-'SDA Tool'!$D$19)*(J$1-'SDA Tool'!$D$16)/('SDA Tool'!$D$20-'SDA Tool'!$D$16)))/1000,NA())</f>
        <v>0.1</v>
      </c>
      <c r="K83" s="54">
        <f>IFERROR(IF(K$1&lt;'SDA Tool'!$D$16,NA(),IF(K$1&gt;'SDA Tool'!$D$20,NA(),'SDA Tool'!$D$19+('SDA Tool'!$D$19*(HLOOKUP('SDA Tool'!$D$20,$D$1:$CL$13,ROW($A$13),)/HLOOKUP('SDA Tool'!$D$16,$D$1:$CL$13,ROW($A$13),))-'SDA Tool'!$D$19)*(K$1-'SDA Tool'!$D$16)/('SDA Tool'!$D$20-'SDA Tool'!$D$16)))/1000,NA())</f>
        <v>9.5965454282103818E-2</v>
      </c>
      <c r="L83" s="54">
        <f>IFERROR(IF(L$1&lt;'SDA Tool'!$D$16,NA(),IF(L$1&gt;'SDA Tool'!$D$20,NA(),'SDA Tool'!$D$19+('SDA Tool'!$D$19*(HLOOKUP('SDA Tool'!$D$20,$D$1:$CL$13,ROW($A$13),)/HLOOKUP('SDA Tool'!$D$16,$D$1:$CL$13,ROW($A$13),))-'SDA Tool'!$D$19)*(L$1-'SDA Tool'!$D$16)/('SDA Tool'!$D$20-'SDA Tool'!$D$16)))/1000,NA())</f>
        <v>9.1930908564207658E-2</v>
      </c>
      <c r="M83" s="54">
        <f>IFERROR(IF(M$1&lt;'SDA Tool'!$D$16,NA(),IF(M$1&gt;'SDA Tool'!$D$20,NA(),'SDA Tool'!$D$19+('SDA Tool'!$D$19*(HLOOKUP('SDA Tool'!$D$20,$D$1:$CL$13,ROW($A$13),)/HLOOKUP('SDA Tool'!$D$16,$D$1:$CL$13,ROW($A$13),))-'SDA Tool'!$D$19)*(M$1-'SDA Tool'!$D$16)/('SDA Tool'!$D$20-'SDA Tool'!$D$16)))/1000,NA())</f>
        <v>8.7896362846311471E-2</v>
      </c>
      <c r="N83" s="54">
        <f>IFERROR(IF(N$1&lt;'SDA Tool'!$D$16,NA(),IF(N$1&gt;'SDA Tool'!$D$20,NA(),'SDA Tool'!$D$19+('SDA Tool'!$D$19*(HLOOKUP('SDA Tool'!$D$20,$D$1:$CL$13,ROW($A$13),)/HLOOKUP('SDA Tool'!$D$16,$D$1:$CL$13,ROW($A$13),))-'SDA Tool'!$D$19)*(N$1-'SDA Tool'!$D$16)/('SDA Tool'!$D$20-'SDA Tool'!$D$16)))/1000,NA())</f>
        <v>8.3861817128415311E-2</v>
      </c>
      <c r="O83" s="54">
        <f>IFERROR(IF(O$1&lt;'SDA Tool'!$D$16,NA(),IF(O$1&gt;'SDA Tool'!$D$20,NA(),'SDA Tool'!$D$19+('SDA Tool'!$D$19*(HLOOKUP('SDA Tool'!$D$20,$D$1:$CL$13,ROW($A$13),)/HLOOKUP('SDA Tool'!$D$16,$D$1:$CL$13,ROW($A$13),))-'SDA Tool'!$D$19)*(O$1-'SDA Tool'!$D$16)/('SDA Tool'!$D$20-'SDA Tool'!$D$16)))/1000,NA())</f>
        <v>7.9827271410519138E-2</v>
      </c>
      <c r="P83" s="54">
        <f>IFERROR(IF(P$1&lt;'SDA Tool'!$D$16,NA(),IF(P$1&gt;'SDA Tool'!$D$20,NA(),'SDA Tool'!$D$19+('SDA Tool'!$D$19*(HLOOKUP('SDA Tool'!$D$20,$D$1:$CL$13,ROW($A$13),)/HLOOKUP('SDA Tool'!$D$16,$D$1:$CL$13,ROW($A$13),))-'SDA Tool'!$D$19)*(P$1-'SDA Tool'!$D$16)/('SDA Tool'!$D$20-'SDA Tool'!$D$16)))/1000,NA())</f>
        <v>7.579272569262295E-2</v>
      </c>
      <c r="Q83" s="54">
        <f>IFERROR(IF(Q$1&lt;'SDA Tool'!$D$16,NA(),IF(Q$1&gt;'SDA Tool'!$D$20,NA(),'SDA Tool'!$D$19+('SDA Tool'!$D$19*(HLOOKUP('SDA Tool'!$D$20,$D$1:$CL$13,ROW($A$13),)/HLOOKUP('SDA Tool'!$D$16,$D$1:$CL$13,ROW($A$13),))-'SDA Tool'!$D$19)*(Q$1-'SDA Tool'!$D$16)/('SDA Tool'!$D$20-'SDA Tool'!$D$16)))/1000,NA())</f>
        <v>7.1758179974726791E-2</v>
      </c>
      <c r="R83" s="54">
        <f>IFERROR(IF(R$1&lt;'SDA Tool'!$D$16,NA(),IF(R$1&gt;'SDA Tool'!$D$20,NA(),'SDA Tool'!$D$19+('SDA Tool'!$D$19*(HLOOKUP('SDA Tool'!$D$20,$D$1:$CL$13,ROW($A$13),)/HLOOKUP('SDA Tool'!$D$16,$D$1:$CL$13,ROW($A$13),))-'SDA Tool'!$D$19)*(R$1-'SDA Tool'!$D$16)/('SDA Tool'!$D$20-'SDA Tool'!$D$16)))/1000,NA())</f>
        <v>6.7723634256830603E-2</v>
      </c>
      <c r="S83" s="54">
        <f>IFERROR(IF(S$1&lt;'SDA Tool'!$D$16,NA(),IF(S$1&gt;'SDA Tool'!$D$20,NA(),'SDA Tool'!$D$19+('SDA Tool'!$D$19*(HLOOKUP('SDA Tool'!$D$20,$D$1:$CL$13,ROW($A$13),)/HLOOKUP('SDA Tool'!$D$16,$D$1:$CL$13,ROW($A$13),))-'SDA Tool'!$D$19)*(S$1-'SDA Tool'!$D$16)/('SDA Tool'!$D$20-'SDA Tool'!$D$16)))/1000,NA())</f>
        <v>6.368908853893443E-2</v>
      </c>
      <c r="T83" s="54">
        <f>IFERROR(IF(T$1&lt;'SDA Tool'!$D$16,NA(),IF(T$1&gt;'SDA Tool'!$D$20,NA(),'SDA Tool'!$D$19+('SDA Tool'!$D$19*(HLOOKUP('SDA Tool'!$D$20,$D$1:$CL$13,ROW($A$13),)/HLOOKUP('SDA Tool'!$D$16,$D$1:$CL$13,ROW($A$13),))-'SDA Tool'!$D$19)*(T$1-'SDA Tool'!$D$16)/('SDA Tool'!$D$20-'SDA Tool'!$D$16)))/1000,NA())</f>
        <v>5.9654542821038263E-2</v>
      </c>
      <c r="U83" s="54" t="e">
        <f>IFERROR(IF(U$1&lt;'SDA Tool'!$D$16,NA(),IF(U$1&gt;'SDA Tool'!$D$20,NA(),'SDA Tool'!$D$19+('SDA Tool'!$D$19*(HLOOKUP('SDA Tool'!$D$20,$D$1:$CL$13,ROW($A$13),)/HLOOKUP('SDA Tool'!$D$16,$D$1:$CL$13,ROW($A$13),))-'SDA Tool'!$D$19)*(U$1-'SDA Tool'!$D$16)/('SDA Tool'!$D$20-'SDA Tool'!$D$16)))/1000,NA())</f>
        <v>#N/A</v>
      </c>
      <c r="V83" s="54" t="e">
        <f>IFERROR(IF(V$1&lt;'SDA Tool'!$D$16,NA(),IF(V$1&gt;'SDA Tool'!$D$20,NA(),'SDA Tool'!$D$19+('SDA Tool'!$D$19*(HLOOKUP('SDA Tool'!$D$20,$D$1:$CL$13,ROW($A$13),)/HLOOKUP('SDA Tool'!$D$16,$D$1:$CL$13,ROW($A$13),))-'SDA Tool'!$D$19)*(V$1-'SDA Tool'!$D$16)/('SDA Tool'!$D$20-'SDA Tool'!$D$16)))/1000,NA())</f>
        <v>#N/A</v>
      </c>
      <c r="W83" s="54" t="e">
        <f>IFERROR(IF(W$1&lt;'SDA Tool'!$D$16,NA(),IF(W$1&gt;'SDA Tool'!$D$20,NA(),'SDA Tool'!$D$19+('SDA Tool'!$D$19*(HLOOKUP('SDA Tool'!$D$20,$D$1:$CL$13,ROW($A$13),)/HLOOKUP('SDA Tool'!$D$16,$D$1:$CL$13,ROW($A$13),))-'SDA Tool'!$D$19)*(W$1-'SDA Tool'!$D$16)/('SDA Tool'!$D$20-'SDA Tool'!$D$16)))/1000,NA())</f>
        <v>#N/A</v>
      </c>
      <c r="X83" s="54" t="e">
        <f>IFERROR(IF(X$1&lt;'SDA Tool'!$D$16,NA(),IF(X$1&gt;'SDA Tool'!$D$20,NA(),'SDA Tool'!$D$19+('SDA Tool'!$D$19*(HLOOKUP('SDA Tool'!$D$20,$D$1:$CL$13,ROW($A$13),)/HLOOKUP('SDA Tool'!$D$16,$D$1:$CL$13,ROW($A$13),))-'SDA Tool'!$D$19)*(X$1-'SDA Tool'!$D$16)/('SDA Tool'!$D$20-'SDA Tool'!$D$16)))/1000,NA())</f>
        <v>#N/A</v>
      </c>
      <c r="Y83" s="54" t="e">
        <f>IFERROR(IF(Y$1&lt;'SDA Tool'!$D$16,NA(),IF(Y$1&gt;'SDA Tool'!$D$20,NA(),'SDA Tool'!$D$19+('SDA Tool'!$D$19*(HLOOKUP('SDA Tool'!$D$20,$D$1:$CL$13,ROW($A$13),)/HLOOKUP('SDA Tool'!$D$16,$D$1:$CL$13,ROW($A$13),))-'SDA Tool'!$D$19)*(Y$1-'SDA Tool'!$D$16)/('SDA Tool'!$D$20-'SDA Tool'!$D$16)))/1000,NA())</f>
        <v>#N/A</v>
      </c>
      <c r="Z83" s="54" t="e">
        <f>IFERROR(IF(Z$1&lt;'SDA Tool'!$D$16,NA(),IF(Z$1&gt;'SDA Tool'!$D$20,NA(),'SDA Tool'!$D$19+('SDA Tool'!$D$19*(HLOOKUP('SDA Tool'!$D$20,$D$1:$CL$13,ROW($A$13),)/HLOOKUP('SDA Tool'!$D$16,$D$1:$CL$13,ROW($A$13),))-'SDA Tool'!$D$19)*(Z$1-'SDA Tool'!$D$16)/('SDA Tool'!$D$20-'SDA Tool'!$D$16)))/1000,NA())</f>
        <v>#N/A</v>
      </c>
      <c r="AA83" s="54" t="e">
        <f>IFERROR(IF(AA$1&lt;'SDA Tool'!$D$16,NA(),IF(AA$1&gt;'SDA Tool'!$D$20,NA(),'SDA Tool'!$D$19+('SDA Tool'!$D$19*(HLOOKUP('SDA Tool'!$D$20,$D$1:$CL$13,ROW($A$13),)/HLOOKUP('SDA Tool'!$D$16,$D$1:$CL$13,ROW($A$13),))-'SDA Tool'!$D$19)*(AA$1-'SDA Tool'!$D$16)/('SDA Tool'!$D$20-'SDA Tool'!$D$16)))/1000,NA())</f>
        <v>#N/A</v>
      </c>
      <c r="AB83" s="54" t="e">
        <f>IFERROR(IF(AB$1&lt;'SDA Tool'!$D$16,NA(),IF(AB$1&gt;'SDA Tool'!$D$20,NA(),'SDA Tool'!$D$19+('SDA Tool'!$D$19*(HLOOKUP('SDA Tool'!$D$20,$D$1:$CL$13,ROW($A$13),)/HLOOKUP('SDA Tool'!$D$16,$D$1:$CL$13,ROW($A$13),))-'SDA Tool'!$D$19)*(AB$1-'SDA Tool'!$D$16)/('SDA Tool'!$D$20-'SDA Tool'!$D$16)))/1000,NA())</f>
        <v>#N/A</v>
      </c>
      <c r="AC83" s="54" t="e">
        <f>IFERROR(IF(AC$1&lt;'SDA Tool'!$D$16,NA(),IF(AC$1&gt;'SDA Tool'!$D$20,NA(),'SDA Tool'!$D$19+('SDA Tool'!$D$19*(HLOOKUP('SDA Tool'!$D$20,$D$1:$CL$13,ROW($A$13),)/HLOOKUP('SDA Tool'!$D$16,$D$1:$CL$13,ROW($A$13),))-'SDA Tool'!$D$19)*(AC$1-'SDA Tool'!$D$16)/('SDA Tool'!$D$20-'SDA Tool'!$D$16)))/1000,NA())</f>
        <v>#N/A</v>
      </c>
      <c r="AD83" s="54" t="e">
        <f>IFERROR(IF(AD$1&lt;'SDA Tool'!$D$16,NA(),IF(AD$1&gt;'SDA Tool'!$D$20,NA(),'SDA Tool'!$D$19+('SDA Tool'!$D$19*(HLOOKUP('SDA Tool'!$D$20,$D$1:$CL$13,ROW($A$13),)/HLOOKUP('SDA Tool'!$D$16,$D$1:$CL$13,ROW($A$13),))-'SDA Tool'!$D$19)*(AD$1-'SDA Tool'!$D$16)/('SDA Tool'!$D$20-'SDA Tool'!$D$16)))/1000,NA())</f>
        <v>#N/A</v>
      </c>
      <c r="AE83" s="54" t="e">
        <f>IFERROR(IF(AE$1&lt;'SDA Tool'!$D$16,NA(),IF(AE$1&gt;'SDA Tool'!$D$20,NA(),'SDA Tool'!$D$19+('SDA Tool'!$D$19*(HLOOKUP('SDA Tool'!$D$20,$D$1:$CL$13,ROW($A$13),)/HLOOKUP('SDA Tool'!$D$16,$D$1:$CL$13,ROW($A$13),))-'SDA Tool'!$D$19)*(AE$1-'SDA Tool'!$D$16)/('SDA Tool'!$D$20-'SDA Tool'!$D$16)))/1000,NA())</f>
        <v>#N/A</v>
      </c>
      <c r="AF83" s="54" t="e">
        <f>IFERROR(IF(AF$1&lt;'SDA Tool'!$D$16,NA(),IF(AF$1&gt;'SDA Tool'!$D$20,NA(),'SDA Tool'!$D$19+('SDA Tool'!$D$19*(HLOOKUP('SDA Tool'!$D$20,$D$1:$CL$13,ROW($A$13),)/HLOOKUP('SDA Tool'!$D$16,$D$1:$CL$13,ROW($A$13),))-'SDA Tool'!$D$19)*(AF$1-'SDA Tool'!$D$16)/('SDA Tool'!$D$20-'SDA Tool'!$D$16)))/1000,NA())</f>
        <v>#N/A</v>
      </c>
      <c r="AG83" s="54" t="e">
        <f>IFERROR(IF(AG$1&lt;'SDA Tool'!$D$16,NA(),IF(AG$1&gt;'SDA Tool'!$D$20,NA(),'SDA Tool'!$D$19+('SDA Tool'!$D$19*(HLOOKUP('SDA Tool'!$D$20,$D$1:$CL$13,ROW($A$13),)/HLOOKUP('SDA Tool'!$D$16,$D$1:$CL$13,ROW($A$13),))-'SDA Tool'!$D$19)*(AG$1-'SDA Tool'!$D$16)/('SDA Tool'!$D$20-'SDA Tool'!$D$16)))/1000,NA())</f>
        <v>#N/A</v>
      </c>
      <c r="AH83" s="54" t="e">
        <f>IFERROR(IF(AH$1&lt;'SDA Tool'!$D$16,NA(),IF(AH$1&gt;'SDA Tool'!$D$20,NA(),'SDA Tool'!$D$19+('SDA Tool'!$D$19*(HLOOKUP('SDA Tool'!$D$20,$D$1:$CL$13,ROW($A$13),)/HLOOKUP('SDA Tool'!$D$16,$D$1:$CL$13,ROW($A$13),))-'SDA Tool'!$D$19)*(AH$1-'SDA Tool'!$D$16)/('SDA Tool'!$D$20-'SDA Tool'!$D$16)))/1000,NA())</f>
        <v>#N/A</v>
      </c>
      <c r="AI83" s="54" t="e">
        <f>IFERROR(IF(AI$1&lt;'SDA Tool'!$D$16,NA(),IF(AI$1&gt;'SDA Tool'!$D$20,NA(),'SDA Tool'!$D$19+('SDA Tool'!$D$19*(HLOOKUP('SDA Tool'!$D$20,$D$1:$CL$13,ROW($A$13),)/HLOOKUP('SDA Tool'!$D$16,$D$1:$CL$13,ROW($A$13),))-'SDA Tool'!$D$19)*(AI$1-'SDA Tool'!$D$16)/('SDA Tool'!$D$20-'SDA Tool'!$D$16)))/1000,NA())</f>
        <v>#N/A</v>
      </c>
      <c r="AJ83" s="54" t="e">
        <f>IFERROR(IF(AJ$1&lt;'SDA Tool'!$D$16,NA(),IF(AJ$1&gt;'SDA Tool'!$D$20,NA(),'SDA Tool'!$D$19+('SDA Tool'!$D$19*(HLOOKUP('SDA Tool'!$D$20,$D$1:$CL$13,ROW($A$13),)/HLOOKUP('SDA Tool'!$D$16,$D$1:$CL$13,ROW($A$13),))-'SDA Tool'!$D$19)*(AJ$1-'SDA Tool'!$D$16)/('SDA Tool'!$D$20-'SDA Tool'!$D$16)))/1000,NA())</f>
        <v>#N/A</v>
      </c>
      <c r="AK83" s="54" t="e">
        <f>IFERROR(IF(AK$1&lt;'SDA Tool'!$D$16,NA(),IF(AK$1&gt;'SDA Tool'!$D$20,NA(),'SDA Tool'!$D$19+('SDA Tool'!$D$19*(HLOOKUP('SDA Tool'!$D$20,$D$1:$CL$13,ROW($A$13),)/HLOOKUP('SDA Tool'!$D$16,$D$1:$CL$13,ROW($A$13),))-'SDA Tool'!$D$19)*(AK$1-'SDA Tool'!$D$16)/('SDA Tool'!$D$20-'SDA Tool'!$D$16)))/1000,NA())</f>
        <v>#N/A</v>
      </c>
      <c r="AL83" s="54" t="e">
        <f>IFERROR(IF(AL$1&lt;'SDA Tool'!$D$16,NA(),IF(AL$1&gt;'SDA Tool'!$D$20,NA(),'SDA Tool'!$D$19+('SDA Tool'!$D$19*(HLOOKUP('SDA Tool'!$D$20,$D$1:$CL$13,ROW($A$13),)/HLOOKUP('SDA Tool'!$D$16,$D$1:$CL$13,ROW($A$13),))-'SDA Tool'!$D$19)*(AL$1-'SDA Tool'!$D$16)/('SDA Tool'!$D$20-'SDA Tool'!$D$16)))/1000,NA())</f>
        <v>#N/A</v>
      </c>
      <c r="AM83" s="54" t="e">
        <f>IFERROR(IF(AM$1&lt;'SDA Tool'!$D$16,NA(),IF(AM$1&gt;'SDA Tool'!$D$20,NA(),'SDA Tool'!$D$19+('SDA Tool'!$D$19*(HLOOKUP('SDA Tool'!$D$20,$D$1:$CL$13,ROW($A$13),)/HLOOKUP('SDA Tool'!$D$16,$D$1:$CL$13,ROW($A$13),))-'SDA Tool'!$D$19)*(AM$1-'SDA Tool'!$D$16)/('SDA Tool'!$D$20-'SDA Tool'!$D$16)))/1000,NA())</f>
        <v>#N/A</v>
      </c>
      <c r="AN83" s="54" t="e">
        <f>IFERROR(IF(AN$1&lt;'SDA Tool'!$D$16,NA(),IF(AN$1&gt;'SDA Tool'!$D$20,NA(),'SDA Tool'!$D$19+('SDA Tool'!$D$19*(HLOOKUP('SDA Tool'!$D$20,$D$1:$CL$13,ROW($A$13),)/HLOOKUP('SDA Tool'!$D$16,$D$1:$CL$13,ROW($A$13),))-'SDA Tool'!$D$19)*(AN$1-'SDA Tool'!$D$16)/('SDA Tool'!$D$20-'SDA Tool'!$D$16)))/1000,NA())</f>
        <v>#N/A</v>
      </c>
      <c r="AO83" s="54" t="e">
        <f>IFERROR(IF(AO$1&lt;'SDA Tool'!$D$16,NA(),IF(AO$1&gt;'SDA Tool'!$D$20,NA(),'SDA Tool'!$D$19+('SDA Tool'!$D$19*(HLOOKUP('SDA Tool'!$D$20,$D$1:$CL$13,ROW($A$13),)/HLOOKUP('SDA Tool'!$D$16,$D$1:$CL$13,ROW($A$13),))-'SDA Tool'!$D$19)*(AO$1-'SDA Tool'!$D$16)/('SDA Tool'!$D$20-'SDA Tool'!$D$16)))/1000,NA())</f>
        <v>#N/A</v>
      </c>
      <c r="AP83" s="54" t="e">
        <f>IFERROR(IF(AP$1&lt;'SDA Tool'!$D$16,NA(),IF(AP$1&gt;'SDA Tool'!$D$20,NA(),'SDA Tool'!$D$19+('SDA Tool'!$D$19*(HLOOKUP('SDA Tool'!$D$20,$D$1:$CL$13,ROW($A$13),)/HLOOKUP('SDA Tool'!$D$16,$D$1:$CL$13,ROW($A$13),))-'SDA Tool'!$D$19)*(AP$1-'SDA Tool'!$D$16)/('SDA Tool'!$D$20-'SDA Tool'!$D$16)))/1000,NA())</f>
        <v>#N/A</v>
      </c>
      <c r="AQ83" s="54" t="e">
        <f>IFERROR(IF(AQ$1&lt;'SDA Tool'!$D$16,NA(),IF(AQ$1&gt;'SDA Tool'!$D$20,NA(),'SDA Tool'!$D$19+('SDA Tool'!$D$19*(HLOOKUP('SDA Tool'!$D$20,$D$1:$CL$13,ROW($A$13),)/HLOOKUP('SDA Tool'!$D$16,$D$1:$CL$13,ROW($A$13),))-'SDA Tool'!$D$19)*(AQ$1-'SDA Tool'!$D$16)/('SDA Tool'!$D$20-'SDA Tool'!$D$16)))/1000,NA())</f>
        <v>#N/A</v>
      </c>
      <c r="AR83" s="54" t="e">
        <f>IFERROR(IF(AR$1&lt;'SDA Tool'!$D$16,NA(),IF(AR$1&gt;'SDA Tool'!$D$20,NA(),'SDA Tool'!$D$19+('SDA Tool'!$D$19*(HLOOKUP('SDA Tool'!$D$20,$D$1:$CL$13,ROW($A$13),)/HLOOKUP('SDA Tool'!$D$16,$D$1:$CL$13,ROW($A$13),))-'SDA Tool'!$D$19)*(AR$1-'SDA Tool'!$D$16)/('SDA Tool'!$D$20-'SDA Tool'!$D$16)))/1000,NA())</f>
        <v>#N/A</v>
      </c>
      <c r="AS83" s="54" t="e">
        <f>IFERROR(IF(AS$1&lt;'SDA Tool'!$D$16,NA(),IF(AS$1&gt;'SDA Tool'!$D$20,NA(),'SDA Tool'!$D$19+('SDA Tool'!$D$19*(HLOOKUP('SDA Tool'!$D$20,$D$1:$CL$13,ROW($A$13),)/HLOOKUP('SDA Tool'!$D$16,$D$1:$CL$13,ROW($A$13),))-'SDA Tool'!$D$19)*(AS$1-'SDA Tool'!$D$16)/('SDA Tool'!$D$20-'SDA Tool'!$D$16)))/1000,NA())</f>
        <v>#N/A</v>
      </c>
      <c r="AT83" s="54" t="e">
        <f>IFERROR(IF(AT$1&lt;'SDA Tool'!$D$16,NA(),IF(AT$1&gt;'SDA Tool'!$D$20,NA(),'SDA Tool'!$D$19+('SDA Tool'!$D$19*(HLOOKUP('SDA Tool'!$D$20,$D$1:$CL$13,ROW($A$13),)/HLOOKUP('SDA Tool'!$D$16,$D$1:$CL$13,ROW($A$13),))-'SDA Tool'!$D$19)*(AT$1-'SDA Tool'!$D$16)/('SDA Tool'!$D$20-'SDA Tool'!$D$16)))/1000,NA())</f>
        <v>#N/A</v>
      </c>
      <c r="AU83" s="54" t="e">
        <f>IFERROR(IF(AU$1&lt;'SDA Tool'!$D$16,NA(),IF(AU$1&gt;'SDA Tool'!$D$20,NA(),'SDA Tool'!$D$19+('SDA Tool'!$D$19*(HLOOKUP('SDA Tool'!$D$20,$D$1:$CL$13,ROW($A$13),)/HLOOKUP('SDA Tool'!$D$16,$D$1:$CL$13,ROW($A$13),))-'SDA Tool'!$D$19)*(AU$1-'SDA Tool'!$D$16)/('SDA Tool'!$D$20-'SDA Tool'!$D$16)))/1000,NA())</f>
        <v>#N/A</v>
      </c>
      <c r="AV83" s="54" t="e">
        <f>IFERROR(IF(AV$1&lt;'SDA Tool'!$D$16,NA(),IF(AV$1&gt;'SDA Tool'!$D$20,NA(),'SDA Tool'!$D$19+('SDA Tool'!$D$19*(HLOOKUP('SDA Tool'!$D$20,$D$1:$CL$13,ROW($A$13),)/HLOOKUP('SDA Tool'!$D$16,$D$1:$CL$13,ROW($A$13),))-'SDA Tool'!$D$19)*(AV$1-'SDA Tool'!$D$16)/('SDA Tool'!$D$20-'SDA Tool'!$D$16)))/1000,NA())</f>
        <v>#N/A</v>
      </c>
      <c r="AW83" s="54" t="e">
        <f>IFERROR(IF(AW$1&lt;'SDA Tool'!$D$16,NA(),IF(AW$1&gt;'SDA Tool'!$D$20,NA(),'SDA Tool'!$D$19+('SDA Tool'!$D$19*(HLOOKUP('SDA Tool'!$D$20,$D$1:$CL$13,ROW($A$13),)/HLOOKUP('SDA Tool'!$D$16,$D$1:$CL$13,ROW($A$13),))-'SDA Tool'!$D$19)*(AW$1-'SDA Tool'!$D$16)/('SDA Tool'!$D$20-'SDA Tool'!$D$16)))/1000,NA())</f>
        <v>#N/A</v>
      </c>
      <c r="AX83" s="54" t="e">
        <f>IFERROR(IF(AX$1&lt;'SDA Tool'!$D$16,NA(),IF(AX$1&gt;'SDA Tool'!$D$20,NA(),'SDA Tool'!$D$19+('SDA Tool'!$D$19*(HLOOKUP('SDA Tool'!$D$20,$D$1:$CL$13,ROW($A$13),)/HLOOKUP('SDA Tool'!$D$16,$D$1:$CL$13,ROW($A$13),))-'SDA Tool'!$D$19)*(AX$1-'SDA Tool'!$D$16)/('SDA Tool'!$D$20-'SDA Tool'!$D$16)))/1000,NA())</f>
        <v>#N/A</v>
      </c>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row>
    <row r="84" spans="1:91" s="43" customFormat="1" hidden="1" x14ac:dyDescent="0.25">
      <c r="A84" s="43" t="s">
        <v>159</v>
      </c>
      <c r="B84" s="43" t="str">
        <f>IF(OR('SDA Tool'!$D$15=Lists!$B$26,'SDA Tool'!$D$15=Lists!$B$27,'SDA Tool'!$D$15=Lists!$B$28),"Scope 3 emissions intensity ("&amp;C84&amp;")","Scope 1 emissions intensity ("&amp;C84&amp;")")</f>
        <v>Scope 1 emissions intensity (tCO2/t)</v>
      </c>
      <c r="C84" s="43" t="str">
        <f>INDEX(Lists!$E$2:$E$50,MATCH('SDA Tool'!$D$15,Lists!$B$2:$B$50,0))</f>
        <v>tCO2/t</v>
      </c>
      <c r="D84" s="54" t="e">
        <f>IFERROR(D82*INDEX(Lists!$F$2:$F$50,MATCH('SDA Tool'!$D$15,Lists!$B$2:$B$50,0))*1000/D$34,NA())</f>
        <v>#N/A</v>
      </c>
      <c r="E84" s="54" t="e">
        <f>IFERROR(E82*INDEX(Lists!$F$2:$F$50,MATCH('SDA Tool'!$D$15,Lists!$B$2:$B$50,0))*1000/E$34,NA())</f>
        <v>#N/A</v>
      </c>
      <c r="F84" s="54" t="e">
        <f>IFERROR(F82*INDEX(Lists!$F$2:$F$50,MATCH('SDA Tool'!$D$15,Lists!$B$2:$B$50,0))*1000/F$34,NA())</f>
        <v>#N/A</v>
      </c>
      <c r="G84" s="54" t="e">
        <f>IFERROR(G82*INDEX(Lists!$F$2:$F$50,MATCH('SDA Tool'!$D$15,Lists!$B$2:$B$50,0))*1000/G$34,NA())</f>
        <v>#N/A</v>
      </c>
      <c r="H84" s="54" t="e">
        <f>IFERROR(H82*INDEX(Lists!$F$2:$F$50,MATCH('SDA Tool'!$D$15,Lists!$B$2:$B$50,0))*1000/H$34,NA())</f>
        <v>#N/A</v>
      </c>
      <c r="I84" s="54" t="e">
        <f>IFERROR(I82*INDEX(Lists!$F$2:$F$50,MATCH('SDA Tool'!$D$15,Lists!$B$2:$B$50,0))*1000/I$34,NA())</f>
        <v>#N/A</v>
      </c>
      <c r="J84" s="54">
        <f>IFERROR(J82*INDEX(Lists!$F$2:$F$50,MATCH('SDA Tool'!$D$15,Lists!$B$2:$B$50,0))*1000/J$34,NA())</f>
        <v>0.2</v>
      </c>
      <c r="K84" s="54">
        <f>IFERROR(K82*INDEX(Lists!$F$2:$F$50,MATCH('SDA Tool'!$D$15,Lists!$B$2:$B$50,0))*1000/K$34,NA())</f>
        <v>0.19302436125965539</v>
      </c>
      <c r="L84" s="54">
        <f>IFERROR(L82*INDEX(Lists!$F$2:$F$50,MATCH('SDA Tool'!$D$15,Lists!$B$2:$B$50,0))*1000/L$34,NA())</f>
        <v>0.18619635508524396</v>
      </c>
      <c r="M84" s="54">
        <f>IFERROR(M82*INDEX(Lists!$F$2:$F$50,MATCH('SDA Tool'!$D$15,Lists!$B$2:$B$50,0))*1000/M$34,NA())</f>
        <v>0.17951134380453757</v>
      </c>
      <c r="N84" s="54">
        <f>IFERROR(N82*INDEX(Lists!$F$2:$F$50,MATCH('SDA Tool'!$D$15,Lists!$B$2:$B$50,0))*1000/N$34,NA())</f>
        <v>0.17296488198042601</v>
      </c>
      <c r="O84" s="54">
        <f>IFERROR(O82*INDEX(Lists!$F$2:$F$50,MATCH('SDA Tool'!$D$15,Lists!$B$2:$B$50,0))*1000/O$34,NA())</f>
        <v>0.16655270655270657</v>
      </c>
      <c r="P84" s="54">
        <f>IFERROR(P82*INDEX(Lists!$F$2:$F$50,MATCH('SDA Tool'!$D$15,Lists!$B$2:$B$50,0))*1000/P$34,NA())</f>
        <v>0.16027072758037225</v>
      </c>
      <c r="Q84" s="54">
        <f>IFERROR(Q82*INDEX(Lists!$F$2:$F$50,MATCH('SDA Tool'!$D$15,Lists!$B$2:$B$50,0))*1000/Q$34,NA())</f>
        <v>0.15411501954215523</v>
      </c>
      <c r="R84" s="54">
        <f>IFERROR(R82*INDEX(Lists!$F$2:$F$50,MATCH('SDA Tool'!$D$15,Lists!$B$2:$B$50,0))*1000/R$34,NA())</f>
        <v>0.14808181315644003</v>
      </c>
      <c r="S84" s="54">
        <f>IFERROR(S82*INDEX(Lists!$F$2:$F$50,MATCH('SDA Tool'!$D$15,Lists!$B$2:$B$50,0))*1000/S$34,NA())</f>
        <v>0.14216748768472906</v>
      </c>
      <c r="T84" s="54">
        <f>IFERROR(T82*INDEX(Lists!$F$2:$F$50,MATCH('SDA Tool'!$D$15,Lists!$B$2:$B$50,0))*1000/T$34,NA())</f>
        <v>0.13636856368563685</v>
      </c>
      <c r="U84" s="54" t="e">
        <f>IFERROR(U82*INDEX(Lists!$F$2:$F$50,MATCH('SDA Tool'!$D$15,Lists!$B$2:$B$50,0))*1000/U$34,NA())</f>
        <v>#N/A</v>
      </c>
      <c r="V84" s="54" t="e">
        <f>IFERROR(V82*INDEX(Lists!$F$2:$F$50,MATCH('SDA Tool'!$D$15,Lists!$B$2:$B$50,0))*1000/V$34,NA())</f>
        <v>#N/A</v>
      </c>
      <c r="W84" s="54" t="e">
        <f>IFERROR(W82*INDEX(Lists!$F$2:$F$50,MATCH('SDA Tool'!$D$15,Lists!$B$2:$B$50,0))*1000/W$34,NA())</f>
        <v>#N/A</v>
      </c>
      <c r="X84" s="54" t="e">
        <f>IFERROR(X82*INDEX(Lists!$F$2:$F$50,MATCH('SDA Tool'!$D$15,Lists!$B$2:$B$50,0))*1000/X$34,NA())</f>
        <v>#N/A</v>
      </c>
      <c r="Y84" s="54" t="e">
        <f>IFERROR(Y82*INDEX(Lists!$F$2:$F$50,MATCH('SDA Tool'!$D$15,Lists!$B$2:$B$50,0))*1000/Y$34,NA())</f>
        <v>#N/A</v>
      </c>
      <c r="Z84" s="54" t="e">
        <f>IFERROR(Z82*INDEX(Lists!$F$2:$F$50,MATCH('SDA Tool'!$D$15,Lists!$B$2:$B$50,0))*1000/Z$34,NA())</f>
        <v>#N/A</v>
      </c>
      <c r="AA84" s="54" t="e">
        <f>IFERROR(AA82*INDEX(Lists!$F$2:$F$50,MATCH('SDA Tool'!$D$15,Lists!$B$2:$B$50,0))*1000/AA$34,NA())</f>
        <v>#N/A</v>
      </c>
      <c r="AB84" s="54" t="e">
        <f>IFERROR(AB82*INDEX(Lists!$F$2:$F$50,MATCH('SDA Tool'!$D$15,Lists!$B$2:$B$50,0))*1000/AB$34,NA())</f>
        <v>#N/A</v>
      </c>
      <c r="AC84" s="54" t="e">
        <f>IFERROR(AC82*INDEX(Lists!$F$2:$F$50,MATCH('SDA Tool'!$D$15,Lists!$B$2:$B$50,0))*1000/AC$34,NA())</f>
        <v>#N/A</v>
      </c>
      <c r="AD84" s="54" t="e">
        <f>IFERROR(AD82*INDEX(Lists!$F$2:$F$50,MATCH('SDA Tool'!$D$15,Lists!$B$2:$B$50,0))*1000/AD$34,NA())</f>
        <v>#N/A</v>
      </c>
      <c r="AE84" s="54" t="e">
        <f>IFERROR(AE82*INDEX(Lists!$F$2:$F$50,MATCH('SDA Tool'!$D$15,Lists!$B$2:$B$50,0))*1000/AE$34,NA())</f>
        <v>#N/A</v>
      </c>
      <c r="AF84" s="54" t="e">
        <f>IFERROR(AF82*INDEX(Lists!$F$2:$F$50,MATCH('SDA Tool'!$D$15,Lists!$B$2:$B$50,0))*1000/AF$34,NA())</f>
        <v>#N/A</v>
      </c>
      <c r="AG84" s="54" t="e">
        <f>IFERROR(AG82*INDEX(Lists!$F$2:$F$50,MATCH('SDA Tool'!$D$15,Lists!$B$2:$B$50,0))*1000/AG$34,NA())</f>
        <v>#N/A</v>
      </c>
      <c r="AH84" s="54" t="e">
        <f>IFERROR(AH82*INDEX(Lists!$F$2:$F$50,MATCH('SDA Tool'!$D$15,Lists!$B$2:$B$50,0))*1000/AH$34,NA())</f>
        <v>#N/A</v>
      </c>
      <c r="AI84" s="54" t="e">
        <f>IFERROR(AI82*INDEX(Lists!$F$2:$F$50,MATCH('SDA Tool'!$D$15,Lists!$B$2:$B$50,0))*1000/AI$34,NA())</f>
        <v>#N/A</v>
      </c>
      <c r="AJ84" s="54" t="e">
        <f>IFERROR(AJ82*INDEX(Lists!$F$2:$F$50,MATCH('SDA Tool'!$D$15,Lists!$B$2:$B$50,0))*1000/AJ$34,NA())</f>
        <v>#N/A</v>
      </c>
      <c r="AK84" s="54" t="e">
        <f>IFERROR(AK82*INDEX(Lists!$F$2:$F$50,MATCH('SDA Tool'!$D$15,Lists!$B$2:$B$50,0))*1000/AK$34,NA())</f>
        <v>#N/A</v>
      </c>
      <c r="AL84" s="54" t="e">
        <f>IFERROR(AL82*INDEX(Lists!$F$2:$F$50,MATCH('SDA Tool'!$D$15,Lists!$B$2:$B$50,0))*1000/AL$34,NA())</f>
        <v>#N/A</v>
      </c>
      <c r="AM84" s="54" t="e">
        <f>IFERROR(AM82*INDEX(Lists!$F$2:$F$50,MATCH('SDA Tool'!$D$15,Lists!$B$2:$B$50,0))*1000/AM$34,NA())</f>
        <v>#N/A</v>
      </c>
      <c r="AN84" s="54" t="e">
        <f>IFERROR(AN82*INDEX(Lists!$F$2:$F$50,MATCH('SDA Tool'!$D$15,Lists!$B$2:$B$50,0))*1000/AN$34,NA())</f>
        <v>#N/A</v>
      </c>
      <c r="AO84" s="54" t="e">
        <f>IFERROR(AO82*INDEX(Lists!$F$2:$F$50,MATCH('SDA Tool'!$D$15,Lists!$B$2:$B$50,0))*1000/AO$34,NA())</f>
        <v>#N/A</v>
      </c>
      <c r="AP84" s="54" t="e">
        <f>IFERROR(AP82*INDEX(Lists!$F$2:$F$50,MATCH('SDA Tool'!$D$15,Lists!$B$2:$B$50,0))*1000/AP$34,NA())</f>
        <v>#N/A</v>
      </c>
      <c r="AQ84" s="54" t="e">
        <f>IFERROR(AQ82*INDEX(Lists!$F$2:$F$50,MATCH('SDA Tool'!$D$15,Lists!$B$2:$B$50,0))*1000/AQ$34,NA())</f>
        <v>#N/A</v>
      </c>
      <c r="AR84" s="54" t="e">
        <f>IFERROR(AR82*INDEX(Lists!$F$2:$F$50,MATCH('SDA Tool'!$D$15,Lists!$B$2:$B$50,0))*1000/AR$34,NA())</f>
        <v>#N/A</v>
      </c>
      <c r="AS84" s="54" t="e">
        <f>IFERROR(AS82*INDEX(Lists!$F$2:$F$50,MATCH('SDA Tool'!$D$15,Lists!$B$2:$B$50,0))*1000/AS$34,NA())</f>
        <v>#N/A</v>
      </c>
      <c r="AT84" s="54" t="e">
        <f>IFERROR(AT82*INDEX(Lists!$F$2:$F$50,MATCH('SDA Tool'!$D$15,Lists!$B$2:$B$50,0))*1000/AT$34,NA())</f>
        <v>#N/A</v>
      </c>
      <c r="AU84" s="54" t="e">
        <f>IFERROR(AU82*INDEX(Lists!$F$2:$F$50,MATCH('SDA Tool'!$D$15,Lists!$B$2:$B$50,0))*1000/AU$34,NA())</f>
        <v>#N/A</v>
      </c>
      <c r="AV84" s="54" t="e">
        <f>IFERROR(AV82*INDEX(Lists!$F$2:$F$50,MATCH('SDA Tool'!$D$15,Lists!$B$2:$B$50,0))*1000/AV$34,NA())</f>
        <v>#N/A</v>
      </c>
      <c r="AW84" s="54" t="e">
        <f>IFERROR(AW82*INDEX(Lists!$F$2:$F$50,MATCH('SDA Tool'!$D$15,Lists!$B$2:$B$50,0))*1000/AW$34,NA())</f>
        <v>#N/A</v>
      </c>
      <c r="AX84" s="54" t="e">
        <f>IFERROR(AX82*INDEX(Lists!$F$2:$F$50,MATCH('SDA Tool'!$D$15,Lists!$B$2:$B$50,0))*1000/AX$34,NA())</f>
        <v>#N/A</v>
      </c>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row>
    <row r="85" spans="1:91" s="43" customFormat="1" hidden="1" x14ac:dyDescent="0.25">
      <c r="A85" s="43" t="s">
        <v>162</v>
      </c>
      <c r="B85" s="43" t="str">
        <f>"Scope 2 emissions intensity ("&amp;C85&amp;")"</f>
        <v>Scope 2 emissions intensity (tCO2/t)</v>
      </c>
      <c r="C85" s="43" t="str">
        <f>INDEX(Lists!$E$2:$E$50,MATCH('SDA Tool'!$D$15,Lists!$B$2:$B$50,0))</f>
        <v>tCO2/t</v>
      </c>
      <c r="D85" s="54" t="e">
        <f>IFERROR(D83*INDEX(Lists!$F$2:$F$50,MATCH('SDA Tool'!$D$15,Lists!$B$2:$B$50,0))*1000/D$34,NA())</f>
        <v>#N/A</v>
      </c>
      <c r="E85" s="54" t="e">
        <f>IFERROR(E83*INDEX(Lists!$F$2:$F$50,MATCH('SDA Tool'!$D$15,Lists!$B$2:$B$50,0))*1000/E$34,NA())</f>
        <v>#N/A</v>
      </c>
      <c r="F85" s="54" t="e">
        <f>IFERROR(F83*INDEX(Lists!$F$2:$F$50,MATCH('SDA Tool'!$D$15,Lists!$B$2:$B$50,0))*1000/F$34,NA())</f>
        <v>#N/A</v>
      </c>
      <c r="G85" s="54" t="e">
        <f>IFERROR(G83*INDEX(Lists!$F$2:$F$50,MATCH('SDA Tool'!$D$15,Lists!$B$2:$B$50,0))*1000/G$34,NA())</f>
        <v>#N/A</v>
      </c>
      <c r="H85" s="54" t="e">
        <f>IFERROR(H83*INDEX(Lists!$F$2:$F$50,MATCH('SDA Tool'!$D$15,Lists!$B$2:$B$50,0))*1000/H$34,NA())</f>
        <v>#N/A</v>
      </c>
      <c r="I85" s="54" t="e">
        <f>IFERROR(I83*INDEX(Lists!$F$2:$F$50,MATCH('SDA Tool'!$D$15,Lists!$B$2:$B$50,0))*1000/I$34,NA())</f>
        <v>#N/A</v>
      </c>
      <c r="J85" s="54">
        <f>IFERROR(J83*INDEX(Lists!$F$2:$F$50,MATCH('SDA Tool'!$D$15,Lists!$B$2:$B$50,0))*1000/J$34,NA())</f>
        <v>0.1</v>
      </c>
      <c r="K85" s="54">
        <f>IFERROR(K83*INDEX(Lists!$F$2:$F$50,MATCH('SDA Tool'!$D$15,Lists!$B$2:$B$50,0))*1000/K$34,NA())</f>
        <v>9.4939085787108066E-2</v>
      </c>
      <c r="L85" s="54">
        <f>IFERROR(L83*INDEX(Lists!$F$2:$F$50,MATCH('SDA Tool'!$D$15,Lists!$B$2:$B$50,0))*1000/L$34,NA())</f>
        <v>8.9985280869727069E-2</v>
      </c>
      <c r="M85" s="54">
        <f>IFERROR(M83*INDEX(Lists!$F$2:$F$50,MATCH('SDA Tool'!$D$15,Lists!$B$2:$B$50,0))*1000/M$34,NA())</f>
        <v>8.5135220557945687E-2</v>
      </c>
      <c r="N85" s="54">
        <f>IFERROR(N83*INDEX(Lists!$F$2:$F$50,MATCH('SDA Tool'!$D$15,Lists!$B$2:$B$50,0))*1000/N$34,NA())</f>
        <v>8.0385679630864404E-2</v>
      </c>
      <c r="O85" s="54">
        <f>IFERROR(O83*INDEX(Lists!$F$2:$F$50,MATCH('SDA Tool'!$D$15,Lists!$B$2:$B$50,0))*1000/O$34,NA())</f>
        <v>7.5733565184338672E-2</v>
      </c>
      <c r="P85" s="54">
        <f>IFERROR(P83*INDEX(Lists!$F$2:$F$50,MATCH('SDA Tool'!$D$15,Lists!$B$2:$B$50,0))*1000/P$34,NA())</f>
        <v>7.1175909914392113E-2</v>
      </c>
      <c r="Q85" s="54">
        <f>IFERROR(Q83*INDEX(Lists!$F$2:$F$50,MATCH('SDA Tool'!$D$15,Lists!$B$2:$B$50,0))*1000/Q$34,NA())</f>
        <v>6.6709865805650539E-2</v>
      </c>
      <c r="R85" s="54">
        <f>IFERROR(R83*INDEX(Lists!$F$2:$F$50,MATCH('SDA Tool'!$D$15,Lists!$B$2:$B$50,0))*1000/R$34,NA())</f>
        <v>6.2332698196585386E-2</v>
      </c>
      <c r="S85" s="54">
        <f>IFERROR(S83*INDEX(Lists!$F$2:$F$50,MATCH('SDA Tool'!$D$15,Lists!$B$2:$B$50,0))*1000/S$34,NA())</f>
        <v>5.8041780195580636E-2</v>
      </c>
      <c r="T85" s="54">
        <f>IFERROR(T83*INDEX(Lists!$F$2:$F$50,MATCH('SDA Tool'!$D$15,Lists!$B$2:$B$50,0))*1000/T$34,NA())</f>
        <v>5.3834587423863794E-2</v>
      </c>
      <c r="U85" s="54" t="e">
        <f>IFERROR(U83*INDEX(Lists!$F$2:$F$50,MATCH('SDA Tool'!$D$15,Lists!$B$2:$B$50,0))*1000/U$34,NA())</f>
        <v>#N/A</v>
      </c>
      <c r="V85" s="54" t="e">
        <f>IFERROR(V83*INDEX(Lists!$F$2:$F$50,MATCH('SDA Tool'!$D$15,Lists!$B$2:$B$50,0))*1000/V$34,NA())</f>
        <v>#N/A</v>
      </c>
      <c r="W85" s="54" t="e">
        <f>IFERROR(W83*INDEX(Lists!$F$2:$F$50,MATCH('SDA Tool'!$D$15,Lists!$B$2:$B$50,0))*1000/W$34,NA())</f>
        <v>#N/A</v>
      </c>
      <c r="X85" s="54" t="e">
        <f>IFERROR(X83*INDEX(Lists!$F$2:$F$50,MATCH('SDA Tool'!$D$15,Lists!$B$2:$B$50,0))*1000/X$34,NA())</f>
        <v>#N/A</v>
      </c>
      <c r="Y85" s="54" t="e">
        <f>IFERROR(Y83*INDEX(Lists!$F$2:$F$50,MATCH('SDA Tool'!$D$15,Lists!$B$2:$B$50,0))*1000/Y$34,NA())</f>
        <v>#N/A</v>
      </c>
      <c r="Z85" s="54" t="e">
        <f>IFERROR(Z83*INDEX(Lists!$F$2:$F$50,MATCH('SDA Tool'!$D$15,Lists!$B$2:$B$50,0))*1000/Z$34,NA())</f>
        <v>#N/A</v>
      </c>
      <c r="AA85" s="54" t="e">
        <f>IFERROR(AA83*INDEX(Lists!$F$2:$F$50,MATCH('SDA Tool'!$D$15,Lists!$B$2:$B$50,0))*1000/AA$34,NA())</f>
        <v>#N/A</v>
      </c>
      <c r="AB85" s="54" t="e">
        <f>IFERROR(AB83*INDEX(Lists!$F$2:$F$50,MATCH('SDA Tool'!$D$15,Lists!$B$2:$B$50,0))*1000/AB$34,NA())</f>
        <v>#N/A</v>
      </c>
      <c r="AC85" s="54" t="e">
        <f>IFERROR(AC83*INDEX(Lists!$F$2:$F$50,MATCH('SDA Tool'!$D$15,Lists!$B$2:$B$50,0))*1000/AC$34,NA())</f>
        <v>#N/A</v>
      </c>
      <c r="AD85" s="54" t="e">
        <f>IFERROR(AD83*INDEX(Lists!$F$2:$F$50,MATCH('SDA Tool'!$D$15,Lists!$B$2:$B$50,0))*1000/AD$34,NA())</f>
        <v>#N/A</v>
      </c>
      <c r="AE85" s="54" t="e">
        <f>IFERROR(AE83*INDEX(Lists!$F$2:$F$50,MATCH('SDA Tool'!$D$15,Lists!$B$2:$B$50,0))*1000/AE$34,NA())</f>
        <v>#N/A</v>
      </c>
      <c r="AF85" s="54" t="e">
        <f>IFERROR(AF83*INDEX(Lists!$F$2:$F$50,MATCH('SDA Tool'!$D$15,Lists!$B$2:$B$50,0))*1000/AF$34,NA())</f>
        <v>#N/A</v>
      </c>
      <c r="AG85" s="54" t="e">
        <f>IFERROR(AG83*INDEX(Lists!$F$2:$F$50,MATCH('SDA Tool'!$D$15,Lists!$B$2:$B$50,0))*1000/AG$34,NA())</f>
        <v>#N/A</v>
      </c>
      <c r="AH85" s="54" t="e">
        <f>IFERROR(AH83*INDEX(Lists!$F$2:$F$50,MATCH('SDA Tool'!$D$15,Lists!$B$2:$B$50,0))*1000/AH$34,NA())</f>
        <v>#N/A</v>
      </c>
      <c r="AI85" s="54" t="e">
        <f>IFERROR(AI83*INDEX(Lists!$F$2:$F$50,MATCH('SDA Tool'!$D$15,Lists!$B$2:$B$50,0))*1000/AI$34,NA())</f>
        <v>#N/A</v>
      </c>
      <c r="AJ85" s="54" t="e">
        <f>IFERROR(AJ83*INDEX(Lists!$F$2:$F$50,MATCH('SDA Tool'!$D$15,Lists!$B$2:$B$50,0))*1000/AJ$34,NA())</f>
        <v>#N/A</v>
      </c>
      <c r="AK85" s="54" t="e">
        <f>IFERROR(AK83*INDEX(Lists!$F$2:$F$50,MATCH('SDA Tool'!$D$15,Lists!$B$2:$B$50,0))*1000/AK$34,NA())</f>
        <v>#N/A</v>
      </c>
      <c r="AL85" s="54" t="e">
        <f>IFERROR(AL83*INDEX(Lists!$F$2:$F$50,MATCH('SDA Tool'!$D$15,Lists!$B$2:$B$50,0))*1000/AL$34,NA())</f>
        <v>#N/A</v>
      </c>
      <c r="AM85" s="54" t="e">
        <f>IFERROR(AM83*INDEX(Lists!$F$2:$F$50,MATCH('SDA Tool'!$D$15,Lists!$B$2:$B$50,0))*1000/AM$34,NA())</f>
        <v>#N/A</v>
      </c>
      <c r="AN85" s="54" t="e">
        <f>IFERROR(AN83*INDEX(Lists!$F$2:$F$50,MATCH('SDA Tool'!$D$15,Lists!$B$2:$B$50,0))*1000/AN$34,NA())</f>
        <v>#N/A</v>
      </c>
      <c r="AO85" s="54" t="e">
        <f>IFERROR(AO83*INDEX(Lists!$F$2:$F$50,MATCH('SDA Tool'!$D$15,Lists!$B$2:$B$50,0))*1000/AO$34,NA())</f>
        <v>#N/A</v>
      </c>
      <c r="AP85" s="54" t="e">
        <f>IFERROR(AP83*INDEX(Lists!$F$2:$F$50,MATCH('SDA Tool'!$D$15,Lists!$B$2:$B$50,0))*1000/AP$34,NA())</f>
        <v>#N/A</v>
      </c>
      <c r="AQ85" s="54" t="e">
        <f>IFERROR(AQ83*INDEX(Lists!$F$2:$F$50,MATCH('SDA Tool'!$D$15,Lists!$B$2:$B$50,0))*1000/AQ$34,NA())</f>
        <v>#N/A</v>
      </c>
      <c r="AR85" s="54" t="e">
        <f>IFERROR(AR83*INDEX(Lists!$F$2:$F$50,MATCH('SDA Tool'!$D$15,Lists!$B$2:$B$50,0))*1000/AR$34,NA())</f>
        <v>#N/A</v>
      </c>
      <c r="AS85" s="54" t="e">
        <f>IFERROR(AS83*INDEX(Lists!$F$2:$F$50,MATCH('SDA Tool'!$D$15,Lists!$B$2:$B$50,0))*1000/AS$34,NA())</f>
        <v>#N/A</v>
      </c>
      <c r="AT85" s="54" t="e">
        <f>IFERROR(AT83*INDEX(Lists!$F$2:$F$50,MATCH('SDA Tool'!$D$15,Lists!$B$2:$B$50,0))*1000/AT$34,NA())</f>
        <v>#N/A</v>
      </c>
      <c r="AU85" s="54" t="e">
        <f>IFERROR(AU83*INDEX(Lists!$F$2:$F$50,MATCH('SDA Tool'!$D$15,Lists!$B$2:$B$50,0))*1000/AU$34,NA())</f>
        <v>#N/A</v>
      </c>
      <c r="AV85" s="54" t="e">
        <f>IFERROR(AV83*INDEX(Lists!$F$2:$F$50,MATCH('SDA Tool'!$D$15,Lists!$B$2:$B$50,0))*1000/AV$34,NA())</f>
        <v>#N/A</v>
      </c>
      <c r="AW85" s="54" t="e">
        <f>IFERROR(AW83*INDEX(Lists!$F$2:$F$50,MATCH('SDA Tool'!$D$15,Lists!$B$2:$B$50,0))*1000/AW$34,NA())</f>
        <v>#N/A</v>
      </c>
      <c r="AX85" s="54" t="e">
        <f>IFERROR(AX83*INDEX(Lists!$F$2:$F$50,MATCH('SDA Tool'!$D$15,Lists!$B$2:$B$50,0))*1000/AX$34,NA())</f>
        <v>#N/A</v>
      </c>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row>
    <row r="86" spans="1:91" s="43" customFormat="1" hidden="1" x14ac:dyDescent="0.25">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row>
    <row r="87" spans="1:91" s="43" customFormat="1" ht="13" hidden="1" x14ac:dyDescent="0.3">
      <c r="A87" s="56" t="s">
        <v>178</v>
      </c>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row>
    <row r="88" spans="1:91" s="43" customFormat="1" ht="13" hidden="1" x14ac:dyDescent="0.3">
      <c r="A88" s="56"/>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row>
    <row r="89" spans="1:91" s="43" customFormat="1" hidden="1" x14ac:dyDescent="0.25">
      <c r="A89" s="43" t="s">
        <v>160</v>
      </c>
      <c r="B89" s="43" t="str">
        <f>IF(OR('SDA Tool'!$D$15=Lists!$B$26,'SDA Tool'!$D$15=Lists!$B$27,'SDA Tool'!$D$15=Lists!$B$28),"Scope 3 emissions ("&amp;C89&amp;")","Scope 1 emissions ("&amp;C89&amp;")")</f>
        <v>Scope 1 emissions (MtCO2)</v>
      </c>
      <c r="C89" s="43" t="s">
        <v>138</v>
      </c>
      <c r="D89" s="54" t="e">
        <f>IFERROR(IF(HLOOKUP('SDA Tool'!$D$20,$D$1:$CL$11,ROW($A$11),)&lt;0,NA(),IF(D$1&lt;'SDA Tool'!$D$16,NA(),IF(D$1&gt;'SDA Tool'!$D$20,NA(),'SDA Tool'!$D$18*((('SDA Tool'!$D$18*(HLOOKUP('SDA Tool'!$D$20,$D$1:$CL$11,ROW($A$11),)/HLOOKUP('SDA Tool'!$D$16,$D$1:$CL$11,ROW($A$11),)))/'SDA Tool'!$D$18)^(1/('SDA Tool'!$D$20-'SDA Tool'!$D$16)))^(D$1-'SDA Tool'!$D$16)))/1000),NA())</f>
        <v>#N/A</v>
      </c>
      <c r="E89" s="54" t="e">
        <f>IFERROR(IF(HLOOKUP('SDA Tool'!$D$20,$D$1:$CL$11,ROW($A$11),)&lt;0,NA(),IF(E$1&lt;'SDA Tool'!$D$16,NA(),IF(E$1&gt;'SDA Tool'!$D$20,NA(),'SDA Tool'!$D$18*((('SDA Tool'!$D$18*(HLOOKUP('SDA Tool'!$D$20,$D$1:$CL$11,ROW($A$11),)/HLOOKUP('SDA Tool'!$D$16,$D$1:$CL$11,ROW($A$11),)))/'SDA Tool'!$D$18)^(1/('SDA Tool'!$D$20-'SDA Tool'!$D$16)))^(E$1-'SDA Tool'!$D$16)))/1000),NA())</f>
        <v>#N/A</v>
      </c>
      <c r="F89" s="54" t="e">
        <f>IFERROR(IF(HLOOKUP('SDA Tool'!$D$20,$D$1:$CL$11,ROW($A$11),)&lt;0,NA(),IF(F$1&lt;'SDA Tool'!$D$16,NA(),IF(F$1&gt;'SDA Tool'!$D$20,NA(),'SDA Tool'!$D$18*((('SDA Tool'!$D$18*(HLOOKUP('SDA Tool'!$D$20,$D$1:$CL$11,ROW($A$11),)/HLOOKUP('SDA Tool'!$D$16,$D$1:$CL$11,ROW($A$11),)))/'SDA Tool'!$D$18)^(1/('SDA Tool'!$D$20-'SDA Tool'!$D$16)))^(F$1-'SDA Tool'!$D$16)))/1000),NA())</f>
        <v>#N/A</v>
      </c>
      <c r="G89" s="54" t="e">
        <f>IFERROR(IF(HLOOKUP('SDA Tool'!$D$20,$D$1:$CL$11,ROW($A$11),)&lt;0,NA(),IF(G$1&lt;'SDA Tool'!$D$16,NA(),IF(G$1&gt;'SDA Tool'!$D$20,NA(),'SDA Tool'!$D$18*((('SDA Tool'!$D$18*(HLOOKUP('SDA Tool'!$D$20,$D$1:$CL$11,ROW($A$11),)/HLOOKUP('SDA Tool'!$D$16,$D$1:$CL$11,ROW($A$11),)))/'SDA Tool'!$D$18)^(1/('SDA Tool'!$D$20-'SDA Tool'!$D$16)))^(G$1-'SDA Tool'!$D$16)))/1000),NA())</f>
        <v>#N/A</v>
      </c>
      <c r="H89" s="54" t="e">
        <f>IFERROR(IF(HLOOKUP('SDA Tool'!$D$20,$D$1:$CL$11,ROW($A$11),)&lt;0,NA(),IF(H$1&lt;'SDA Tool'!$D$16,NA(),IF(H$1&gt;'SDA Tool'!$D$20,NA(),'SDA Tool'!$D$18*((('SDA Tool'!$D$18*(HLOOKUP('SDA Tool'!$D$20,$D$1:$CL$11,ROW($A$11),)/HLOOKUP('SDA Tool'!$D$16,$D$1:$CL$11,ROW($A$11),)))/'SDA Tool'!$D$18)^(1/('SDA Tool'!$D$20-'SDA Tool'!$D$16)))^(H$1-'SDA Tool'!$D$16)))/1000),NA())</f>
        <v>#N/A</v>
      </c>
      <c r="I89" s="54" t="e">
        <f>IFERROR(IF(HLOOKUP('SDA Tool'!$D$20,$D$1:$CL$11,ROW($A$11),)&lt;0,NA(),IF(I$1&lt;'SDA Tool'!$D$16,NA(),IF(I$1&gt;'SDA Tool'!$D$20,NA(),'SDA Tool'!$D$18*((('SDA Tool'!$D$18*(HLOOKUP('SDA Tool'!$D$20,$D$1:$CL$11,ROW($A$11),)/HLOOKUP('SDA Tool'!$D$16,$D$1:$CL$11,ROW($A$11),)))/'SDA Tool'!$D$18)^(1/('SDA Tool'!$D$20-'SDA Tool'!$D$16)))^(I$1-'SDA Tool'!$D$16)))/1000),NA())</f>
        <v>#N/A</v>
      </c>
      <c r="J89" s="54">
        <f>IFERROR(IF(HLOOKUP('SDA Tool'!$D$20,$D$1:$CL$11,ROW($A$11),)&lt;0,NA(),IF(J$1&lt;'SDA Tool'!$D$16,NA(),IF(J$1&gt;'SDA Tool'!$D$20,NA(),'SDA Tool'!$D$18*((('SDA Tool'!$D$18*(HLOOKUP('SDA Tool'!$D$20,$D$1:$CL$11,ROW($A$11),)/HLOOKUP('SDA Tool'!$D$16,$D$1:$CL$11,ROW($A$11),)))/'SDA Tool'!$D$18)^(1/('SDA Tool'!$D$20-'SDA Tool'!$D$16)))^(J$1-'SDA Tool'!$D$16)))/1000),NA())</f>
        <v>0.2</v>
      </c>
      <c r="K89" s="54">
        <f>IFERROR(IF(HLOOKUP('SDA Tool'!$D$20,$D$1:$CL$11,ROW($A$11),)&lt;0,NA(),IF(K$1&lt;'SDA Tool'!$D$16,NA(),IF(K$1&gt;'SDA Tool'!$D$20,NA(),'SDA Tool'!$D$18*((('SDA Tool'!$D$18*(HLOOKUP('SDA Tool'!$D$20,$D$1:$CL$11,ROW($A$11),)/HLOOKUP('SDA Tool'!$D$16,$D$1:$CL$11,ROW($A$11),)))/'SDA Tool'!$D$18)^(1/('SDA Tool'!$D$20-'SDA Tool'!$D$16)))^(K$1-'SDA Tool'!$D$16)))/1000),NA())</f>
        <v>0.19447180090085209</v>
      </c>
      <c r="L89" s="54">
        <f>IFERROR(IF(HLOOKUP('SDA Tool'!$D$20,$D$1:$CL$11,ROW($A$11),)&lt;0,NA(),IF(L$1&lt;'SDA Tool'!$D$16,NA(),IF(L$1&gt;'SDA Tool'!$D$20,NA(),'SDA Tool'!$D$18*((('SDA Tool'!$D$18*(HLOOKUP('SDA Tool'!$D$20,$D$1:$CL$11,ROW($A$11),)/HLOOKUP('SDA Tool'!$D$16,$D$1:$CL$11,ROW($A$11),)))/'SDA Tool'!$D$18)^(1/('SDA Tool'!$D$20-'SDA Tool'!$D$16)))^(L$1-'SDA Tool'!$D$16)))/1000),NA())</f>
        <v>0.18909640672810327</v>
      </c>
      <c r="M89" s="54">
        <f>IFERROR(IF(HLOOKUP('SDA Tool'!$D$20,$D$1:$CL$11,ROW($A$11),)&lt;0,NA(),IF(M$1&lt;'SDA Tool'!$D$16,NA(),IF(M$1&gt;'SDA Tool'!$D$20,NA(),'SDA Tool'!$D$18*((('SDA Tool'!$D$18*(HLOOKUP('SDA Tool'!$D$20,$D$1:$CL$11,ROW($A$11),)/HLOOKUP('SDA Tool'!$D$16,$D$1:$CL$11,ROW($A$11),)))/'SDA Tool'!$D$18)^(1/('SDA Tool'!$D$20-'SDA Tool'!$D$16)))^(M$1-'SDA Tool'!$D$16)))/1000),NA())</f>
        <v>0.18386959380147122</v>
      </c>
      <c r="N89" s="54">
        <f>IFERROR(IF(HLOOKUP('SDA Tool'!$D$20,$D$1:$CL$11,ROW($A$11),)&lt;0,NA(),IF(N$1&lt;'SDA Tool'!$D$16,NA(),IF(N$1&gt;'SDA Tool'!$D$20,NA(),'SDA Tool'!$D$18*((('SDA Tool'!$D$18*(HLOOKUP('SDA Tool'!$D$20,$D$1:$CL$11,ROW($A$11),)/HLOOKUP('SDA Tool'!$D$16,$D$1:$CL$11,ROW($A$11),)))/'SDA Tool'!$D$18)^(1/('SDA Tool'!$D$20-'SDA Tool'!$D$16)))^(N$1-'SDA Tool'!$D$16)))/1000),NA())</f>
        <v>0.17878725518740129</v>
      </c>
      <c r="O89" s="54">
        <f>IFERROR(IF(HLOOKUP('SDA Tool'!$D$20,$D$1:$CL$11,ROW($A$11),)&lt;0,NA(),IF(O$1&lt;'SDA Tool'!$D$16,NA(),IF(O$1&gt;'SDA Tool'!$D$20,NA(),'SDA Tool'!$D$18*((('SDA Tool'!$D$18*(HLOOKUP('SDA Tool'!$D$20,$D$1:$CL$11,ROW($A$11),)/HLOOKUP('SDA Tool'!$D$16,$D$1:$CL$11,ROW($A$11),)))/'SDA Tool'!$D$18)^(1/('SDA Tool'!$D$20-'SDA Tool'!$D$16)))^(O$1-'SDA Tool'!$D$16)))/1000),NA())</f>
        <v>0.17384539747207067</v>
      </c>
      <c r="P89" s="54">
        <f>IFERROR(IF(HLOOKUP('SDA Tool'!$D$20,$D$1:$CL$11,ROW($A$11),)&lt;0,NA(),IF(P$1&lt;'SDA Tool'!$D$16,NA(),IF(P$1&gt;'SDA Tool'!$D$20,NA(),'SDA Tool'!$D$18*((('SDA Tool'!$D$18*(HLOOKUP('SDA Tool'!$D$20,$D$1:$CL$11,ROW($A$11),)/HLOOKUP('SDA Tool'!$D$16,$D$1:$CL$11,ROW($A$11),)))/'SDA Tool'!$D$18)^(1/('SDA Tool'!$D$20-'SDA Tool'!$D$16)))^(P$1-'SDA Tool'!$D$16)))/1000),NA())</f>
        <v>0.1690401376235901</v>
      </c>
      <c r="Q89" s="54">
        <f>IFERROR(IF(HLOOKUP('SDA Tool'!$D$20,$D$1:$CL$11,ROW($A$11),)&lt;0,NA(),IF(Q$1&lt;'SDA Tool'!$D$16,NA(),IF(Q$1&gt;'SDA Tool'!$D$20,NA(),'SDA Tool'!$D$18*((('SDA Tool'!$D$18*(HLOOKUP('SDA Tool'!$D$20,$D$1:$CL$11,ROW($A$11),)/HLOOKUP('SDA Tool'!$D$16,$D$1:$CL$11,ROW($A$11),)))/'SDA Tool'!$D$18)^(1/('SDA Tool'!$D$20-'SDA Tool'!$D$16)))^(Q$1-'SDA Tool'!$D$16)))/1000),NA())</f>
        <v>0.16436769994093725</v>
      </c>
      <c r="R89" s="54">
        <f>IFERROR(IF(HLOOKUP('SDA Tool'!$D$20,$D$1:$CL$11,ROW($A$11),)&lt;0,NA(),IF(R$1&lt;'SDA Tool'!$D$16,NA(),IF(R$1&gt;'SDA Tool'!$D$20,NA(),'SDA Tool'!$D$18*((('SDA Tool'!$D$18*(HLOOKUP('SDA Tool'!$D$20,$D$1:$CL$11,ROW($A$11),)/HLOOKUP('SDA Tool'!$D$16,$D$1:$CL$11,ROW($A$11),)))/'SDA Tool'!$D$18)^(1/('SDA Tool'!$D$20-'SDA Tool'!$D$16)))^(R$1-'SDA Tool'!$D$16)))/1000),NA())</f>
        <v>0.15982441308722473</v>
      </c>
      <c r="S89" s="54">
        <f>IFERROR(IF(HLOOKUP('SDA Tool'!$D$20,$D$1:$CL$11,ROW($A$11),)&lt;0,NA(),IF(S$1&lt;'SDA Tool'!$D$16,NA(),IF(S$1&gt;'SDA Tool'!$D$20,NA(),'SDA Tool'!$D$18*((('SDA Tool'!$D$18*(HLOOKUP('SDA Tool'!$D$20,$D$1:$CL$11,ROW($A$11),)/HLOOKUP('SDA Tool'!$D$16,$D$1:$CL$11,ROW($A$11),)))/'SDA Tool'!$D$18)^(1/('SDA Tool'!$D$20-'SDA Tool'!$D$16)))^(S$1-'SDA Tool'!$D$16)))/1000),NA())</f>
        <v>0.15540670720497152</v>
      </c>
      <c r="T89" s="54">
        <f>IFERROR(IF(HLOOKUP('SDA Tool'!$D$20,$D$1:$CL$11,ROW($A$11),)&lt;0,NA(),IF(T$1&lt;'SDA Tool'!$D$16,NA(),IF(T$1&gt;'SDA Tool'!$D$20,NA(),'SDA Tool'!$D$18*((('SDA Tool'!$D$18*(HLOOKUP('SDA Tool'!$D$20,$D$1:$CL$11,ROW($A$11),)/HLOOKUP('SDA Tool'!$D$16,$D$1:$CL$11,ROW($A$11),)))/'SDA Tool'!$D$18)^(1/('SDA Tool'!$D$20-'SDA Tool'!$D$16)))^(T$1-'SDA Tool'!$D$16)))/1000),NA())</f>
        <v>0.15111111111111117</v>
      </c>
      <c r="U89" s="54" t="e">
        <f>IFERROR(IF(HLOOKUP('SDA Tool'!$D$20,$D$1:$CL$11,ROW($A$11),)&lt;0,NA(),IF(U$1&lt;'SDA Tool'!$D$16,NA(),IF(U$1&gt;'SDA Tool'!$D$20,NA(),'SDA Tool'!$D$18*((('SDA Tool'!$D$18*(HLOOKUP('SDA Tool'!$D$20,$D$1:$CL$11,ROW($A$11),)/HLOOKUP('SDA Tool'!$D$16,$D$1:$CL$11,ROW($A$11),)))/'SDA Tool'!$D$18)^(1/('SDA Tool'!$D$20-'SDA Tool'!$D$16)))^(U$1-'SDA Tool'!$D$16)))/1000),NA())</f>
        <v>#N/A</v>
      </c>
      <c r="V89" s="54" t="e">
        <f>IFERROR(IF(HLOOKUP('SDA Tool'!$D$20,$D$1:$CL$11,ROW($A$11),)&lt;0,NA(),IF(V$1&lt;'SDA Tool'!$D$16,NA(),IF(V$1&gt;'SDA Tool'!$D$20,NA(),'SDA Tool'!$D$18*((('SDA Tool'!$D$18*(HLOOKUP('SDA Tool'!$D$20,$D$1:$CL$11,ROW($A$11),)/HLOOKUP('SDA Tool'!$D$16,$D$1:$CL$11,ROW($A$11),)))/'SDA Tool'!$D$18)^(1/('SDA Tool'!$D$20-'SDA Tool'!$D$16)))^(V$1-'SDA Tool'!$D$16)))/1000),NA())</f>
        <v>#N/A</v>
      </c>
      <c r="W89" s="54" t="e">
        <f>IFERROR(IF(HLOOKUP('SDA Tool'!$D$20,$D$1:$CL$11,ROW($A$11),)&lt;0,NA(),IF(W$1&lt;'SDA Tool'!$D$16,NA(),IF(W$1&gt;'SDA Tool'!$D$20,NA(),'SDA Tool'!$D$18*((('SDA Tool'!$D$18*(HLOOKUP('SDA Tool'!$D$20,$D$1:$CL$11,ROW($A$11),)/HLOOKUP('SDA Tool'!$D$16,$D$1:$CL$11,ROW($A$11),)))/'SDA Tool'!$D$18)^(1/('SDA Tool'!$D$20-'SDA Tool'!$D$16)))^(W$1-'SDA Tool'!$D$16)))/1000),NA())</f>
        <v>#N/A</v>
      </c>
      <c r="X89" s="54" t="e">
        <f>IFERROR(IF(HLOOKUP('SDA Tool'!$D$20,$D$1:$CL$11,ROW($A$11),)&lt;0,NA(),IF(X$1&lt;'SDA Tool'!$D$16,NA(),IF(X$1&gt;'SDA Tool'!$D$20,NA(),'SDA Tool'!$D$18*((('SDA Tool'!$D$18*(HLOOKUP('SDA Tool'!$D$20,$D$1:$CL$11,ROW($A$11),)/HLOOKUP('SDA Tool'!$D$16,$D$1:$CL$11,ROW($A$11),)))/'SDA Tool'!$D$18)^(1/('SDA Tool'!$D$20-'SDA Tool'!$D$16)))^(X$1-'SDA Tool'!$D$16)))/1000),NA())</f>
        <v>#N/A</v>
      </c>
      <c r="Y89" s="54" t="e">
        <f>IFERROR(IF(HLOOKUP('SDA Tool'!$D$20,$D$1:$CL$11,ROW($A$11),)&lt;0,NA(),IF(Y$1&lt;'SDA Tool'!$D$16,NA(),IF(Y$1&gt;'SDA Tool'!$D$20,NA(),'SDA Tool'!$D$18*((('SDA Tool'!$D$18*(HLOOKUP('SDA Tool'!$D$20,$D$1:$CL$11,ROW($A$11),)/HLOOKUP('SDA Tool'!$D$16,$D$1:$CL$11,ROW($A$11),)))/'SDA Tool'!$D$18)^(1/('SDA Tool'!$D$20-'SDA Tool'!$D$16)))^(Y$1-'SDA Tool'!$D$16)))/1000),NA())</f>
        <v>#N/A</v>
      </c>
      <c r="Z89" s="54" t="e">
        <f>IFERROR(IF(HLOOKUP('SDA Tool'!$D$20,$D$1:$CL$11,ROW($A$11),)&lt;0,NA(),IF(Z$1&lt;'SDA Tool'!$D$16,NA(),IF(Z$1&gt;'SDA Tool'!$D$20,NA(),'SDA Tool'!$D$18*((('SDA Tool'!$D$18*(HLOOKUP('SDA Tool'!$D$20,$D$1:$CL$11,ROW($A$11),)/HLOOKUP('SDA Tool'!$D$16,$D$1:$CL$11,ROW($A$11),)))/'SDA Tool'!$D$18)^(1/('SDA Tool'!$D$20-'SDA Tool'!$D$16)))^(Z$1-'SDA Tool'!$D$16)))/1000),NA())</f>
        <v>#N/A</v>
      </c>
      <c r="AA89" s="54" t="e">
        <f>IFERROR(IF(HLOOKUP('SDA Tool'!$D$20,$D$1:$CL$11,ROW($A$11),)&lt;0,NA(),IF(AA$1&lt;'SDA Tool'!$D$16,NA(),IF(AA$1&gt;'SDA Tool'!$D$20,NA(),'SDA Tool'!$D$18*((('SDA Tool'!$D$18*(HLOOKUP('SDA Tool'!$D$20,$D$1:$CL$11,ROW($A$11),)/HLOOKUP('SDA Tool'!$D$16,$D$1:$CL$11,ROW($A$11),)))/'SDA Tool'!$D$18)^(1/('SDA Tool'!$D$20-'SDA Tool'!$D$16)))^(AA$1-'SDA Tool'!$D$16)))/1000),NA())</f>
        <v>#N/A</v>
      </c>
      <c r="AB89" s="54" t="e">
        <f>IFERROR(IF(HLOOKUP('SDA Tool'!$D$20,$D$1:$CL$11,ROW($A$11),)&lt;0,NA(),IF(AB$1&lt;'SDA Tool'!$D$16,NA(),IF(AB$1&gt;'SDA Tool'!$D$20,NA(),'SDA Tool'!$D$18*((('SDA Tool'!$D$18*(HLOOKUP('SDA Tool'!$D$20,$D$1:$CL$11,ROW($A$11),)/HLOOKUP('SDA Tool'!$D$16,$D$1:$CL$11,ROW($A$11),)))/'SDA Tool'!$D$18)^(1/('SDA Tool'!$D$20-'SDA Tool'!$D$16)))^(AB$1-'SDA Tool'!$D$16)))/1000),NA())</f>
        <v>#N/A</v>
      </c>
      <c r="AC89" s="54" t="e">
        <f>IFERROR(IF(HLOOKUP('SDA Tool'!$D$20,$D$1:$CL$11,ROW($A$11),)&lt;0,NA(),IF(AC$1&lt;'SDA Tool'!$D$16,NA(),IF(AC$1&gt;'SDA Tool'!$D$20,NA(),'SDA Tool'!$D$18*((('SDA Tool'!$D$18*(HLOOKUP('SDA Tool'!$D$20,$D$1:$CL$11,ROW($A$11),)/HLOOKUP('SDA Tool'!$D$16,$D$1:$CL$11,ROW($A$11),)))/'SDA Tool'!$D$18)^(1/('SDA Tool'!$D$20-'SDA Tool'!$D$16)))^(AC$1-'SDA Tool'!$D$16)))/1000),NA())</f>
        <v>#N/A</v>
      </c>
      <c r="AD89" s="54" t="e">
        <f>IFERROR(IF(HLOOKUP('SDA Tool'!$D$20,$D$1:$CL$11,ROW($A$11),)&lt;0,NA(),IF(AD$1&lt;'SDA Tool'!$D$16,NA(),IF(AD$1&gt;'SDA Tool'!$D$20,NA(),'SDA Tool'!$D$18*((('SDA Tool'!$D$18*(HLOOKUP('SDA Tool'!$D$20,$D$1:$CL$11,ROW($A$11),)/HLOOKUP('SDA Tool'!$D$16,$D$1:$CL$11,ROW($A$11),)))/'SDA Tool'!$D$18)^(1/('SDA Tool'!$D$20-'SDA Tool'!$D$16)))^(AD$1-'SDA Tool'!$D$16)))/1000),NA())</f>
        <v>#N/A</v>
      </c>
      <c r="AE89" s="54" t="e">
        <f>IFERROR(IF(HLOOKUP('SDA Tool'!$D$20,$D$1:$CL$11,ROW($A$11),)&lt;0,NA(),IF(AE$1&lt;'SDA Tool'!$D$16,NA(),IF(AE$1&gt;'SDA Tool'!$D$20,NA(),'SDA Tool'!$D$18*((('SDA Tool'!$D$18*(HLOOKUP('SDA Tool'!$D$20,$D$1:$CL$11,ROW($A$11),)/HLOOKUP('SDA Tool'!$D$16,$D$1:$CL$11,ROW($A$11),)))/'SDA Tool'!$D$18)^(1/('SDA Tool'!$D$20-'SDA Tool'!$D$16)))^(AE$1-'SDA Tool'!$D$16)))/1000),NA())</f>
        <v>#N/A</v>
      </c>
      <c r="AF89" s="54" t="e">
        <f>IFERROR(IF(HLOOKUP('SDA Tool'!$D$20,$D$1:$CL$11,ROW($A$11),)&lt;0,NA(),IF(AF$1&lt;'SDA Tool'!$D$16,NA(),IF(AF$1&gt;'SDA Tool'!$D$20,NA(),'SDA Tool'!$D$18*((('SDA Tool'!$D$18*(HLOOKUP('SDA Tool'!$D$20,$D$1:$CL$11,ROW($A$11),)/HLOOKUP('SDA Tool'!$D$16,$D$1:$CL$11,ROW($A$11),)))/'SDA Tool'!$D$18)^(1/('SDA Tool'!$D$20-'SDA Tool'!$D$16)))^(AF$1-'SDA Tool'!$D$16)))/1000),NA())</f>
        <v>#N/A</v>
      </c>
      <c r="AG89" s="54" t="e">
        <f>IFERROR(IF(HLOOKUP('SDA Tool'!$D$20,$D$1:$CL$11,ROW($A$11),)&lt;0,NA(),IF(AG$1&lt;'SDA Tool'!$D$16,NA(),IF(AG$1&gt;'SDA Tool'!$D$20,NA(),'SDA Tool'!$D$18*((('SDA Tool'!$D$18*(HLOOKUP('SDA Tool'!$D$20,$D$1:$CL$11,ROW($A$11),)/HLOOKUP('SDA Tool'!$D$16,$D$1:$CL$11,ROW($A$11),)))/'SDA Tool'!$D$18)^(1/('SDA Tool'!$D$20-'SDA Tool'!$D$16)))^(AG$1-'SDA Tool'!$D$16)))/1000),NA())</f>
        <v>#N/A</v>
      </c>
      <c r="AH89" s="54" t="e">
        <f>IFERROR(IF(HLOOKUP('SDA Tool'!$D$20,$D$1:$CL$11,ROW($A$11),)&lt;0,NA(),IF(AH$1&lt;'SDA Tool'!$D$16,NA(),IF(AH$1&gt;'SDA Tool'!$D$20,NA(),'SDA Tool'!$D$18*((('SDA Tool'!$D$18*(HLOOKUP('SDA Tool'!$D$20,$D$1:$CL$11,ROW($A$11),)/HLOOKUP('SDA Tool'!$D$16,$D$1:$CL$11,ROW($A$11),)))/'SDA Tool'!$D$18)^(1/('SDA Tool'!$D$20-'SDA Tool'!$D$16)))^(AH$1-'SDA Tool'!$D$16)))/1000),NA())</f>
        <v>#N/A</v>
      </c>
      <c r="AI89" s="54" t="e">
        <f>IFERROR(IF(HLOOKUP('SDA Tool'!$D$20,$D$1:$CL$11,ROW($A$11),)&lt;0,NA(),IF(AI$1&lt;'SDA Tool'!$D$16,NA(),IF(AI$1&gt;'SDA Tool'!$D$20,NA(),'SDA Tool'!$D$18*((('SDA Tool'!$D$18*(HLOOKUP('SDA Tool'!$D$20,$D$1:$CL$11,ROW($A$11),)/HLOOKUP('SDA Tool'!$D$16,$D$1:$CL$11,ROW($A$11),)))/'SDA Tool'!$D$18)^(1/('SDA Tool'!$D$20-'SDA Tool'!$D$16)))^(AI$1-'SDA Tool'!$D$16)))/1000),NA())</f>
        <v>#N/A</v>
      </c>
      <c r="AJ89" s="54" t="e">
        <f>IFERROR(IF(HLOOKUP('SDA Tool'!$D$20,$D$1:$CL$11,ROW($A$11),)&lt;0,NA(),IF(AJ$1&lt;'SDA Tool'!$D$16,NA(),IF(AJ$1&gt;'SDA Tool'!$D$20,NA(),'SDA Tool'!$D$18*((('SDA Tool'!$D$18*(HLOOKUP('SDA Tool'!$D$20,$D$1:$CL$11,ROW($A$11),)/HLOOKUP('SDA Tool'!$D$16,$D$1:$CL$11,ROW($A$11),)))/'SDA Tool'!$D$18)^(1/('SDA Tool'!$D$20-'SDA Tool'!$D$16)))^(AJ$1-'SDA Tool'!$D$16)))/1000),NA())</f>
        <v>#N/A</v>
      </c>
      <c r="AK89" s="54" t="e">
        <f>IFERROR(IF(HLOOKUP('SDA Tool'!$D$20,$D$1:$CL$11,ROW($A$11),)&lt;0,NA(),IF(AK$1&lt;'SDA Tool'!$D$16,NA(),IF(AK$1&gt;'SDA Tool'!$D$20,NA(),'SDA Tool'!$D$18*((('SDA Tool'!$D$18*(HLOOKUP('SDA Tool'!$D$20,$D$1:$CL$11,ROW($A$11),)/HLOOKUP('SDA Tool'!$D$16,$D$1:$CL$11,ROW($A$11),)))/'SDA Tool'!$D$18)^(1/('SDA Tool'!$D$20-'SDA Tool'!$D$16)))^(AK$1-'SDA Tool'!$D$16)))/1000),NA())</f>
        <v>#N/A</v>
      </c>
      <c r="AL89" s="54" t="e">
        <f>IFERROR(IF(HLOOKUP('SDA Tool'!$D$20,$D$1:$CL$11,ROW($A$11),)&lt;0,NA(),IF(AL$1&lt;'SDA Tool'!$D$16,NA(),IF(AL$1&gt;'SDA Tool'!$D$20,NA(),'SDA Tool'!$D$18*((('SDA Tool'!$D$18*(HLOOKUP('SDA Tool'!$D$20,$D$1:$CL$11,ROW($A$11),)/HLOOKUP('SDA Tool'!$D$16,$D$1:$CL$11,ROW($A$11),)))/'SDA Tool'!$D$18)^(1/('SDA Tool'!$D$20-'SDA Tool'!$D$16)))^(AL$1-'SDA Tool'!$D$16)))/1000),NA())</f>
        <v>#N/A</v>
      </c>
      <c r="AM89" s="54" t="e">
        <f>IFERROR(IF(HLOOKUP('SDA Tool'!$D$20,$D$1:$CL$11,ROW($A$11),)&lt;0,NA(),IF(AM$1&lt;'SDA Tool'!$D$16,NA(),IF(AM$1&gt;'SDA Tool'!$D$20,NA(),'SDA Tool'!$D$18*((('SDA Tool'!$D$18*(HLOOKUP('SDA Tool'!$D$20,$D$1:$CL$11,ROW($A$11),)/HLOOKUP('SDA Tool'!$D$16,$D$1:$CL$11,ROW($A$11),)))/'SDA Tool'!$D$18)^(1/('SDA Tool'!$D$20-'SDA Tool'!$D$16)))^(AM$1-'SDA Tool'!$D$16)))/1000),NA())</f>
        <v>#N/A</v>
      </c>
      <c r="AN89" s="54" t="e">
        <f>IFERROR(IF(HLOOKUP('SDA Tool'!$D$20,$D$1:$CL$11,ROW($A$11),)&lt;0,NA(),IF(AN$1&lt;'SDA Tool'!$D$16,NA(),IF(AN$1&gt;'SDA Tool'!$D$20,NA(),'SDA Tool'!$D$18*((('SDA Tool'!$D$18*(HLOOKUP('SDA Tool'!$D$20,$D$1:$CL$11,ROW($A$11),)/HLOOKUP('SDA Tool'!$D$16,$D$1:$CL$11,ROW($A$11),)))/'SDA Tool'!$D$18)^(1/('SDA Tool'!$D$20-'SDA Tool'!$D$16)))^(AN$1-'SDA Tool'!$D$16)))/1000),NA())</f>
        <v>#N/A</v>
      </c>
      <c r="AO89" s="54" t="e">
        <f>IFERROR(IF(HLOOKUP('SDA Tool'!$D$20,$D$1:$CL$11,ROW($A$11),)&lt;0,NA(),IF(AO$1&lt;'SDA Tool'!$D$16,NA(),IF(AO$1&gt;'SDA Tool'!$D$20,NA(),'SDA Tool'!$D$18*((('SDA Tool'!$D$18*(HLOOKUP('SDA Tool'!$D$20,$D$1:$CL$11,ROW($A$11),)/HLOOKUP('SDA Tool'!$D$16,$D$1:$CL$11,ROW($A$11),)))/'SDA Tool'!$D$18)^(1/('SDA Tool'!$D$20-'SDA Tool'!$D$16)))^(AO$1-'SDA Tool'!$D$16)))/1000),NA())</f>
        <v>#N/A</v>
      </c>
      <c r="AP89" s="54" t="e">
        <f>IFERROR(IF(HLOOKUP('SDA Tool'!$D$20,$D$1:$CL$11,ROW($A$11),)&lt;0,NA(),IF(AP$1&lt;'SDA Tool'!$D$16,NA(),IF(AP$1&gt;'SDA Tool'!$D$20,NA(),'SDA Tool'!$D$18*((('SDA Tool'!$D$18*(HLOOKUP('SDA Tool'!$D$20,$D$1:$CL$11,ROW($A$11),)/HLOOKUP('SDA Tool'!$D$16,$D$1:$CL$11,ROW($A$11),)))/'SDA Tool'!$D$18)^(1/('SDA Tool'!$D$20-'SDA Tool'!$D$16)))^(AP$1-'SDA Tool'!$D$16)))/1000),NA())</f>
        <v>#N/A</v>
      </c>
      <c r="AQ89" s="54" t="e">
        <f>IFERROR(IF(HLOOKUP('SDA Tool'!$D$20,$D$1:$CL$11,ROW($A$11),)&lt;0,NA(),IF(AQ$1&lt;'SDA Tool'!$D$16,NA(),IF(AQ$1&gt;'SDA Tool'!$D$20,NA(),'SDA Tool'!$D$18*((('SDA Tool'!$D$18*(HLOOKUP('SDA Tool'!$D$20,$D$1:$CL$11,ROW($A$11),)/HLOOKUP('SDA Tool'!$D$16,$D$1:$CL$11,ROW($A$11),)))/'SDA Tool'!$D$18)^(1/('SDA Tool'!$D$20-'SDA Tool'!$D$16)))^(AQ$1-'SDA Tool'!$D$16)))/1000),NA())</f>
        <v>#N/A</v>
      </c>
      <c r="AR89" s="54" t="e">
        <f>IFERROR(IF(HLOOKUP('SDA Tool'!$D$20,$D$1:$CL$11,ROW($A$11),)&lt;0,NA(),IF(AR$1&lt;'SDA Tool'!$D$16,NA(),IF(AR$1&gt;'SDA Tool'!$D$20,NA(),'SDA Tool'!$D$18*((('SDA Tool'!$D$18*(HLOOKUP('SDA Tool'!$D$20,$D$1:$CL$11,ROW($A$11),)/HLOOKUP('SDA Tool'!$D$16,$D$1:$CL$11,ROW($A$11),)))/'SDA Tool'!$D$18)^(1/('SDA Tool'!$D$20-'SDA Tool'!$D$16)))^(AR$1-'SDA Tool'!$D$16)))/1000),NA())</f>
        <v>#N/A</v>
      </c>
      <c r="AS89" s="54" t="e">
        <f>IFERROR(IF(HLOOKUP('SDA Tool'!$D$20,$D$1:$CL$11,ROW($A$11),)&lt;0,NA(),IF(AS$1&lt;'SDA Tool'!$D$16,NA(),IF(AS$1&gt;'SDA Tool'!$D$20,NA(),'SDA Tool'!$D$18*((('SDA Tool'!$D$18*(HLOOKUP('SDA Tool'!$D$20,$D$1:$CL$11,ROW($A$11),)/HLOOKUP('SDA Tool'!$D$16,$D$1:$CL$11,ROW($A$11),)))/'SDA Tool'!$D$18)^(1/('SDA Tool'!$D$20-'SDA Tool'!$D$16)))^(AS$1-'SDA Tool'!$D$16)))/1000),NA())</f>
        <v>#N/A</v>
      </c>
      <c r="AT89" s="54" t="e">
        <f>IFERROR(IF(HLOOKUP('SDA Tool'!$D$20,$D$1:$CL$11,ROW($A$11),)&lt;0,NA(),IF(AT$1&lt;'SDA Tool'!$D$16,NA(),IF(AT$1&gt;'SDA Tool'!$D$20,NA(),'SDA Tool'!$D$18*((('SDA Tool'!$D$18*(HLOOKUP('SDA Tool'!$D$20,$D$1:$CL$11,ROW($A$11),)/HLOOKUP('SDA Tool'!$D$16,$D$1:$CL$11,ROW($A$11),)))/'SDA Tool'!$D$18)^(1/('SDA Tool'!$D$20-'SDA Tool'!$D$16)))^(AT$1-'SDA Tool'!$D$16)))/1000),NA())</f>
        <v>#N/A</v>
      </c>
      <c r="AU89" s="54" t="e">
        <f>IFERROR(IF(HLOOKUP('SDA Tool'!$D$20,$D$1:$CL$11,ROW($A$11),)&lt;0,NA(),IF(AU$1&lt;'SDA Tool'!$D$16,NA(),IF(AU$1&gt;'SDA Tool'!$D$20,NA(),'SDA Tool'!$D$18*((('SDA Tool'!$D$18*(HLOOKUP('SDA Tool'!$D$20,$D$1:$CL$11,ROW($A$11),)/HLOOKUP('SDA Tool'!$D$16,$D$1:$CL$11,ROW($A$11),)))/'SDA Tool'!$D$18)^(1/('SDA Tool'!$D$20-'SDA Tool'!$D$16)))^(AU$1-'SDA Tool'!$D$16)))/1000),NA())</f>
        <v>#N/A</v>
      </c>
      <c r="AV89" s="54" t="e">
        <f>IFERROR(IF(HLOOKUP('SDA Tool'!$D$20,$D$1:$CL$11,ROW($A$11),)&lt;0,NA(),IF(AV$1&lt;'SDA Tool'!$D$16,NA(),IF(AV$1&gt;'SDA Tool'!$D$20,NA(),'SDA Tool'!$D$18*((('SDA Tool'!$D$18*(HLOOKUP('SDA Tool'!$D$20,$D$1:$CL$11,ROW($A$11),)/HLOOKUP('SDA Tool'!$D$16,$D$1:$CL$11,ROW($A$11),)))/'SDA Tool'!$D$18)^(1/('SDA Tool'!$D$20-'SDA Tool'!$D$16)))^(AV$1-'SDA Tool'!$D$16)))/1000),NA())</f>
        <v>#N/A</v>
      </c>
      <c r="AW89" s="54" t="e">
        <f>IFERROR(IF(HLOOKUP('SDA Tool'!$D$20,$D$1:$CL$11,ROW($A$11),)&lt;0,NA(),IF(AW$1&lt;'SDA Tool'!$D$16,NA(),IF(AW$1&gt;'SDA Tool'!$D$20,NA(),'SDA Tool'!$D$18*((('SDA Tool'!$D$18*(HLOOKUP('SDA Tool'!$D$20,$D$1:$CL$11,ROW($A$11),)/HLOOKUP('SDA Tool'!$D$16,$D$1:$CL$11,ROW($A$11),)))/'SDA Tool'!$D$18)^(1/('SDA Tool'!$D$20-'SDA Tool'!$D$16)))^(AW$1-'SDA Tool'!$D$16)))/1000),NA())</f>
        <v>#N/A</v>
      </c>
      <c r="AX89" s="54" t="e">
        <f>IFERROR(IF(HLOOKUP('SDA Tool'!$D$20,$D$1:$CL$11,ROW($A$11),)&lt;0,NA(),IF(AX$1&lt;'SDA Tool'!$D$16,NA(),IF(AX$1&gt;'SDA Tool'!$D$20,NA(),'SDA Tool'!$D$18*((('SDA Tool'!$D$18*(HLOOKUP('SDA Tool'!$D$20,$D$1:$CL$11,ROW($A$11),)/HLOOKUP('SDA Tool'!$D$16,$D$1:$CL$11,ROW($A$11),)))/'SDA Tool'!$D$18)^(1/('SDA Tool'!$D$20-'SDA Tool'!$D$16)))^(AX$1-'SDA Tool'!$D$16)))/1000),NA())</f>
        <v>#N/A</v>
      </c>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row>
    <row r="90" spans="1:91" s="43" customFormat="1" hidden="1" x14ac:dyDescent="0.25">
      <c r="A90" s="43" t="s">
        <v>163</v>
      </c>
      <c r="B90" s="43" t="str">
        <f>"Scope 2 emissions ("&amp;C90&amp;")"</f>
        <v>Scope 2 emissions (MtCO2)</v>
      </c>
      <c r="C90" s="43" t="s">
        <v>138</v>
      </c>
      <c r="D90" s="54" t="e">
        <f>IFERROR(IF(HLOOKUP('SDA Tool'!$D$20,$D$1:$CL$13,ROW($A$13),)&lt;0,NA(),IF(D$1&lt;'SDA Tool'!$D$16,NA(),IF(D$1&gt;'SDA Tool'!$D$20,NA(),'SDA Tool'!$D$19*((('SDA Tool'!$D$19*(HLOOKUP('SDA Tool'!$D$20,$D$1:$CL$13,ROW($A$13),)/HLOOKUP('SDA Tool'!$D$16,$D$1:$CL$13,ROW($A$13),)))/'SDA Tool'!$D$19)^(1/('SDA Tool'!$D$20-'SDA Tool'!$D$16)))^(D$1-'SDA Tool'!$D$16)))/1000),NA())</f>
        <v>#N/A</v>
      </c>
      <c r="E90" s="54" t="e">
        <f>IFERROR(IF(HLOOKUP('SDA Tool'!$D$20,$D$1:$CL$13,ROW($A$13),)&lt;0,NA(),IF(E$1&lt;'SDA Tool'!$D$16,NA(),IF(E$1&gt;'SDA Tool'!$D$20,NA(),'SDA Tool'!$D$19*((('SDA Tool'!$D$19*(HLOOKUP('SDA Tool'!$D$20,$D$1:$CL$13,ROW($A$13),)/HLOOKUP('SDA Tool'!$D$16,$D$1:$CL$13,ROW($A$13),)))/'SDA Tool'!$D$19)^(1/('SDA Tool'!$D$20-'SDA Tool'!$D$16)))^(E$1-'SDA Tool'!$D$16)))/1000),NA())</f>
        <v>#N/A</v>
      </c>
      <c r="F90" s="54" t="e">
        <f>IFERROR(IF(HLOOKUP('SDA Tool'!$D$20,$D$1:$CL$13,ROW($A$13),)&lt;0,NA(),IF(F$1&lt;'SDA Tool'!$D$16,NA(),IF(F$1&gt;'SDA Tool'!$D$20,NA(),'SDA Tool'!$D$19*((('SDA Tool'!$D$19*(HLOOKUP('SDA Tool'!$D$20,$D$1:$CL$13,ROW($A$13),)/HLOOKUP('SDA Tool'!$D$16,$D$1:$CL$13,ROW($A$13),)))/'SDA Tool'!$D$19)^(1/('SDA Tool'!$D$20-'SDA Tool'!$D$16)))^(F$1-'SDA Tool'!$D$16)))/1000),NA())</f>
        <v>#N/A</v>
      </c>
      <c r="G90" s="54" t="e">
        <f>IFERROR(IF(HLOOKUP('SDA Tool'!$D$20,$D$1:$CL$13,ROW($A$13),)&lt;0,NA(),IF(G$1&lt;'SDA Tool'!$D$16,NA(),IF(G$1&gt;'SDA Tool'!$D$20,NA(),'SDA Tool'!$D$19*((('SDA Tool'!$D$19*(HLOOKUP('SDA Tool'!$D$20,$D$1:$CL$13,ROW($A$13),)/HLOOKUP('SDA Tool'!$D$16,$D$1:$CL$13,ROW($A$13),)))/'SDA Tool'!$D$19)^(1/('SDA Tool'!$D$20-'SDA Tool'!$D$16)))^(G$1-'SDA Tool'!$D$16)))/1000),NA())</f>
        <v>#N/A</v>
      </c>
      <c r="H90" s="54" t="e">
        <f>IFERROR(IF(HLOOKUP('SDA Tool'!$D$20,$D$1:$CL$13,ROW($A$13),)&lt;0,NA(),IF(H$1&lt;'SDA Tool'!$D$16,NA(),IF(H$1&gt;'SDA Tool'!$D$20,NA(),'SDA Tool'!$D$19*((('SDA Tool'!$D$19*(HLOOKUP('SDA Tool'!$D$20,$D$1:$CL$13,ROW($A$13),)/HLOOKUP('SDA Tool'!$D$16,$D$1:$CL$13,ROW($A$13),)))/'SDA Tool'!$D$19)^(1/('SDA Tool'!$D$20-'SDA Tool'!$D$16)))^(H$1-'SDA Tool'!$D$16)))/1000),NA())</f>
        <v>#N/A</v>
      </c>
      <c r="I90" s="54" t="e">
        <f>IFERROR(IF(HLOOKUP('SDA Tool'!$D$20,$D$1:$CL$13,ROW($A$13),)&lt;0,NA(),IF(I$1&lt;'SDA Tool'!$D$16,NA(),IF(I$1&gt;'SDA Tool'!$D$20,NA(),'SDA Tool'!$D$19*((('SDA Tool'!$D$19*(HLOOKUP('SDA Tool'!$D$20,$D$1:$CL$13,ROW($A$13),)/HLOOKUP('SDA Tool'!$D$16,$D$1:$CL$13,ROW($A$13),)))/'SDA Tool'!$D$19)^(1/('SDA Tool'!$D$20-'SDA Tool'!$D$16)))^(I$1-'SDA Tool'!$D$16)))/1000),NA())</f>
        <v>#N/A</v>
      </c>
      <c r="J90" s="54">
        <f>IFERROR(IF(HLOOKUP('SDA Tool'!$D$20,$D$1:$CL$13,ROW($A$13),)&lt;0,NA(),IF(J$1&lt;'SDA Tool'!$D$16,NA(),IF(J$1&gt;'SDA Tool'!$D$20,NA(),'SDA Tool'!$D$19*((('SDA Tool'!$D$19*(HLOOKUP('SDA Tool'!$D$20,$D$1:$CL$13,ROW($A$13),)/HLOOKUP('SDA Tool'!$D$16,$D$1:$CL$13,ROW($A$13),)))/'SDA Tool'!$D$19)^(1/('SDA Tool'!$D$20-'SDA Tool'!$D$16)))^(J$1-'SDA Tool'!$D$16)))/1000),NA())</f>
        <v>0.1</v>
      </c>
      <c r="K90" s="54">
        <f>IFERROR(IF(HLOOKUP('SDA Tool'!$D$20,$D$1:$CL$13,ROW($A$13),)&lt;0,NA(),IF(K$1&lt;'SDA Tool'!$D$16,NA(),IF(K$1&gt;'SDA Tool'!$D$20,NA(),'SDA Tool'!$D$19*((('SDA Tool'!$D$19*(HLOOKUP('SDA Tool'!$D$20,$D$1:$CL$13,ROW($A$13),)/HLOOKUP('SDA Tool'!$D$16,$D$1:$CL$13,ROW($A$13),)))/'SDA Tool'!$D$19)^(1/('SDA Tool'!$D$20-'SDA Tool'!$D$16)))^(K$1-'SDA Tool'!$D$16)))/1000),NA())</f>
        <v>9.496517047024329E-2</v>
      </c>
      <c r="L90" s="54">
        <f>IFERROR(IF(HLOOKUP('SDA Tool'!$D$20,$D$1:$CL$13,ROW($A$13),)&lt;0,NA(),IF(L$1&lt;'SDA Tool'!$D$16,NA(),IF(L$1&gt;'SDA Tool'!$D$20,NA(),'SDA Tool'!$D$19*((('SDA Tool'!$D$19*(HLOOKUP('SDA Tool'!$D$20,$D$1:$CL$13,ROW($A$13),)/HLOOKUP('SDA Tool'!$D$16,$D$1:$CL$13,ROW($A$13),)))/'SDA Tool'!$D$19)^(1/('SDA Tool'!$D$20-'SDA Tool'!$D$16)))^(L$1-'SDA Tool'!$D$16)))/1000),NA())</f>
        <v>9.0183836024423703E-2</v>
      </c>
      <c r="M90" s="54">
        <f>IFERROR(IF(HLOOKUP('SDA Tool'!$D$20,$D$1:$CL$13,ROW($A$13),)&lt;0,NA(),IF(M$1&lt;'SDA Tool'!$D$16,NA(),IF(M$1&gt;'SDA Tool'!$D$20,NA(),'SDA Tool'!$D$19*((('SDA Tool'!$D$19*(HLOOKUP('SDA Tool'!$D$20,$D$1:$CL$13,ROW($A$13),)/HLOOKUP('SDA Tool'!$D$16,$D$1:$CL$13,ROW($A$13),)))/'SDA Tool'!$D$19)^(1/('SDA Tool'!$D$20-'SDA Tool'!$D$16)))^(M$1-'SDA Tool'!$D$16)))/1000),NA())</f>
        <v>8.5643233617198666E-2</v>
      </c>
      <c r="N90" s="54">
        <f>IFERROR(IF(HLOOKUP('SDA Tool'!$D$20,$D$1:$CL$13,ROW($A$13),)&lt;0,NA(),IF(N$1&lt;'SDA Tool'!$D$16,NA(),IF(N$1&gt;'SDA Tool'!$D$20,NA(),'SDA Tool'!$D$19*((('SDA Tool'!$D$19*(HLOOKUP('SDA Tool'!$D$20,$D$1:$CL$13,ROW($A$13),)/HLOOKUP('SDA Tool'!$D$16,$D$1:$CL$13,ROW($A$13),)))/'SDA Tool'!$D$19)^(1/('SDA Tool'!$D$20-'SDA Tool'!$D$16)))^(N$1-'SDA Tool'!$D$16)))/1000),NA())</f>
        <v>8.1331242800801437E-2</v>
      </c>
      <c r="O90" s="54">
        <f>IFERROR(IF(HLOOKUP('SDA Tool'!$D$20,$D$1:$CL$13,ROW($A$13),)&lt;0,NA(),IF(O$1&lt;'SDA Tool'!$D$16,NA(),IF(O$1&gt;'SDA Tool'!$D$20,NA(),'SDA Tool'!$D$19*((('SDA Tool'!$D$19*(HLOOKUP('SDA Tool'!$D$20,$D$1:$CL$13,ROW($A$13),)/HLOOKUP('SDA Tool'!$D$16,$D$1:$CL$13,ROW($A$13),)))/'SDA Tool'!$D$19)^(1/('SDA Tool'!$D$20-'SDA Tool'!$D$16)))^(O$1-'SDA Tool'!$D$16)))/1000),NA())</f>
        <v>7.7236353371348557E-2</v>
      </c>
      <c r="P90" s="54">
        <f>IFERROR(IF(HLOOKUP('SDA Tool'!$D$20,$D$1:$CL$13,ROW($A$13),)&lt;0,NA(),IF(P$1&lt;'SDA Tool'!$D$16,NA(),IF(P$1&gt;'SDA Tool'!$D$20,NA(),'SDA Tool'!$D$19*((('SDA Tool'!$D$19*(HLOOKUP('SDA Tool'!$D$20,$D$1:$CL$13,ROW($A$13),)/HLOOKUP('SDA Tool'!$D$16,$D$1:$CL$13,ROW($A$13),)))/'SDA Tool'!$D$19)^(1/('SDA Tool'!$D$20-'SDA Tool'!$D$16)))^(P$1-'SDA Tool'!$D$16)))/1000),NA())</f>
        <v>7.334763464410067E-2</v>
      </c>
      <c r="Q90" s="54">
        <f>IFERROR(IF(HLOOKUP('SDA Tool'!$D$20,$D$1:$CL$13,ROW($A$13),)&lt;0,NA(),IF(Q$1&lt;'SDA Tool'!$D$16,NA(),IF(Q$1&gt;'SDA Tool'!$D$20,NA(),'SDA Tool'!$D$19*((('SDA Tool'!$D$19*(HLOOKUP('SDA Tool'!$D$20,$D$1:$CL$13,ROW($A$13),)/HLOOKUP('SDA Tool'!$D$16,$D$1:$CL$13,ROW($A$13),)))/'SDA Tool'!$D$19)^(1/('SDA Tool'!$D$20-'SDA Tool'!$D$16)))^(Q$1-'SDA Tool'!$D$16)))/1000),NA())</f>
        <v>6.9654706275661421E-2</v>
      </c>
      <c r="R90" s="54">
        <f>IFERROR(IF(HLOOKUP('SDA Tool'!$D$20,$D$1:$CL$13,ROW($A$13),)&lt;0,NA(),IF(R$1&lt;'SDA Tool'!$D$16,NA(),IF(R$1&gt;'SDA Tool'!$D$20,NA(),'SDA Tool'!$D$19*((('SDA Tool'!$D$19*(HLOOKUP('SDA Tool'!$D$20,$D$1:$CL$13,ROW($A$13),)/HLOOKUP('SDA Tool'!$D$16,$D$1:$CL$13,ROW($A$13),)))/'SDA Tool'!$D$19)^(1/('SDA Tool'!$D$20-'SDA Tool'!$D$16)))^(R$1-'SDA Tool'!$D$16)))/1000),NA())</f>
        <v>6.6147710555229139E-2</v>
      </c>
      <c r="S90" s="54">
        <f>IFERROR(IF(HLOOKUP('SDA Tool'!$D$20,$D$1:$CL$13,ROW($A$13),)&lt;0,NA(),IF(S$1&lt;'SDA Tool'!$D$16,NA(),IF(S$1&gt;'SDA Tool'!$D$20,NA(),'SDA Tool'!$D$19*((('SDA Tool'!$D$19*(HLOOKUP('SDA Tool'!$D$20,$D$1:$CL$13,ROW($A$13),)/HLOOKUP('SDA Tool'!$D$16,$D$1:$CL$13,ROW($A$13),)))/'SDA Tool'!$D$19)^(1/('SDA Tool'!$D$20-'SDA Tool'!$D$16)))^(S$1-'SDA Tool'!$D$16)))/1000),NA())</f>
        <v>6.2817286090936481E-2</v>
      </c>
      <c r="T90" s="54">
        <f>IFERROR(IF(HLOOKUP('SDA Tool'!$D$20,$D$1:$CL$13,ROW($A$13),)&lt;0,NA(),IF(T$1&lt;'SDA Tool'!$D$16,NA(),IF(T$1&gt;'SDA Tool'!$D$20,NA(),'SDA Tool'!$D$19*((('SDA Tool'!$D$19*(HLOOKUP('SDA Tool'!$D$20,$D$1:$CL$13,ROW($A$13),)/HLOOKUP('SDA Tool'!$D$16,$D$1:$CL$13,ROW($A$13),)))/'SDA Tool'!$D$19)^(1/('SDA Tool'!$D$20-'SDA Tool'!$D$16)))^(T$1-'SDA Tool'!$D$16)))/1000),NA())</f>
        <v>5.9654542821038263E-2</v>
      </c>
      <c r="U90" s="54" t="e">
        <f>IFERROR(IF(HLOOKUP('SDA Tool'!$D$20,$D$1:$CL$13,ROW($A$13),)&lt;0,NA(),IF(U$1&lt;'SDA Tool'!$D$16,NA(),IF(U$1&gt;'SDA Tool'!$D$20,NA(),'SDA Tool'!$D$19*((('SDA Tool'!$D$19*(HLOOKUP('SDA Tool'!$D$20,$D$1:$CL$13,ROW($A$13),)/HLOOKUP('SDA Tool'!$D$16,$D$1:$CL$13,ROW($A$13),)))/'SDA Tool'!$D$19)^(1/('SDA Tool'!$D$20-'SDA Tool'!$D$16)))^(U$1-'SDA Tool'!$D$16)))/1000),NA())</f>
        <v>#N/A</v>
      </c>
      <c r="V90" s="54" t="e">
        <f>IFERROR(IF(HLOOKUP('SDA Tool'!$D$20,$D$1:$CL$13,ROW($A$13),)&lt;0,NA(),IF(V$1&lt;'SDA Tool'!$D$16,NA(),IF(V$1&gt;'SDA Tool'!$D$20,NA(),'SDA Tool'!$D$19*((('SDA Tool'!$D$19*(HLOOKUP('SDA Tool'!$D$20,$D$1:$CL$13,ROW($A$13),)/HLOOKUP('SDA Tool'!$D$16,$D$1:$CL$13,ROW($A$13),)))/'SDA Tool'!$D$19)^(1/('SDA Tool'!$D$20-'SDA Tool'!$D$16)))^(V$1-'SDA Tool'!$D$16)))/1000),NA())</f>
        <v>#N/A</v>
      </c>
      <c r="W90" s="54" t="e">
        <f>IFERROR(IF(HLOOKUP('SDA Tool'!$D$20,$D$1:$CL$13,ROW($A$13),)&lt;0,NA(),IF(W$1&lt;'SDA Tool'!$D$16,NA(),IF(W$1&gt;'SDA Tool'!$D$20,NA(),'SDA Tool'!$D$19*((('SDA Tool'!$D$19*(HLOOKUP('SDA Tool'!$D$20,$D$1:$CL$13,ROW($A$13),)/HLOOKUP('SDA Tool'!$D$16,$D$1:$CL$13,ROW($A$13),)))/'SDA Tool'!$D$19)^(1/('SDA Tool'!$D$20-'SDA Tool'!$D$16)))^(W$1-'SDA Tool'!$D$16)))/1000),NA())</f>
        <v>#N/A</v>
      </c>
      <c r="X90" s="54" t="e">
        <f>IFERROR(IF(HLOOKUP('SDA Tool'!$D$20,$D$1:$CL$13,ROW($A$13),)&lt;0,NA(),IF(X$1&lt;'SDA Tool'!$D$16,NA(),IF(X$1&gt;'SDA Tool'!$D$20,NA(),'SDA Tool'!$D$19*((('SDA Tool'!$D$19*(HLOOKUP('SDA Tool'!$D$20,$D$1:$CL$13,ROW($A$13),)/HLOOKUP('SDA Tool'!$D$16,$D$1:$CL$13,ROW($A$13),)))/'SDA Tool'!$D$19)^(1/('SDA Tool'!$D$20-'SDA Tool'!$D$16)))^(X$1-'SDA Tool'!$D$16)))/1000),NA())</f>
        <v>#N/A</v>
      </c>
      <c r="Y90" s="54" t="e">
        <f>IFERROR(IF(HLOOKUP('SDA Tool'!$D$20,$D$1:$CL$13,ROW($A$13),)&lt;0,NA(),IF(Y$1&lt;'SDA Tool'!$D$16,NA(),IF(Y$1&gt;'SDA Tool'!$D$20,NA(),'SDA Tool'!$D$19*((('SDA Tool'!$D$19*(HLOOKUP('SDA Tool'!$D$20,$D$1:$CL$13,ROW($A$13),)/HLOOKUP('SDA Tool'!$D$16,$D$1:$CL$13,ROW($A$13),)))/'SDA Tool'!$D$19)^(1/('SDA Tool'!$D$20-'SDA Tool'!$D$16)))^(Y$1-'SDA Tool'!$D$16)))/1000),NA())</f>
        <v>#N/A</v>
      </c>
      <c r="Z90" s="54" t="e">
        <f>IFERROR(IF(HLOOKUP('SDA Tool'!$D$20,$D$1:$CL$13,ROW($A$13),)&lt;0,NA(),IF(Z$1&lt;'SDA Tool'!$D$16,NA(),IF(Z$1&gt;'SDA Tool'!$D$20,NA(),'SDA Tool'!$D$19*((('SDA Tool'!$D$19*(HLOOKUP('SDA Tool'!$D$20,$D$1:$CL$13,ROW($A$13),)/HLOOKUP('SDA Tool'!$D$16,$D$1:$CL$13,ROW($A$13),)))/'SDA Tool'!$D$19)^(1/('SDA Tool'!$D$20-'SDA Tool'!$D$16)))^(Z$1-'SDA Tool'!$D$16)))/1000),NA())</f>
        <v>#N/A</v>
      </c>
      <c r="AA90" s="54" t="e">
        <f>IFERROR(IF(HLOOKUP('SDA Tool'!$D$20,$D$1:$CL$13,ROW($A$13),)&lt;0,NA(),IF(AA$1&lt;'SDA Tool'!$D$16,NA(),IF(AA$1&gt;'SDA Tool'!$D$20,NA(),'SDA Tool'!$D$19*((('SDA Tool'!$D$19*(HLOOKUP('SDA Tool'!$D$20,$D$1:$CL$13,ROW($A$13),)/HLOOKUP('SDA Tool'!$D$16,$D$1:$CL$13,ROW($A$13),)))/'SDA Tool'!$D$19)^(1/('SDA Tool'!$D$20-'SDA Tool'!$D$16)))^(AA$1-'SDA Tool'!$D$16)))/1000),NA())</f>
        <v>#N/A</v>
      </c>
      <c r="AB90" s="54" t="e">
        <f>IFERROR(IF(HLOOKUP('SDA Tool'!$D$20,$D$1:$CL$13,ROW($A$13),)&lt;0,NA(),IF(AB$1&lt;'SDA Tool'!$D$16,NA(),IF(AB$1&gt;'SDA Tool'!$D$20,NA(),'SDA Tool'!$D$19*((('SDA Tool'!$D$19*(HLOOKUP('SDA Tool'!$D$20,$D$1:$CL$13,ROW($A$13),)/HLOOKUP('SDA Tool'!$D$16,$D$1:$CL$13,ROW($A$13),)))/'SDA Tool'!$D$19)^(1/('SDA Tool'!$D$20-'SDA Tool'!$D$16)))^(AB$1-'SDA Tool'!$D$16)))/1000),NA())</f>
        <v>#N/A</v>
      </c>
      <c r="AC90" s="54" t="e">
        <f>IFERROR(IF(HLOOKUP('SDA Tool'!$D$20,$D$1:$CL$13,ROW($A$13),)&lt;0,NA(),IF(AC$1&lt;'SDA Tool'!$D$16,NA(),IF(AC$1&gt;'SDA Tool'!$D$20,NA(),'SDA Tool'!$D$19*((('SDA Tool'!$D$19*(HLOOKUP('SDA Tool'!$D$20,$D$1:$CL$13,ROW($A$13),)/HLOOKUP('SDA Tool'!$D$16,$D$1:$CL$13,ROW($A$13),)))/'SDA Tool'!$D$19)^(1/('SDA Tool'!$D$20-'SDA Tool'!$D$16)))^(AC$1-'SDA Tool'!$D$16)))/1000),NA())</f>
        <v>#N/A</v>
      </c>
      <c r="AD90" s="54" t="e">
        <f>IFERROR(IF(HLOOKUP('SDA Tool'!$D$20,$D$1:$CL$13,ROW($A$13),)&lt;0,NA(),IF(AD$1&lt;'SDA Tool'!$D$16,NA(),IF(AD$1&gt;'SDA Tool'!$D$20,NA(),'SDA Tool'!$D$19*((('SDA Tool'!$D$19*(HLOOKUP('SDA Tool'!$D$20,$D$1:$CL$13,ROW($A$13),)/HLOOKUP('SDA Tool'!$D$16,$D$1:$CL$13,ROW($A$13),)))/'SDA Tool'!$D$19)^(1/('SDA Tool'!$D$20-'SDA Tool'!$D$16)))^(AD$1-'SDA Tool'!$D$16)))/1000),NA())</f>
        <v>#N/A</v>
      </c>
      <c r="AE90" s="54" t="e">
        <f>IFERROR(IF(HLOOKUP('SDA Tool'!$D$20,$D$1:$CL$13,ROW($A$13),)&lt;0,NA(),IF(AE$1&lt;'SDA Tool'!$D$16,NA(),IF(AE$1&gt;'SDA Tool'!$D$20,NA(),'SDA Tool'!$D$19*((('SDA Tool'!$D$19*(HLOOKUP('SDA Tool'!$D$20,$D$1:$CL$13,ROW($A$13),)/HLOOKUP('SDA Tool'!$D$16,$D$1:$CL$13,ROW($A$13),)))/'SDA Tool'!$D$19)^(1/('SDA Tool'!$D$20-'SDA Tool'!$D$16)))^(AE$1-'SDA Tool'!$D$16)))/1000),NA())</f>
        <v>#N/A</v>
      </c>
      <c r="AF90" s="54" t="e">
        <f>IFERROR(IF(HLOOKUP('SDA Tool'!$D$20,$D$1:$CL$13,ROW($A$13),)&lt;0,NA(),IF(AF$1&lt;'SDA Tool'!$D$16,NA(),IF(AF$1&gt;'SDA Tool'!$D$20,NA(),'SDA Tool'!$D$19*((('SDA Tool'!$D$19*(HLOOKUP('SDA Tool'!$D$20,$D$1:$CL$13,ROW($A$13),)/HLOOKUP('SDA Tool'!$D$16,$D$1:$CL$13,ROW($A$13),)))/'SDA Tool'!$D$19)^(1/('SDA Tool'!$D$20-'SDA Tool'!$D$16)))^(AF$1-'SDA Tool'!$D$16)))/1000),NA())</f>
        <v>#N/A</v>
      </c>
      <c r="AG90" s="54" t="e">
        <f>IFERROR(IF(HLOOKUP('SDA Tool'!$D$20,$D$1:$CL$13,ROW($A$13),)&lt;0,NA(),IF(AG$1&lt;'SDA Tool'!$D$16,NA(),IF(AG$1&gt;'SDA Tool'!$D$20,NA(),'SDA Tool'!$D$19*((('SDA Tool'!$D$19*(HLOOKUP('SDA Tool'!$D$20,$D$1:$CL$13,ROW($A$13),)/HLOOKUP('SDA Tool'!$D$16,$D$1:$CL$13,ROW($A$13),)))/'SDA Tool'!$D$19)^(1/('SDA Tool'!$D$20-'SDA Tool'!$D$16)))^(AG$1-'SDA Tool'!$D$16)))/1000),NA())</f>
        <v>#N/A</v>
      </c>
      <c r="AH90" s="54" t="e">
        <f>IFERROR(IF(HLOOKUP('SDA Tool'!$D$20,$D$1:$CL$13,ROW($A$13),)&lt;0,NA(),IF(AH$1&lt;'SDA Tool'!$D$16,NA(),IF(AH$1&gt;'SDA Tool'!$D$20,NA(),'SDA Tool'!$D$19*((('SDA Tool'!$D$19*(HLOOKUP('SDA Tool'!$D$20,$D$1:$CL$13,ROW($A$13),)/HLOOKUP('SDA Tool'!$D$16,$D$1:$CL$13,ROW($A$13),)))/'SDA Tool'!$D$19)^(1/('SDA Tool'!$D$20-'SDA Tool'!$D$16)))^(AH$1-'SDA Tool'!$D$16)))/1000),NA())</f>
        <v>#N/A</v>
      </c>
      <c r="AI90" s="54" t="e">
        <f>IFERROR(IF(HLOOKUP('SDA Tool'!$D$20,$D$1:$CL$13,ROW($A$13),)&lt;0,NA(),IF(AI$1&lt;'SDA Tool'!$D$16,NA(),IF(AI$1&gt;'SDA Tool'!$D$20,NA(),'SDA Tool'!$D$19*((('SDA Tool'!$D$19*(HLOOKUP('SDA Tool'!$D$20,$D$1:$CL$13,ROW($A$13),)/HLOOKUP('SDA Tool'!$D$16,$D$1:$CL$13,ROW($A$13),)))/'SDA Tool'!$D$19)^(1/('SDA Tool'!$D$20-'SDA Tool'!$D$16)))^(AI$1-'SDA Tool'!$D$16)))/1000),NA())</f>
        <v>#N/A</v>
      </c>
      <c r="AJ90" s="54" t="e">
        <f>IFERROR(IF(HLOOKUP('SDA Tool'!$D$20,$D$1:$CL$13,ROW($A$13),)&lt;0,NA(),IF(AJ$1&lt;'SDA Tool'!$D$16,NA(),IF(AJ$1&gt;'SDA Tool'!$D$20,NA(),'SDA Tool'!$D$19*((('SDA Tool'!$D$19*(HLOOKUP('SDA Tool'!$D$20,$D$1:$CL$13,ROW($A$13),)/HLOOKUP('SDA Tool'!$D$16,$D$1:$CL$13,ROW($A$13),)))/'SDA Tool'!$D$19)^(1/('SDA Tool'!$D$20-'SDA Tool'!$D$16)))^(AJ$1-'SDA Tool'!$D$16)))/1000),NA())</f>
        <v>#N/A</v>
      </c>
      <c r="AK90" s="54" t="e">
        <f>IFERROR(IF(HLOOKUP('SDA Tool'!$D$20,$D$1:$CL$13,ROW($A$13),)&lt;0,NA(),IF(AK$1&lt;'SDA Tool'!$D$16,NA(),IF(AK$1&gt;'SDA Tool'!$D$20,NA(),'SDA Tool'!$D$19*((('SDA Tool'!$D$19*(HLOOKUP('SDA Tool'!$D$20,$D$1:$CL$13,ROW($A$13),)/HLOOKUP('SDA Tool'!$D$16,$D$1:$CL$13,ROW($A$13),)))/'SDA Tool'!$D$19)^(1/('SDA Tool'!$D$20-'SDA Tool'!$D$16)))^(AK$1-'SDA Tool'!$D$16)))/1000),NA())</f>
        <v>#N/A</v>
      </c>
      <c r="AL90" s="54" t="e">
        <f>IFERROR(IF(HLOOKUP('SDA Tool'!$D$20,$D$1:$CL$13,ROW($A$13),)&lt;0,NA(),IF(AL$1&lt;'SDA Tool'!$D$16,NA(),IF(AL$1&gt;'SDA Tool'!$D$20,NA(),'SDA Tool'!$D$19*((('SDA Tool'!$D$19*(HLOOKUP('SDA Tool'!$D$20,$D$1:$CL$13,ROW($A$13),)/HLOOKUP('SDA Tool'!$D$16,$D$1:$CL$13,ROW($A$13),)))/'SDA Tool'!$D$19)^(1/('SDA Tool'!$D$20-'SDA Tool'!$D$16)))^(AL$1-'SDA Tool'!$D$16)))/1000),NA())</f>
        <v>#N/A</v>
      </c>
      <c r="AM90" s="54" t="e">
        <f>IFERROR(IF(HLOOKUP('SDA Tool'!$D$20,$D$1:$CL$13,ROW($A$13),)&lt;0,NA(),IF(AM$1&lt;'SDA Tool'!$D$16,NA(),IF(AM$1&gt;'SDA Tool'!$D$20,NA(),'SDA Tool'!$D$19*((('SDA Tool'!$D$19*(HLOOKUP('SDA Tool'!$D$20,$D$1:$CL$13,ROW($A$13),)/HLOOKUP('SDA Tool'!$D$16,$D$1:$CL$13,ROW($A$13),)))/'SDA Tool'!$D$19)^(1/('SDA Tool'!$D$20-'SDA Tool'!$D$16)))^(AM$1-'SDA Tool'!$D$16)))/1000),NA())</f>
        <v>#N/A</v>
      </c>
      <c r="AN90" s="54" t="e">
        <f>IFERROR(IF(HLOOKUP('SDA Tool'!$D$20,$D$1:$CL$13,ROW($A$13),)&lt;0,NA(),IF(AN$1&lt;'SDA Tool'!$D$16,NA(),IF(AN$1&gt;'SDA Tool'!$D$20,NA(),'SDA Tool'!$D$19*((('SDA Tool'!$D$19*(HLOOKUP('SDA Tool'!$D$20,$D$1:$CL$13,ROW($A$13),)/HLOOKUP('SDA Tool'!$D$16,$D$1:$CL$13,ROW($A$13),)))/'SDA Tool'!$D$19)^(1/('SDA Tool'!$D$20-'SDA Tool'!$D$16)))^(AN$1-'SDA Tool'!$D$16)))/1000),NA())</f>
        <v>#N/A</v>
      </c>
      <c r="AO90" s="54" t="e">
        <f>IFERROR(IF(HLOOKUP('SDA Tool'!$D$20,$D$1:$CL$13,ROW($A$13),)&lt;0,NA(),IF(AO$1&lt;'SDA Tool'!$D$16,NA(),IF(AO$1&gt;'SDA Tool'!$D$20,NA(),'SDA Tool'!$D$19*((('SDA Tool'!$D$19*(HLOOKUP('SDA Tool'!$D$20,$D$1:$CL$13,ROW($A$13),)/HLOOKUP('SDA Tool'!$D$16,$D$1:$CL$13,ROW($A$13),)))/'SDA Tool'!$D$19)^(1/('SDA Tool'!$D$20-'SDA Tool'!$D$16)))^(AO$1-'SDA Tool'!$D$16)))/1000),NA())</f>
        <v>#N/A</v>
      </c>
      <c r="AP90" s="54" t="e">
        <f>IFERROR(IF(HLOOKUP('SDA Tool'!$D$20,$D$1:$CL$13,ROW($A$13),)&lt;0,NA(),IF(AP$1&lt;'SDA Tool'!$D$16,NA(),IF(AP$1&gt;'SDA Tool'!$D$20,NA(),'SDA Tool'!$D$19*((('SDA Tool'!$D$19*(HLOOKUP('SDA Tool'!$D$20,$D$1:$CL$13,ROW($A$13),)/HLOOKUP('SDA Tool'!$D$16,$D$1:$CL$13,ROW($A$13),)))/'SDA Tool'!$D$19)^(1/('SDA Tool'!$D$20-'SDA Tool'!$D$16)))^(AP$1-'SDA Tool'!$D$16)))/1000),NA())</f>
        <v>#N/A</v>
      </c>
      <c r="AQ90" s="54" t="e">
        <f>IFERROR(IF(HLOOKUP('SDA Tool'!$D$20,$D$1:$CL$13,ROW($A$13),)&lt;0,NA(),IF(AQ$1&lt;'SDA Tool'!$D$16,NA(),IF(AQ$1&gt;'SDA Tool'!$D$20,NA(),'SDA Tool'!$D$19*((('SDA Tool'!$D$19*(HLOOKUP('SDA Tool'!$D$20,$D$1:$CL$13,ROW($A$13),)/HLOOKUP('SDA Tool'!$D$16,$D$1:$CL$13,ROW($A$13),)))/'SDA Tool'!$D$19)^(1/('SDA Tool'!$D$20-'SDA Tool'!$D$16)))^(AQ$1-'SDA Tool'!$D$16)))/1000),NA())</f>
        <v>#N/A</v>
      </c>
      <c r="AR90" s="54" t="e">
        <f>IFERROR(IF(HLOOKUP('SDA Tool'!$D$20,$D$1:$CL$13,ROW($A$13),)&lt;0,NA(),IF(AR$1&lt;'SDA Tool'!$D$16,NA(),IF(AR$1&gt;'SDA Tool'!$D$20,NA(),'SDA Tool'!$D$19*((('SDA Tool'!$D$19*(HLOOKUP('SDA Tool'!$D$20,$D$1:$CL$13,ROW($A$13),)/HLOOKUP('SDA Tool'!$D$16,$D$1:$CL$13,ROW($A$13),)))/'SDA Tool'!$D$19)^(1/('SDA Tool'!$D$20-'SDA Tool'!$D$16)))^(AR$1-'SDA Tool'!$D$16)))/1000),NA())</f>
        <v>#N/A</v>
      </c>
      <c r="AS90" s="54" t="e">
        <f>IFERROR(IF(HLOOKUP('SDA Tool'!$D$20,$D$1:$CL$13,ROW($A$13),)&lt;0,NA(),IF(AS$1&lt;'SDA Tool'!$D$16,NA(),IF(AS$1&gt;'SDA Tool'!$D$20,NA(),'SDA Tool'!$D$19*((('SDA Tool'!$D$19*(HLOOKUP('SDA Tool'!$D$20,$D$1:$CL$13,ROW($A$13),)/HLOOKUP('SDA Tool'!$D$16,$D$1:$CL$13,ROW($A$13),)))/'SDA Tool'!$D$19)^(1/('SDA Tool'!$D$20-'SDA Tool'!$D$16)))^(AS$1-'SDA Tool'!$D$16)))/1000),NA())</f>
        <v>#N/A</v>
      </c>
      <c r="AT90" s="54" t="e">
        <f>IFERROR(IF(HLOOKUP('SDA Tool'!$D$20,$D$1:$CL$13,ROW($A$13),)&lt;0,NA(),IF(AT$1&lt;'SDA Tool'!$D$16,NA(),IF(AT$1&gt;'SDA Tool'!$D$20,NA(),'SDA Tool'!$D$19*((('SDA Tool'!$D$19*(HLOOKUP('SDA Tool'!$D$20,$D$1:$CL$13,ROW($A$13),)/HLOOKUP('SDA Tool'!$D$16,$D$1:$CL$13,ROW($A$13),)))/'SDA Tool'!$D$19)^(1/('SDA Tool'!$D$20-'SDA Tool'!$D$16)))^(AT$1-'SDA Tool'!$D$16)))/1000),NA())</f>
        <v>#N/A</v>
      </c>
      <c r="AU90" s="54" t="e">
        <f>IFERROR(IF(HLOOKUP('SDA Tool'!$D$20,$D$1:$CL$13,ROW($A$13),)&lt;0,NA(),IF(AU$1&lt;'SDA Tool'!$D$16,NA(),IF(AU$1&gt;'SDA Tool'!$D$20,NA(),'SDA Tool'!$D$19*((('SDA Tool'!$D$19*(HLOOKUP('SDA Tool'!$D$20,$D$1:$CL$13,ROW($A$13),)/HLOOKUP('SDA Tool'!$D$16,$D$1:$CL$13,ROW($A$13),)))/'SDA Tool'!$D$19)^(1/('SDA Tool'!$D$20-'SDA Tool'!$D$16)))^(AU$1-'SDA Tool'!$D$16)))/1000),NA())</f>
        <v>#N/A</v>
      </c>
      <c r="AV90" s="54" t="e">
        <f>IFERROR(IF(HLOOKUP('SDA Tool'!$D$20,$D$1:$CL$13,ROW($A$13),)&lt;0,NA(),IF(AV$1&lt;'SDA Tool'!$D$16,NA(),IF(AV$1&gt;'SDA Tool'!$D$20,NA(),'SDA Tool'!$D$19*((('SDA Tool'!$D$19*(HLOOKUP('SDA Tool'!$D$20,$D$1:$CL$13,ROW($A$13),)/HLOOKUP('SDA Tool'!$D$16,$D$1:$CL$13,ROW($A$13),)))/'SDA Tool'!$D$19)^(1/('SDA Tool'!$D$20-'SDA Tool'!$D$16)))^(AV$1-'SDA Tool'!$D$16)))/1000),NA())</f>
        <v>#N/A</v>
      </c>
      <c r="AW90" s="54" t="e">
        <f>IFERROR(IF(HLOOKUP('SDA Tool'!$D$20,$D$1:$CL$13,ROW($A$13),)&lt;0,NA(),IF(AW$1&lt;'SDA Tool'!$D$16,NA(),IF(AW$1&gt;'SDA Tool'!$D$20,NA(),'SDA Tool'!$D$19*((('SDA Tool'!$D$19*(HLOOKUP('SDA Tool'!$D$20,$D$1:$CL$13,ROW($A$13),)/HLOOKUP('SDA Tool'!$D$16,$D$1:$CL$13,ROW($A$13),)))/'SDA Tool'!$D$19)^(1/('SDA Tool'!$D$20-'SDA Tool'!$D$16)))^(AW$1-'SDA Tool'!$D$16)))/1000),NA())</f>
        <v>#N/A</v>
      </c>
      <c r="AX90" s="54" t="e">
        <f>IFERROR(IF(HLOOKUP('SDA Tool'!$D$20,$D$1:$CL$13,ROW($A$13),)&lt;0,NA(),IF(AX$1&lt;'SDA Tool'!$D$16,NA(),IF(AX$1&gt;'SDA Tool'!$D$20,NA(),'SDA Tool'!$D$19*((('SDA Tool'!$D$19*(HLOOKUP('SDA Tool'!$D$20,$D$1:$CL$13,ROW($A$13),)/HLOOKUP('SDA Tool'!$D$16,$D$1:$CL$13,ROW($A$13),)))/'SDA Tool'!$D$19)^(1/('SDA Tool'!$D$20-'SDA Tool'!$D$16)))^(AX$1-'SDA Tool'!$D$16)))/1000),NA())</f>
        <v>#N/A</v>
      </c>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row>
    <row r="91" spans="1:91" s="43" customFormat="1" hidden="1" x14ac:dyDescent="0.25">
      <c r="A91" s="43" t="s">
        <v>159</v>
      </c>
      <c r="B91" s="43" t="str">
        <f>IF(OR('SDA Tool'!$D$15=Lists!$B$26,'SDA Tool'!$D$15=Lists!$B$27,'SDA Tool'!$D$15=Lists!$B$28),"Scope 3 emissions intensity ("&amp;C91&amp;")","Scope 1 emissions intensity ("&amp;C91&amp;")")</f>
        <v>Scope 1 emissions intensity (tCO2/t)</v>
      </c>
      <c r="C91" s="43" t="str">
        <f>INDEX(Lists!$E$2:$E$50,MATCH('SDA Tool'!$D$15,Lists!$B$2:$B$50,0))</f>
        <v>tCO2/t</v>
      </c>
      <c r="D91" s="54" t="e">
        <f>IFERROR(D89*INDEX(Lists!$F$2:$F$50,MATCH('SDA Tool'!$D$15,Lists!$B$2:$B$50,0))*1000/D$34,NA())</f>
        <v>#N/A</v>
      </c>
      <c r="E91" s="54" t="e">
        <f>IFERROR(E89*INDEX(Lists!$F$2:$F$50,MATCH('SDA Tool'!$D$15,Lists!$B$2:$B$50,0))*1000/E$34,NA())</f>
        <v>#N/A</v>
      </c>
      <c r="F91" s="54" t="e">
        <f>IFERROR(F89*INDEX(Lists!$F$2:$F$50,MATCH('SDA Tool'!$D$15,Lists!$B$2:$B$50,0))*1000/F$34,NA())</f>
        <v>#N/A</v>
      </c>
      <c r="G91" s="54" t="e">
        <f>IFERROR(G89*INDEX(Lists!$F$2:$F$50,MATCH('SDA Tool'!$D$15,Lists!$B$2:$B$50,0))*1000/G$34,NA())</f>
        <v>#N/A</v>
      </c>
      <c r="H91" s="54" t="e">
        <f>IFERROR(H89*INDEX(Lists!$F$2:$F$50,MATCH('SDA Tool'!$D$15,Lists!$B$2:$B$50,0))*1000/H$34,NA())</f>
        <v>#N/A</v>
      </c>
      <c r="I91" s="54" t="e">
        <f>IFERROR(I89*INDEX(Lists!$F$2:$F$50,MATCH('SDA Tool'!$D$15,Lists!$B$2:$B$50,0))*1000/I$34,NA())</f>
        <v>#N/A</v>
      </c>
      <c r="J91" s="54">
        <f>IFERROR(J89*INDEX(Lists!$F$2:$F$50,MATCH('SDA Tool'!$D$15,Lists!$B$2:$B$50,0))*1000/J$34,NA())</f>
        <v>0.2</v>
      </c>
      <c r="K91" s="54">
        <f>IFERROR(K89*INDEX(Lists!$F$2:$F$50,MATCH('SDA Tool'!$D$15,Lists!$B$2:$B$50,0))*1000/K$34,NA())</f>
        <v>0.19239188859175207</v>
      </c>
      <c r="L91" s="54">
        <f>IFERROR(L89*INDEX(Lists!$F$2:$F$50,MATCH('SDA Tool'!$D$15,Lists!$B$2:$B$50,0))*1000/L$34,NA())</f>
        <v>0.18509436637406931</v>
      </c>
      <c r="M91" s="54">
        <f>IFERROR(M89*INDEX(Lists!$F$2:$F$50,MATCH('SDA Tool'!$D$15,Lists!$B$2:$B$50,0))*1000/M$34,NA())</f>
        <v>0.17809358561922606</v>
      </c>
      <c r="N91" s="54">
        <f>IFERROR(N89*INDEX(Lists!$F$2:$F$50,MATCH('SDA Tool'!$D$15,Lists!$B$2:$B$50,0))*1000/N$34,NA())</f>
        <v>0.17137638450605822</v>
      </c>
      <c r="O91" s="54">
        <f>IFERROR(O89*INDEX(Lists!$F$2:$F$50,MATCH('SDA Tool'!$D$15,Lists!$B$2:$B$50,0))*1000/O$34,NA())</f>
        <v>0.16493024888375937</v>
      </c>
      <c r="P91" s="54">
        <f>IFERROR(P89*INDEX(Lists!$F$2:$F$50,MATCH('SDA Tool'!$D$15,Lists!$B$2:$B$50,0))*1000/P$34,NA())</f>
        <v>0.1587432764485491</v>
      </c>
      <c r="Q91" s="54">
        <f>IFERROR(Q89*INDEX(Lists!$F$2:$F$50,MATCH('SDA Tool'!$D$15,Lists!$B$2:$B$50,0))*1000/Q$34,NA())</f>
        <v>0.15280414316117283</v>
      </c>
      <c r="R91" s="54">
        <f>IFERROR(R89*INDEX(Lists!$F$2:$F$50,MATCH('SDA Tool'!$D$15,Lists!$B$2:$B$50,0))*1000/R$34,NA())</f>
        <v>0.14710207174694812</v>
      </c>
      <c r="S91" s="54">
        <f>IFERROR(S89*INDEX(Lists!$F$2:$F$50,MATCH('SDA Tool'!$D$15,Lists!$B$2:$B$50,0))*1000/S$34,NA())</f>
        <v>0.14162680213260953</v>
      </c>
      <c r="T91" s="54">
        <f>IFERROR(T89*INDEX(Lists!$F$2:$F$50,MATCH('SDA Tool'!$D$15,Lists!$B$2:$B$50,0))*1000/T$34,NA())</f>
        <v>0.13636856368563691</v>
      </c>
      <c r="U91" s="54" t="e">
        <f>IFERROR(U89*INDEX(Lists!$F$2:$F$50,MATCH('SDA Tool'!$D$15,Lists!$B$2:$B$50,0))*1000/U$34,NA())</f>
        <v>#N/A</v>
      </c>
      <c r="V91" s="54" t="e">
        <f>IFERROR(V89*INDEX(Lists!$F$2:$F$50,MATCH('SDA Tool'!$D$15,Lists!$B$2:$B$50,0))*1000/V$34,NA())</f>
        <v>#N/A</v>
      </c>
      <c r="W91" s="54" t="e">
        <f>IFERROR(W89*INDEX(Lists!$F$2:$F$50,MATCH('SDA Tool'!$D$15,Lists!$B$2:$B$50,0))*1000/W$34,NA())</f>
        <v>#N/A</v>
      </c>
      <c r="X91" s="54" t="e">
        <f>IFERROR(X89*INDEX(Lists!$F$2:$F$50,MATCH('SDA Tool'!$D$15,Lists!$B$2:$B$50,0))*1000/X$34,NA())</f>
        <v>#N/A</v>
      </c>
      <c r="Y91" s="54" t="e">
        <f>IFERROR(Y89*INDEX(Lists!$F$2:$F$50,MATCH('SDA Tool'!$D$15,Lists!$B$2:$B$50,0))*1000/Y$34,NA())</f>
        <v>#N/A</v>
      </c>
      <c r="Z91" s="54" t="e">
        <f>IFERROR(Z89*INDEX(Lists!$F$2:$F$50,MATCH('SDA Tool'!$D$15,Lists!$B$2:$B$50,0))*1000/Z$34,NA())</f>
        <v>#N/A</v>
      </c>
      <c r="AA91" s="54" t="e">
        <f>IFERROR(AA89*INDEX(Lists!$F$2:$F$50,MATCH('SDA Tool'!$D$15,Lists!$B$2:$B$50,0))*1000/AA$34,NA())</f>
        <v>#N/A</v>
      </c>
      <c r="AB91" s="54" t="e">
        <f>IFERROR(AB89*INDEX(Lists!$F$2:$F$50,MATCH('SDA Tool'!$D$15,Lists!$B$2:$B$50,0))*1000/AB$34,NA())</f>
        <v>#N/A</v>
      </c>
      <c r="AC91" s="54" t="e">
        <f>IFERROR(AC89*INDEX(Lists!$F$2:$F$50,MATCH('SDA Tool'!$D$15,Lists!$B$2:$B$50,0))*1000/AC$34,NA())</f>
        <v>#N/A</v>
      </c>
      <c r="AD91" s="54" t="e">
        <f>IFERROR(AD89*INDEX(Lists!$F$2:$F$50,MATCH('SDA Tool'!$D$15,Lists!$B$2:$B$50,0))*1000/AD$34,NA())</f>
        <v>#N/A</v>
      </c>
      <c r="AE91" s="54" t="e">
        <f>IFERROR(AE89*INDEX(Lists!$F$2:$F$50,MATCH('SDA Tool'!$D$15,Lists!$B$2:$B$50,0))*1000/AE$34,NA())</f>
        <v>#N/A</v>
      </c>
      <c r="AF91" s="54" t="e">
        <f>IFERROR(AF89*INDEX(Lists!$F$2:$F$50,MATCH('SDA Tool'!$D$15,Lists!$B$2:$B$50,0))*1000/AF$34,NA())</f>
        <v>#N/A</v>
      </c>
      <c r="AG91" s="54" t="e">
        <f>IFERROR(AG89*INDEX(Lists!$F$2:$F$50,MATCH('SDA Tool'!$D$15,Lists!$B$2:$B$50,0))*1000/AG$34,NA())</f>
        <v>#N/A</v>
      </c>
      <c r="AH91" s="54" t="e">
        <f>IFERROR(AH89*INDEX(Lists!$F$2:$F$50,MATCH('SDA Tool'!$D$15,Lists!$B$2:$B$50,0))*1000/AH$34,NA())</f>
        <v>#N/A</v>
      </c>
      <c r="AI91" s="54" t="e">
        <f>IFERROR(AI89*INDEX(Lists!$F$2:$F$50,MATCH('SDA Tool'!$D$15,Lists!$B$2:$B$50,0))*1000/AI$34,NA())</f>
        <v>#N/A</v>
      </c>
      <c r="AJ91" s="54" t="e">
        <f>IFERROR(AJ89*INDEX(Lists!$F$2:$F$50,MATCH('SDA Tool'!$D$15,Lists!$B$2:$B$50,0))*1000/AJ$34,NA())</f>
        <v>#N/A</v>
      </c>
      <c r="AK91" s="54" t="e">
        <f>IFERROR(AK89*INDEX(Lists!$F$2:$F$50,MATCH('SDA Tool'!$D$15,Lists!$B$2:$B$50,0))*1000/AK$34,NA())</f>
        <v>#N/A</v>
      </c>
      <c r="AL91" s="54" t="e">
        <f>IFERROR(AL89*INDEX(Lists!$F$2:$F$50,MATCH('SDA Tool'!$D$15,Lists!$B$2:$B$50,0))*1000/AL$34,NA())</f>
        <v>#N/A</v>
      </c>
      <c r="AM91" s="54" t="e">
        <f>IFERROR(AM89*INDEX(Lists!$F$2:$F$50,MATCH('SDA Tool'!$D$15,Lists!$B$2:$B$50,0))*1000/AM$34,NA())</f>
        <v>#N/A</v>
      </c>
      <c r="AN91" s="54" t="e">
        <f>IFERROR(AN89*INDEX(Lists!$F$2:$F$50,MATCH('SDA Tool'!$D$15,Lists!$B$2:$B$50,0))*1000/AN$34,NA())</f>
        <v>#N/A</v>
      </c>
      <c r="AO91" s="54" t="e">
        <f>IFERROR(AO89*INDEX(Lists!$F$2:$F$50,MATCH('SDA Tool'!$D$15,Lists!$B$2:$B$50,0))*1000/AO$34,NA())</f>
        <v>#N/A</v>
      </c>
      <c r="AP91" s="54" t="e">
        <f>IFERROR(AP89*INDEX(Lists!$F$2:$F$50,MATCH('SDA Tool'!$D$15,Lists!$B$2:$B$50,0))*1000/AP$34,NA())</f>
        <v>#N/A</v>
      </c>
      <c r="AQ91" s="54" t="e">
        <f>IFERROR(AQ89*INDEX(Lists!$F$2:$F$50,MATCH('SDA Tool'!$D$15,Lists!$B$2:$B$50,0))*1000/AQ$34,NA())</f>
        <v>#N/A</v>
      </c>
      <c r="AR91" s="54" t="e">
        <f>IFERROR(AR89*INDEX(Lists!$F$2:$F$50,MATCH('SDA Tool'!$D$15,Lists!$B$2:$B$50,0))*1000/AR$34,NA())</f>
        <v>#N/A</v>
      </c>
      <c r="AS91" s="54" t="e">
        <f>IFERROR(AS89*INDEX(Lists!$F$2:$F$50,MATCH('SDA Tool'!$D$15,Lists!$B$2:$B$50,0))*1000/AS$34,NA())</f>
        <v>#N/A</v>
      </c>
      <c r="AT91" s="54" t="e">
        <f>IFERROR(AT89*INDEX(Lists!$F$2:$F$50,MATCH('SDA Tool'!$D$15,Lists!$B$2:$B$50,0))*1000/AT$34,NA())</f>
        <v>#N/A</v>
      </c>
      <c r="AU91" s="54" t="e">
        <f>IFERROR(AU89*INDEX(Lists!$F$2:$F$50,MATCH('SDA Tool'!$D$15,Lists!$B$2:$B$50,0))*1000/AU$34,NA())</f>
        <v>#N/A</v>
      </c>
      <c r="AV91" s="54" t="e">
        <f>IFERROR(AV89*INDEX(Lists!$F$2:$F$50,MATCH('SDA Tool'!$D$15,Lists!$B$2:$B$50,0))*1000/AV$34,NA())</f>
        <v>#N/A</v>
      </c>
      <c r="AW91" s="54" t="e">
        <f>IFERROR(AW89*INDEX(Lists!$F$2:$F$50,MATCH('SDA Tool'!$D$15,Lists!$B$2:$B$50,0))*1000/AW$34,NA())</f>
        <v>#N/A</v>
      </c>
      <c r="AX91" s="54" t="e">
        <f>IFERROR(AX89*INDEX(Lists!$F$2:$F$50,MATCH('SDA Tool'!$D$15,Lists!$B$2:$B$50,0))*1000/AX$34,NA())</f>
        <v>#N/A</v>
      </c>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row>
    <row r="92" spans="1:91" s="43" customFormat="1" hidden="1" x14ac:dyDescent="0.25">
      <c r="A92" s="43" t="s">
        <v>162</v>
      </c>
      <c r="B92" s="43" t="str">
        <f>"Scope 2 emissions intensity ("&amp;C92&amp;")"</f>
        <v>Scope 2 emissions intensity (tCO2/t)</v>
      </c>
      <c r="C92" s="43" t="str">
        <f>INDEX(Lists!$E$2:$E$50,MATCH('SDA Tool'!$D$15,Lists!$B$2:$B$50,0))</f>
        <v>tCO2/t</v>
      </c>
      <c r="D92" s="54" t="e">
        <f>IFERROR(D90*INDEX(Lists!$F$2:$F$50,MATCH('SDA Tool'!$D$15,Lists!$B$2:$B$50,0))*1000/D$34,NA())</f>
        <v>#N/A</v>
      </c>
      <c r="E92" s="54" t="e">
        <f>IFERROR(E90*INDEX(Lists!$F$2:$F$50,MATCH('SDA Tool'!$D$15,Lists!$B$2:$B$50,0))*1000/E$34,NA())</f>
        <v>#N/A</v>
      </c>
      <c r="F92" s="54" t="e">
        <f>IFERROR(F90*INDEX(Lists!$F$2:$F$50,MATCH('SDA Tool'!$D$15,Lists!$B$2:$B$50,0))*1000/F$34,NA())</f>
        <v>#N/A</v>
      </c>
      <c r="G92" s="54" t="e">
        <f>IFERROR(G90*INDEX(Lists!$F$2:$F$50,MATCH('SDA Tool'!$D$15,Lists!$B$2:$B$50,0))*1000/G$34,NA())</f>
        <v>#N/A</v>
      </c>
      <c r="H92" s="54" t="e">
        <f>IFERROR(H90*INDEX(Lists!$F$2:$F$50,MATCH('SDA Tool'!$D$15,Lists!$B$2:$B$50,0))*1000/H$34,NA())</f>
        <v>#N/A</v>
      </c>
      <c r="I92" s="54" t="e">
        <f>IFERROR(I90*INDEX(Lists!$F$2:$F$50,MATCH('SDA Tool'!$D$15,Lists!$B$2:$B$50,0))*1000/I$34,NA())</f>
        <v>#N/A</v>
      </c>
      <c r="J92" s="54">
        <f>IFERROR(J90*INDEX(Lists!$F$2:$F$50,MATCH('SDA Tool'!$D$15,Lists!$B$2:$B$50,0))*1000/J$34,NA())</f>
        <v>0.1</v>
      </c>
      <c r="K92" s="54">
        <f>IFERROR(K90*INDEX(Lists!$F$2:$F$50,MATCH('SDA Tool'!$D$15,Lists!$B$2:$B$50,0))*1000/K$34,NA())</f>
        <v>9.3949500197834282E-2</v>
      </c>
      <c r="L92" s="54">
        <f>IFERROR(L90*INDEX(Lists!$F$2:$F$50,MATCH('SDA Tool'!$D$15,Lists!$B$2:$B$50,0))*1000/L$34,NA())</f>
        <v>8.8275183410150171E-2</v>
      </c>
      <c r="M92" s="54">
        <f>IFERROR(M90*INDEX(Lists!$F$2:$F$50,MATCH('SDA Tool'!$D$15,Lists!$B$2:$B$50,0))*1000/M$34,NA())</f>
        <v>8.2952870257496092E-2</v>
      </c>
      <c r="N92" s="54">
        <f>IFERROR(N90*INDEX(Lists!$F$2:$F$50,MATCH('SDA Tool'!$D$15,Lists!$B$2:$B$50,0))*1000/N$34,NA())</f>
        <v>7.7959999575897734E-2</v>
      </c>
      <c r="O92" s="54">
        <f>IFERROR(O90*INDEX(Lists!$F$2:$F$50,MATCH('SDA Tool'!$D$15,Lists!$B$2:$B$50,0))*1000/O$34,NA())</f>
        <v>7.3275514736920427E-2</v>
      </c>
      <c r="P92" s="54">
        <f>IFERROR(P90*INDEX(Lists!$F$2:$F$50,MATCH('SDA Tool'!$D$15,Lists!$B$2:$B$50,0))*1000/P$34,NA())</f>
        <v>6.8879758422125001E-2</v>
      </c>
      <c r="Q92" s="54">
        <f>IFERROR(Q90*INDEX(Lists!$F$2:$F$50,MATCH('SDA Tool'!$D$15,Lists!$B$2:$B$50,0))*1000/Q$34,NA())</f>
        <v>6.4754375180891277E-2</v>
      </c>
      <c r="R92" s="54">
        <f>IFERROR(R90*INDEX(Lists!$F$2:$F$50,MATCH('SDA Tool'!$D$15,Lists!$B$2:$B$50,0))*1000/R$34,NA())</f>
        <v>6.0882221157797962E-2</v>
      </c>
      <c r="S92" s="54">
        <f>IFERROR(S90*INDEX(Lists!$F$2:$F$50,MATCH('SDA Tool'!$D$15,Lists!$B$2:$B$50,0))*1000/S$34,NA())</f>
        <v>5.7247280427700734E-2</v>
      </c>
      <c r="T92" s="54">
        <f>IFERROR(T90*INDEX(Lists!$F$2:$F$50,MATCH('SDA Tool'!$D$15,Lists!$B$2:$B$50,0))*1000/T$34,NA())</f>
        <v>5.3834587423863794E-2</v>
      </c>
      <c r="U92" s="54" t="e">
        <f>IFERROR(U90*INDEX(Lists!$F$2:$F$50,MATCH('SDA Tool'!$D$15,Lists!$B$2:$B$50,0))*1000/U$34,NA())</f>
        <v>#N/A</v>
      </c>
      <c r="V92" s="54" t="e">
        <f>IFERROR(V90*INDEX(Lists!$F$2:$F$50,MATCH('SDA Tool'!$D$15,Lists!$B$2:$B$50,0))*1000/V$34,NA())</f>
        <v>#N/A</v>
      </c>
      <c r="W92" s="54" t="e">
        <f>IFERROR(W90*INDEX(Lists!$F$2:$F$50,MATCH('SDA Tool'!$D$15,Lists!$B$2:$B$50,0))*1000/W$34,NA())</f>
        <v>#N/A</v>
      </c>
      <c r="X92" s="54" t="e">
        <f>IFERROR(X90*INDEX(Lists!$F$2:$F$50,MATCH('SDA Tool'!$D$15,Lists!$B$2:$B$50,0))*1000/X$34,NA())</f>
        <v>#N/A</v>
      </c>
      <c r="Y92" s="54" t="e">
        <f>IFERROR(Y90*INDEX(Lists!$F$2:$F$50,MATCH('SDA Tool'!$D$15,Lists!$B$2:$B$50,0))*1000/Y$34,NA())</f>
        <v>#N/A</v>
      </c>
      <c r="Z92" s="54" t="e">
        <f>IFERROR(Z90*INDEX(Lists!$F$2:$F$50,MATCH('SDA Tool'!$D$15,Lists!$B$2:$B$50,0))*1000/Z$34,NA())</f>
        <v>#N/A</v>
      </c>
      <c r="AA92" s="54" t="e">
        <f>IFERROR(AA90*INDEX(Lists!$F$2:$F$50,MATCH('SDA Tool'!$D$15,Lists!$B$2:$B$50,0))*1000/AA$34,NA())</f>
        <v>#N/A</v>
      </c>
      <c r="AB92" s="54" t="e">
        <f>IFERROR(AB90*INDEX(Lists!$F$2:$F$50,MATCH('SDA Tool'!$D$15,Lists!$B$2:$B$50,0))*1000/AB$34,NA())</f>
        <v>#N/A</v>
      </c>
      <c r="AC92" s="54" t="e">
        <f>IFERROR(AC90*INDEX(Lists!$F$2:$F$50,MATCH('SDA Tool'!$D$15,Lists!$B$2:$B$50,0))*1000/AC$34,NA())</f>
        <v>#N/A</v>
      </c>
      <c r="AD92" s="54" t="e">
        <f>IFERROR(AD90*INDEX(Lists!$F$2:$F$50,MATCH('SDA Tool'!$D$15,Lists!$B$2:$B$50,0))*1000/AD$34,NA())</f>
        <v>#N/A</v>
      </c>
      <c r="AE92" s="54" t="e">
        <f>IFERROR(AE90*INDEX(Lists!$F$2:$F$50,MATCH('SDA Tool'!$D$15,Lists!$B$2:$B$50,0))*1000/AE$34,NA())</f>
        <v>#N/A</v>
      </c>
      <c r="AF92" s="54" t="e">
        <f>IFERROR(AF90*INDEX(Lists!$F$2:$F$50,MATCH('SDA Tool'!$D$15,Lists!$B$2:$B$50,0))*1000/AF$34,NA())</f>
        <v>#N/A</v>
      </c>
      <c r="AG92" s="54" t="e">
        <f>IFERROR(AG90*INDEX(Lists!$F$2:$F$50,MATCH('SDA Tool'!$D$15,Lists!$B$2:$B$50,0))*1000/AG$34,NA())</f>
        <v>#N/A</v>
      </c>
      <c r="AH92" s="54" t="e">
        <f>IFERROR(AH90*INDEX(Lists!$F$2:$F$50,MATCH('SDA Tool'!$D$15,Lists!$B$2:$B$50,0))*1000/AH$34,NA())</f>
        <v>#N/A</v>
      </c>
      <c r="AI92" s="54" t="e">
        <f>IFERROR(AI90*INDEX(Lists!$F$2:$F$50,MATCH('SDA Tool'!$D$15,Lists!$B$2:$B$50,0))*1000/AI$34,NA())</f>
        <v>#N/A</v>
      </c>
      <c r="AJ92" s="54" t="e">
        <f>IFERROR(AJ90*INDEX(Lists!$F$2:$F$50,MATCH('SDA Tool'!$D$15,Lists!$B$2:$B$50,0))*1000/AJ$34,NA())</f>
        <v>#N/A</v>
      </c>
      <c r="AK92" s="54" t="e">
        <f>IFERROR(AK90*INDEX(Lists!$F$2:$F$50,MATCH('SDA Tool'!$D$15,Lists!$B$2:$B$50,0))*1000/AK$34,NA())</f>
        <v>#N/A</v>
      </c>
      <c r="AL92" s="54" t="e">
        <f>IFERROR(AL90*INDEX(Lists!$F$2:$F$50,MATCH('SDA Tool'!$D$15,Lists!$B$2:$B$50,0))*1000/AL$34,NA())</f>
        <v>#N/A</v>
      </c>
      <c r="AM92" s="54" t="e">
        <f>IFERROR(AM90*INDEX(Lists!$F$2:$F$50,MATCH('SDA Tool'!$D$15,Lists!$B$2:$B$50,0))*1000/AM$34,NA())</f>
        <v>#N/A</v>
      </c>
      <c r="AN92" s="54" t="e">
        <f>IFERROR(AN90*INDEX(Lists!$F$2:$F$50,MATCH('SDA Tool'!$D$15,Lists!$B$2:$B$50,0))*1000/AN$34,NA())</f>
        <v>#N/A</v>
      </c>
      <c r="AO92" s="54" t="e">
        <f>IFERROR(AO90*INDEX(Lists!$F$2:$F$50,MATCH('SDA Tool'!$D$15,Lists!$B$2:$B$50,0))*1000/AO$34,NA())</f>
        <v>#N/A</v>
      </c>
      <c r="AP92" s="54" t="e">
        <f>IFERROR(AP90*INDEX(Lists!$F$2:$F$50,MATCH('SDA Tool'!$D$15,Lists!$B$2:$B$50,0))*1000/AP$34,NA())</f>
        <v>#N/A</v>
      </c>
      <c r="AQ92" s="54" t="e">
        <f>IFERROR(AQ90*INDEX(Lists!$F$2:$F$50,MATCH('SDA Tool'!$D$15,Lists!$B$2:$B$50,0))*1000/AQ$34,NA())</f>
        <v>#N/A</v>
      </c>
      <c r="AR92" s="54" t="e">
        <f>IFERROR(AR90*INDEX(Lists!$F$2:$F$50,MATCH('SDA Tool'!$D$15,Lists!$B$2:$B$50,0))*1000/AR$34,NA())</f>
        <v>#N/A</v>
      </c>
      <c r="AS92" s="54" t="e">
        <f>IFERROR(AS90*INDEX(Lists!$F$2:$F$50,MATCH('SDA Tool'!$D$15,Lists!$B$2:$B$50,0))*1000/AS$34,NA())</f>
        <v>#N/A</v>
      </c>
      <c r="AT92" s="54" t="e">
        <f>IFERROR(AT90*INDEX(Lists!$F$2:$F$50,MATCH('SDA Tool'!$D$15,Lists!$B$2:$B$50,0))*1000/AT$34,NA())</f>
        <v>#N/A</v>
      </c>
      <c r="AU92" s="54" t="e">
        <f>IFERROR(AU90*INDEX(Lists!$F$2:$F$50,MATCH('SDA Tool'!$D$15,Lists!$B$2:$B$50,0))*1000/AU$34,NA())</f>
        <v>#N/A</v>
      </c>
      <c r="AV92" s="54" t="e">
        <f>IFERROR(AV90*INDEX(Lists!$F$2:$F$50,MATCH('SDA Tool'!$D$15,Lists!$B$2:$B$50,0))*1000/AV$34,NA())</f>
        <v>#N/A</v>
      </c>
      <c r="AW92" s="54" t="e">
        <f>IFERROR(AW90*INDEX(Lists!$F$2:$F$50,MATCH('SDA Tool'!$D$15,Lists!$B$2:$B$50,0))*1000/AW$34,NA())</f>
        <v>#N/A</v>
      </c>
      <c r="AX92" s="54" t="e">
        <f>IFERROR(AX90*INDEX(Lists!$F$2:$F$50,MATCH('SDA Tool'!$D$15,Lists!$B$2:$B$50,0))*1000/AX$34,NA())</f>
        <v>#N/A</v>
      </c>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row>
    <row r="93" spans="1:91" s="43" customFormat="1" hidden="1" x14ac:dyDescent="0.25">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row>
    <row r="94" spans="1:91" ht="13" x14ac:dyDescent="0.3">
      <c r="D94" s="118">
        <v>2014</v>
      </c>
      <c r="E94" s="118">
        <v>2015</v>
      </c>
      <c r="F94" s="118">
        <v>2016</v>
      </c>
      <c r="G94" s="118">
        <v>2017</v>
      </c>
      <c r="H94" s="118">
        <v>2018</v>
      </c>
      <c r="I94" s="118">
        <v>2019</v>
      </c>
      <c r="J94" s="118">
        <v>2020</v>
      </c>
      <c r="K94" s="118">
        <v>2021</v>
      </c>
      <c r="L94" s="118">
        <v>2022</v>
      </c>
      <c r="M94" s="118">
        <v>2023</v>
      </c>
      <c r="N94" s="118">
        <v>2024</v>
      </c>
      <c r="O94" s="118">
        <v>2025</v>
      </c>
      <c r="P94" s="118">
        <v>2026</v>
      </c>
      <c r="Q94" s="118">
        <v>2027</v>
      </c>
      <c r="R94" s="118">
        <v>2028</v>
      </c>
      <c r="S94" s="118">
        <v>2029</v>
      </c>
      <c r="T94" s="118">
        <v>2030</v>
      </c>
      <c r="U94" s="118">
        <v>2031</v>
      </c>
      <c r="V94" s="118">
        <v>2032</v>
      </c>
      <c r="W94" s="118">
        <v>2033</v>
      </c>
      <c r="X94" s="118">
        <v>2034</v>
      </c>
      <c r="Y94" s="118">
        <v>2035</v>
      </c>
      <c r="Z94" s="118">
        <v>2036</v>
      </c>
      <c r="AA94" s="118">
        <v>2037</v>
      </c>
      <c r="AB94" s="118">
        <v>2038</v>
      </c>
      <c r="AC94" s="118">
        <v>2039</v>
      </c>
      <c r="AD94" s="118">
        <v>2040</v>
      </c>
      <c r="AE94" s="118">
        <v>2041</v>
      </c>
      <c r="AF94" s="118">
        <v>2042</v>
      </c>
      <c r="AG94" s="118">
        <v>2043</v>
      </c>
      <c r="AH94" s="118">
        <v>2044</v>
      </c>
      <c r="AI94" s="118">
        <v>2045</v>
      </c>
      <c r="AJ94" s="118">
        <v>2046</v>
      </c>
      <c r="AK94" s="118">
        <v>2047</v>
      </c>
      <c r="AL94" s="118">
        <v>2048</v>
      </c>
      <c r="AM94" s="118">
        <v>2049</v>
      </c>
      <c r="AN94" s="118">
        <v>2050</v>
      </c>
      <c r="AO94" s="118">
        <v>2051</v>
      </c>
      <c r="AP94" s="118">
        <v>2052</v>
      </c>
      <c r="AQ94" s="118">
        <v>2053</v>
      </c>
      <c r="AR94" s="118">
        <v>2054</v>
      </c>
      <c r="AS94" s="118">
        <v>2055</v>
      </c>
      <c r="AT94" s="118">
        <v>2056</v>
      </c>
      <c r="AU94" s="118">
        <v>2057</v>
      </c>
      <c r="AV94" s="118">
        <v>2058</v>
      </c>
      <c r="AW94" s="118">
        <v>2059</v>
      </c>
      <c r="AX94" s="118">
        <v>2060</v>
      </c>
    </row>
    <row r="96" spans="1:91" ht="13" x14ac:dyDescent="0.3">
      <c r="B96" s="1" t="str">
        <f>CONCATENATE("Graph 1 | SDA absolute emissions (",'SDA Tool'!D14,")")</f>
        <v>Graph 1 | SDA absolute emissions (SBTi 1.5C)</v>
      </c>
    </row>
    <row r="97" spans="2:50" x14ac:dyDescent="0.25">
      <c r="B97" t="str">
        <f>+B48</f>
        <v>Company | Heat and process-related emissions (tCO2/)</v>
      </c>
      <c r="C97" t="str">
        <f>+C48</f>
        <v>tCO2</v>
      </c>
      <c r="D97" t="e">
        <f>IF('SDA Tool'!$D$13=Lists!$N$3,NA(),D48)</f>
        <v>#N/A</v>
      </c>
      <c r="E97" t="e">
        <f>IF('SDA Tool'!$D$13=Lists!$N$3,NA(),E48)</f>
        <v>#N/A</v>
      </c>
      <c r="F97" t="e">
        <f>IF('SDA Tool'!$D$13=Lists!$N$3,NA(),F48)</f>
        <v>#N/A</v>
      </c>
      <c r="G97" t="e">
        <f>IF('SDA Tool'!$D$13=Lists!$N$3,NA(),G48)</f>
        <v>#N/A</v>
      </c>
      <c r="H97" t="e">
        <f>IF('SDA Tool'!$D$13=Lists!$N$3,NA(),H48)</f>
        <v>#N/A</v>
      </c>
      <c r="I97" t="e">
        <f>IF('SDA Tool'!$D$13=Lists!$N$3,NA(),I48)</f>
        <v>#N/A</v>
      </c>
      <c r="J97">
        <f>IF('SDA Tool'!$D$13=Lists!$N$3,NA(),J48)</f>
        <v>200</v>
      </c>
      <c r="K97">
        <f>IF('SDA Tool'!$D$13=Lists!$N$3,NA(),K48)</f>
        <v>198.02903103504303</v>
      </c>
      <c r="L97">
        <f>IF('SDA Tool'!$D$13=Lists!$N$3,NA(),L48)</f>
        <v>196.05806207008609</v>
      </c>
      <c r="M97">
        <f>IF('SDA Tool'!$D$13=Lists!$N$3,NA(),M48)</f>
        <v>194.08709310512916</v>
      </c>
      <c r="N97">
        <f>IF('SDA Tool'!$D$13=Lists!$N$3,NA(),N48)</f>
        <v>192.11612414017225</v>
      </c>
      <c r="O97">
        <f>IF('SDA Tool'!$D$13=Lists!$N$3,NA(),O48)</f>
        <v>190.14515517521528</v>
      </c>
      <c r="P97">
        <f>IF('SDA Tool'!$D$13=Lists!$N$3,NA(),P48)</f>
        <v>188.17418621025834</v>
      </c>
      <c r="Q97">
        <f>IF('SDA Tool'!$D$13=Lists!$N$3,NA(),Q48)</f>
        <v>186.2032172453014</v>
      </c>
      <c r="R97">
        <f>IF('SDA Tool'!$D$13=Lists!$N$3,NA(),R48)</f>
        <v>184.23224828034449</v>
      </c>
      <c r="S97">
        <f>IF('SDA Tool'!$D$13=Lists!$N$3,NA(),S48)</f>
        <v>182.26127931538753</v>
      </c>
      <c r="T97">
        <f>IF('SDA Tool'!$D$13=Lists!$N$3,NA(),T48)</f>
        <v>180.29031035043059</v>
      </c>
      <c r="U97">
        <f>IF('SDA Tool'!$D$13=Lists!$N$3,NA(),U48)</f>
        <v>175.88122190326601</v>
      </c>
      <c r="V97">
        <f>IF('SDA Tool'!$D$13=Lists!$N$3,NA(),V48)</f>
        <v>171.4721334561014</v>
      </c>
      <c r="W97">
        <f>IF('SDA Tool'!$D$13=Lists!$N$3,NA(),W48)</f>
        <v>167.0630450089368</v>
      </c>
      <c r="X97">
        <f>IF('SDA Tool'!$D$13=Lists!$N$3,NA(),X48)</f>
        <v>162.65395656177216</v>
      </c>
      <c r="Y97">
        <f>IF('SDA Tool'!$D$13=Lists!$N$3,NA(),Y48)</f>
        <v>158.24486811460758</v>
      </c>
      <c r="Z97">
        <f>IF('SDA Tool'!$D$13=Lists!$N$3,NA(),Z48)</f>
        <v>153.83577966744298</v>
      </c>
      <c r="AA97">
        <f>IF('SDA Tool'!$D$13=Lists!$N$3,NA(),AA48)</f>
        <v>149.42669122027843</v>
      </c>
      <c r="AB97">
        <f>IF('SDA Tool'!$D$13=Lists!$N$3,NA(),AB48)</f>
        <v>145.01760277311379</v>
      </c>
      <c r="AC97">
        <f>IF('SDA Tool'!$D$13=Lists!$N$3,NA(),AC48)</f>
        <v>140.60851432594919</v>
      </c>
      <c r="AD97">
        <f>IF('SDA Tool'!$D$13=Lists!$N$3,NA(),AD48)</f>
        <v>136.19942587878461</v>
      </c>
      <c r="AE97">
        <f>IF('SDA Tool'!$D$13=Lists!$N$3,NA(),AE48)</f>
        <v>133.39029410171693</v>
      </c>
      <c r="AF97">
        <f>IF('SDA Tool'!$D$13=Lists!$N$3,NA(),AF48)</f>
        <v>130.58116232464931</v>
      </c>
      <c r="AG97">
        <f>IF('SDA Tool'!$D$13=Lists!$N$3,NA(),AG48)</f>
        <v>127.77203054758165</v>
      </c>
      <c r="AH97">
        <f>IF('SDA Tool'!$D$13=Lists!$N$3,NA(),AH48)</f>
        <v>124.962898770514</v>
      </c>
      <c r="AI97">
        <f>IF('SDA Tool'!$D$13=Lists!$N$3,NA(),AI48)</f>
        <v>122.15376699344635</v>
      </c>
      <c r="AJ97">
        <f>IF('SDA Tool'!$D$13=Lists!$N$3,NA(),AJ48)</f>
        <v>119.34463521637871</v>
      </c>
      <c r="AK97">
        <f>IF('SDA Tool'!$D$13=Lists!$N$3,NA(),AK48)</f>
        <v>116.53550343931104</v>
      </c>
      <c r="AL97">
        <f>IF('SDA Tool'!$D$13=Lists!$N$3,NA(),AL48)</f>
        <v>113.72637166224341</v>
      </c>
      <c r="AM97">
        <f>IF('SDA Tool'!$D$13=Lists!$N$3,NA(),AM48)</f>
        <v>110.91723988517576</v>
      </c>
      <c r="AN97">
        <f>IF('SDA Tool'!$D$13=Lists!$N$3,NA(),AN48)</f>
        <v>108.1081081081081</v>
      </c>
      <c r="AO97"/>
      <c r="AP97"/>
      <c r="AQ97"/>
      <c r="AR97"/>
      <c r="AS97"/>
      <c r="AT97"/>
      <c r="AU97"/>
      <c r="AV97"/>
      <c r="AW97"/>
      <c r="AX97"/>
    </row>
    <row r="98" spans="2:50" x14ac:dyDescent="0.25">
      <c r="B98" t="str">
        <f>+B55</f>
        <v>Company | Electricity-related emissions (tCO2)</v>
      </c>
      <c r="C98" t="str">
        <f>+C55</f>
        <v>tCO2</v>
      </c>
      <c r="D98" t="e">
        <f>IF('SDA Tool'!$D$13=Lists!$N$3,NA(),+D55)</f>
        <v>#N/A</v>
      </c>
      <c r="E98" t="e">
        <f>IF('SDA Tool'!$D$13=Lists!$N$3,NA(),+E55)</f>
        <v>#N/A</v>
      </c>
      <c r="F98" t="e">
        <f>IF('SDA Tool'!$D$13=Lists!$N$3,NA(),+F55)</f>
        <v>#N/A</v>
      </c>
      <c r="G98" t="e">
        <f>IF('SDA Tool'!$D$13=Lists!$N$3,NA(),+G55)</f>
        <v>#N/A</v>
      </c>
      <c r="H98" t="e">
        <f>IF('SDA Tool'!$D$13=Lists!$N$3,NA(),+H55)</f>
        <v>#N/A</v>
      </c>
      <c r="I98" t="e">
        <f>IF('SDA Tool'!$D$13=Lists!$N$3,NA(),+I55)</f>
        <v>#N/A</v>
      </c>
      <c r="J98">
        <f>IF('SDA Tool'!$D$13=Lists!$N$3,NA(),+J55)</f>
        <v>100</v>
      </c>
      <c r="K98">
        <f>IF('SDA Tool'!$D$13=Lists!$N$3,NA(),+K55)</f>
        <v>100.01311153682828</v>
      </c>
      <c r="L98">
        <f>IF('SDA Tool'!$D$13=Lists!$N$3,NA(),+L55)</f>
        <v>100.02622307365652</v>
      </c>
      <c r="M98">
        <f>IF('SDA Tool'!$D$13=Lists!$N$3,NA(),+M55)</f>
        <v>100.03933461048484</v>
      </c>
      <c r="N98">
        <f>IF('SDA Tool'!$D$13=Lists!$N$3,NA(),+N55)</f>
        <v>100.05244614731309</v>
      </c>
      <c r="O98">
        <f>IF('SDA Tool'!$D$13=Lists!$N$3,NA(),+O55)</f>
        <v>100.06555768414135</v>
      </c>
      <c r="P98">
        <f>IF('SDA Tool'!$D$13=Lists!$N$3,NA(),+P55)</f>
        <v>98.088215464321294</v>
      </c>
      <c r="Q98">
        <f>IF('SDA Tool'!$D$13=Lists!$N$3,NA(),+Q55)</f>
        <v>91.109392813194816</v>
      </c>
      <c r="R98">
        <f>IF('SDA Tool'!$D$13=Lists!$N$3,NA(),+R55)</f>
        <v>82.435801342173221</v>
      </c>
      <c r="S98">
        <f>IF('SDA Tool'!$D$13=Lists!$N$3,NA(),+S55)</f>
        <v>72.13601946244718</v>
      </c>
      <c r="T98">
        <f>IF('SDA Tool'!$D$13=Lists!$N$3,NA(),+T55)</f>
        <v>60.274974815902162</v>
      </c>
      <c r="U98">
        <f>IF('SDA Tool'!$D$13=Lists!$N$3,NA(),+U55)</f>
        <v>60.284808468523352</v>
      </c>
      <c r="V98">
        <f>IF('SDA Tool'!$D$13=Lists!$N$3,NA(),+V55)</f>
        <v>60.294642121144562</v>
      </c>
      <c r="W98">
        <f>IF('SDA Tool'!$D$13=Lists!$N$3,NA(),+W55)</f>
        <v>60.304475773765752</v>
      </c>
      <c r="X98">
        <f>IF('SDA Tool'!$D$13=Lists!$N$3,NA(),+X55)</f>
        <v>60.314309426386956</v>
      </c>
      <c r="Y98">
        <f>IF('SDA Tool'!$D$13=Lists!$N$3,NA(),+Y55)</f>
        <v>60.324143079008152</v>
      </c>
      <c r="Z98">
        <f>IF('SDA Tool'!$D$13=Lists!$N$3,NA(),+Z55)</f>
        <v>60.333976731629377</v>
      </c>
      <c r="AA98">
        <f>IF('SDA Tool'!$D$13=Lists!$N$3,NA(),+AA55)</f>
        <v>60.343810384250581</v>
      </c>
      <c r="AB98">
        <f>IF('SDA Tool'!$D$13=Lists!$N$3,NA(),+AB55)</f>
        <v>57.812874244547722</v>
      </c>
      <c r="AC98">
        <f>IF('SDA Tool'!$D$13=Lists!$N$3,NA(),+AC55)</f>
        <v>49.313148551961532</v>
      </c>
      <c r="AD98">
        <f>IF('SDA Tool'!$D$13=Lists!$N$3,NA(),+AD55)</f>
        <v>39.369110187302347</v>
      </c>
      <c r="AE98">
        <f>IF('SDA Tool'!$D$13=Lists!$N$3,NA(),+AE55)</f>
        <v>37.564912081655137</v>
      </c>
      <c r="AF98">
        <f>IF('SDA Tool'!$D$13=Lists!$N$3,NA(),+AF55)</f>
        <v>35.309972612242476</v>
      </c>
      <c r="AG98">
        <f>IF('SDA Tool'!$D$13=Lists!$N$3,NA(),+AG55)</f>
        <v>32.625263796683541</v>
      </c>
      <c r="AH98">
        <f>IF('SDA Tool'!$D$13=Lists!$N$3,NA(),+AH55)</f>
        <v>29.530476479369334</v>
      </c>
      <c r="AI98">
        <f>IF('SDA Tool'!$D$13=Lists!$N$3,NA(),+AI55)</f>
        <v>26.044116692823145</v>
      </c>
      <c r="AJ98">
        <f>IF('SDA Tool'!$D$13=Lists!$N$3,NA(),+AJ55)</f>
        <v>22.183593450755517</v>
      </c>
      <c r="AK98">
        <f>IF('SDA Tool'!$D$13=Lists!$N$3,NA(),+AK55)</f>
        <v>17.96529884869468</v>
      </c>
      <c r="AL98">
        <f>IF('SDA Tool'!$D$13=Lists!$N$3,NA(),+AL55)</f>
        <v>13.404681247219138</v>
      </c>
      <c r="AM98">
        <f>IF('SDA Tool'!$D$13=Lists!$N$3,NA(),+AM55)</f>
        <v>8.5163122248448211</v>
      </c>
      <c r="AN98">
        <f>IF('SDA Tool'!$D$13=Lists!$N$3,NA(),+AN55)</f>
        <v>3.3139479107227912</v>
      </c>
      <c r="AO98"/>
      <c r="AP98"/>
      <c r="AQ98"/>
      <c r="AR98"/>
      <c r="AS98"/>
      <c r="AT98"/>
      <c r="AU98"/>
      <c r="AV98"/>
      <c r="AW98"/>
      <c r="AX98"/>
    </row>
    <row r="99" spans="2:50" x14ac:dyDescent="0.25">
      <c r="B99" s="86" t="s">
        <v>551</v>
      </c>
      <c r="D99" s="61">
        <f>IF('SDA Tool'!$D$13=Lists!$N$3,NA(),D49)</f>
        <v>180.29031035043059</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2:50" x14ac:dyDescent="0.25">
      <c r="B100" s="86" t="s">
        <v>552</v>
      </c>
      <c r="D100" s="2">
        <f>IF('SDA Tool'!$D$13=Lists!$N$3,NA(),D56)</f>
        <v>60.274974815902162</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2:50" ht="13" x14ac:dyDescent="0.3">
      <c r="B101" s="1" t="str">
        <f>CONCATENATE("Graph 2 | SDA intensity (",'SDA Tool'!D14,")")</f>
        <v>Graph 2 | SDA intensity (SBTi 1.5C)</v>
      </c>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2:50" x14ac:dyDescent="0.25">
      <c r="B102" t="str">
        <f>+B47</f>
        <v>Company | Heat and process-related emissions intensity (tCO2/t)</v>
      </c>
      <c r="C102" t="str">
        <f>+C47</f>
        <v>tCO2/t</v>
      </c>
      <c r="D102" t="e">
        <f>IF('SDA Tool'!$D$13=Lists!$N$3,NA(),+D47)</f>
        <v>#N/A</v>
      </c>
      <c r="E102" t="e">
        <f>IF('SDA Tool'!$D$13=Lists!$N$3,NA(),+E47)</f>
        <v>#N/A</v>
      </c>
      <c r="F102" t="e">
        <f>IF('SDA Tool'!$D$13=Lists!$N$3,NA(),+F47)</f>
        <v>#N/A</v>
      </c>
      <c r="G102" t="e">
        <f>IF('SDA Tool'!$D$13=Lists!$N$3,NA(),+G47)</f>
        <v>#N/A</v>
      </c>
      <c r="H102" t="e">
        <f>IF('SDA Tool'!$D$13=Lists!$N$3,NA(),+H47)</f>
        <v>#N/A</v>
      </c>
      <c r="I102" t="e">
        <f>IF('SDA Tool'!$D$13=Lists!$N$3,NA(),+I47)</f>
        <v>#N/A</v>
      </c>
      <c r="J102">
        <f>IF('SDA Tool'!$D$13=Lists!$N$3,NA(),+J47)</f>
        <v>0.2</v>
      </c>
      <c r="K102">
        <f>IF('SDA Tool'!$D$13=Lists!$N$3,NA(),+K47)</f>
        <v>0.19591107348386613</v>
      </c>
      <c r="L102">
        <f>IF('SDA Tool'!$D$13=Lists!$N$3,NA(),+L47)</f>
        <v>0.19190868509505782</v>
      </c>
      <c r="M102">
        <f>IF('SDA Tool'!$D$13=Lists!$N$3,NA(),+M47)</f>
        <v>0.18799011635837121</v>
      </c>
      <c r="N102">
        <f>IF('SDA Tool'!$D$13=Lists!$N$3,NA(),+N47)</f>
        <v>0.18415276148151224</v>
      </c>
      <c r="O102">
        <f>IF('SDA Tool'!$D$13=Lists!$N$3,NA(),+O47)</f>
        <v>0.18039412157648632</v>
      </c>
      <c r="P102">
        <f>IF('SDA Tool'!$D$13=Lists!$N$3,NA(),+P47)</f>
        <v>0.17671179923298375</v>
      </c>
      <c r="Q102">
        <f>IF('SDA Tool'!$D$13=Lists!$N$3,NA(),+Q47)</f>
        <v>0.17310349341899881</v>
      </c>
      <c r="R102">
        <f>IF('SDA Tool'!$D$13=Lists!$N$3,NA(),+R47)</f>
        <v>0.16956699468588921</v>
      </c>
      <c r="S102">
        <f>IF('SDA Tool'!$D$13=Lists!$N$3,NA(),+S47)</f>
        <v>0.16610018065688026</v>
      </c>
      <c r="T102">
        <f>IF('SDA Tool'!$D$13=Lists!$N$3,NA(),+T47)</f>
        <v>0.16270101177965687</v>
      </c>
      <c r="U102">
        <f>IF('SDA Tool'!$D$13=Lists!$N$3,NA(),+U47)</f>
        <v>0.15756913342423345</v>
      </c>
      <c r="V102">
        <f>IF('SDA Tool'!$D$13=Lists!$N$3,NA(),+V47)</f>
        <v>0.15251127254509017</v>
      </c>
      <c r="W102">
        <f>IF('SDA Tool'!$D$13=Lists!$N$3,NA(),+W47)</f>
        <v>0.14752583926803486</v>
      </c>
      <c r="X102">
        <f>IF('SDA Tool'!$D$13=Lists!$N$3,NA(),+X47)</f>
        <v>0.14261128892856803</v>
      </c>
      <c r="Y102">
        <f>IF('SDA Tool'!$D$13=Lists!$N$3,NA(),+Y47)</f>
        <v>0.13776612047624659</v>
      </c>
      <c r="Z102">
        <f>IF('SDA Tool'!$D$13=Lists!$N$3,NA(),+Z47)</f>
        <v>0.132988874946154</v>
      </c>
      <c r="AA102">
        <f>IF('SDA Tool'!$D$13=Lists!$N$3,NA(),+AA47)</f>
        <v>0.12827813399420651</v>
      </c>
      <c r="AB102">
        <f>IF('SDA Tool'!$D$13=Lists!$N$3,NA(),+AB47)</f>
        <v>0.12363251849320761</v>
      </c>
      <c r="AC102">
        <f>IF('SDA Tool'!$D$13=Lists!$N$3,NA(),+AC47)</f>
        <v>0.11905068718673044</v>
      </c>
      <c r="AD102">
        <f>IF('SDA Tool'!$D$13=Lists!$N$3,NA(),+AD47)</f>
        <v>0.11453133539806887</v>
      </c>
      <c r="AE102">
        <f>IF('SDA Tool'!$D$13=Lists!$N$3,NA(),+AE47)</f>
        <v>0.11166155841093953</v>
      </c>
      <c r="AF102">
        <f>IF('SDA Tool'!$D$13=Lists!$N$3,NA(),+AF47)</f>
        <v>0.10881763527054109</v>
      </c>
      <c r="AG102">
        <f>IF('SDA Tool'!$D$13=Lists!$N$3,NA(),+AG47)</f>
        <v>0.10599921816727625</v>
      </c>
      <c r="AH102">
        <f>IF('SDA Tool'!$D$13=Lists!$N$3,NA(),+AH47)</f>
        <v>0.10320596550243344</v>
      </c>
      <c r="AI102">
        <f>IF('SDA Tool'!$D$13=Lists!$N$3,NA(),+AI47)</f>
        <v>0.100437541750167</v>
      </c>
      <c r="AJ102">
        <f>IF('SDA Tool'!$D$13=Lists!$N$3,NA(),+AJ47)</f>
        <v>9.7693617323141857E-2</v>
      </c>
      <c r="AK102">
        <f>IF('SDA Tool'!$D$13=Lists!$N$3,NA(),+AK47)</f>
        <v>9.4973868441729281E-2</v>
      </c>
      <c r="AL102">
        <f>IF('SDA Tool'!$D$13=Lists!$N$3,NA(),+AL47)</f>
        <v>9.2277977006644862E-2</v>
      </c>
      <c r="AM102">
        <f>IF('SDA Tool'!$D$13=Lists!$N$3,NA(),+AM47)</f>
        <v>8.9605630474923648E-2</v>
      </c>
      <c r="AN102">
        <f>IF('SDA Tool'!$D$13=Lists!$N$3,NA(),+AN47)</f>
        <v>8.6956521739130432E-2</v>
      </c>
      <c r="AO102"/>
      <c r="AP102"/>
      <c r="AQ102"/>
      <c r="AR102"/>
      <c r="AS102"/>
      <c r="AT102"/>
      <c r="AU102"/>
      <c r="AV102"/>
      <c r="AW102"/>
      <c r="AX102"/>
    </row>
    <row r="103" spans="2:50" x14ac:dyDescent="0.25">
      <c r="B103" t="str">
        <f>+B54</f>
        <v>Company | Electricity-related emissions intensity (tCO2/t)</v>
      </c>
      <c r="C103" t="str">
        <f>+C61</f>
        <v>tCO2/t</v>
      </c>
      <c r="D103" t="e">
        <f>IF('SDA Tool'!$D$13=Lists!$N$3,NA(),+D54)</f>
        <v>#N/A</v>
      </c>
      <c r="E103" t="e">
        <f>IF('SDA Tool'!$D$13=Lists!$N$3,NA(),+E54)</f>
        <v>#N/A</v>
      </c>
      <c r="F103" t="e">
        <f>IF('SDA Tool'!$D$13=Lists!$N$3,NA(),+F54)</f>
        <v>#N/A</v>
      </c>
      <c r="G103" t="e">
        <f>IF('SDA Tool'!$D$13=Lists!$N$3,NA(),+G54)</f>
        <v>#N/A</v>
      </c>
      <c r="H103" t="e">
        <f>IF('SDA Tool'!$D$13=Lists!$N$3,NA(),+H54)</f>
        <v>#N/A</v>
      </c>
      <c r="I103" t="e">
        <f>IF('SDA Tool'!$D$13=Lists!$N$3,NA(),+I54)</f>
        <v>#N/A</v>
      </c>
      <c r="J103">
        <f>IF('SDA Tool'!$D$13=Lists!$N$3,NA(),+J54)</f>
        <v>0.1</v>
      </c>
      <c r="K103">
        <f>IF('SDA Tool'!$D$13=Lists!$N$3,NA(),+K54)</f>
        <v>9.894345258991033E-2</v>
      </c>
      <c r="L103">
        <f>IF('SDA Tool'!$D$13=Lists!$N$3,NA(),+L54)</f>
        <v>9.7909265971568557E-2</v>
      </c>
      <c r="M103">
        <f>IF('SDA Tool'!$D$13=Lists!$N$3,NA(),+M54)</f>
        <v>9.6896737711726175E-2</v>
      </c>
      <c r="N103">
        <f>IF('SDA Tool'!$D$13=Lists!$N$3,NA(),+N54)</f>
        <v>9.5905194493538445E-2</v>
      </c>
      <c r="O103">
        <f>IF('SDA Tool'!$D$13=Lists!$N$3,NA(),+O54)</f>
        <v>9.4933990623416162E-2</v>
      </c>
      <c r="P103">
        <f>IF('SDA Tool'!$D$13=Lists!$N$3,NA(),+P54)</f>
        <v>9.2113298786291584E-2</v>
      </c>
      <c r="Q103">
        <f>IF('SDA Tool'!$D$13=Lists!$N$3,NA(),+Q54)</f>
        <v>8.4699686786135889E-2</v>
      </c>
      <c r="R103">
        <f>IF('SDA Tool'!$D$13=Lists!$N$3,NA(),+R54)</f>
        <v>7.5873747503990285E-2</v>
      </c>
      <c r="S103">
        <f>IF('SDA Tool'!$D$13=Lists!$N$3,NA(),+S54)</f>
        <v>6.5739722170210485E-2</v>
      </c>
      <c r="T103">
        <f>IF('SDA Tool'!$D$13=Lists!$N$3,NA(),+T54)</f>
        <v>5.4394489468009267E-2</v>
      </c>
      <c r="U103">
        <f>IF('SDA Tool'!$D$13=Lists!$N$3,NA(),+U54)</f>
        <v>5.4008181920953122E-2</v>
      </c>
      <c r="V103">
        <f>IF('SDA Tool'!$D$13=Lists!$N$3,NA(),+V54)</f>
        <v>5.3627446117364148E-2</v>
      </c>
      <c r="W103">
        <f>IF('SDA Tool'!$D$13=Lists!$N$3,NA(),+W54)</f>
        <v>5.3252162377788369E-2</v>
      </c>
      <c r="X103">
        <f>IF('SDA Tool'!$D$13=Lists!$N$3,NA(),+X54)</f>
        <v>5.2882214425979089E-2</v>
      </c>
      <c r="Y103">
        <f>IF('SDA Tool'!$D$13=Lists!$N$3,NA(),+Y54)</f>
        <v>5.2517489268783565E-2</v>
      </c>
      <c r="Z103">
        <f>IF('SDA Tool'!$D$13=Lists!$N$3,NA(),+Z54)</f>
        <v>5.2157877081081473E-2</v>
      </c>
      <c r="AA103">
        <f>IF('SDA Tool'!$D$13=Lists!$N$3,NA(),+AA54)</f>
        <v>5.1803271095528333E-2</v>
      </c>
      <c r="AB103">
        <f>IF('SDA Tool'!$D$13=Lists!$N$3,NA(),+AB54)</f>
        <v>4.9287473434291837E-2</v>
      </c>
      <c r="AC103">
        <f>IF('SDA Tool'!$D$13=Lists!$N$3,NA(),+AC54)</f>
        <v>4.1752551405550953E-2</v>
      </c>
      <c r="AD103">
        <f>IF('SDA Tool'!$D$13=Lists!$N$3,NA(),+AD54)</f>
        <v>3.3105842657504249E-2</v>
      </c>
      <c r="AE103">
        <f>IF('SDA Tool'!$D$13=Lists!$N$3,NA(),+AE54)</f>
        <v>3.1445740882833487E-2</v>
      </c>
      <c r="AF103">
        <f>IF('SDA Tool'!$D$13=Lists!$N$3,NA(),+AF54)</f>
        <v>2.9424977176868729E-2</v>
      </c>
      <c r="AG103">
        <f>IF('SDA Tool'!$D$13=Lists!$N$3,NA(),+AG54)</f>
        <v>2.7065801804423566E-2</v>
      </c>
      <c r="AH103">
        <f>IF('SDA Tool'!$D$13=Lists!$N$3,NA(),+AH54)</f>
        <v>2.438900959233628E-2</v>
      </c>
      <c r="AI103">
        <f>IF('SDA Tool'!$D$13=Lists!$N$3,NA(),+AI54)</f>
        <v>2.1414051502987919E-2</v>
      </c>
      <c r="AJ103">
        <f>IF('SDA Tool'!$D$13=Lists!$N$3,NA(),+AJ54)</f>
        <v>1.8159136231813144E-2</v>
      </c>
      <c r="AK103">
        <f>IF('SDA Tool'!$D$13=Lists!$N$3,NA(),+AK54)</f>
        <v>1.4641322850257781E-2</v>
      </c>
      <c r="AL103">
        <f>IF('SDA Tool'!$D$13=Lists!$N$3,NA(),+AL54)</f>
        <v>1.0876605397962896E-2</v>
      </c>
      <c r="AM103">
        <f>IF('SDA Tool'!$D$13=Lists!$N$3,NA(),+AM54)</f>
        <v>6.8799902253113172E-3</v>
      </c>
      <c r="AN103">
        <f>IF('SDA Tool'!$D$13=Lists!$N$3,NA(),+AN54)</f>
        <v>2.6655667977552888E-3</v>
      </c>
      <c r="AO103"/>
      <c r="AP103"/>
      <c r="AQ103"/>
      <c r="AR103"/>
      <c r="AS103"/>
      <c r="AT103"/>
      <c r="AU103"/>
      <c r="AV103"/>
      <c r="AW103"/>
      <c r="AX103"/>
    </row>
    <row r="104" spans="2:50" x14ac:dyDescent="0.25">
      <c r="B104" t="s">
        <v>556</v>
      </c>
      <c r="D104" t="e">
        <f>IF('SDA Tool'!$D$13=Lists!$N$3,NA(),D14)</f>
        <v>#N/A</v>
      </c>
      <c r="E104" t="e">
        <f>IF('SDA Tool'!$D$13=Lists!$N$3,NA(),E14)</f>
        <v>#N/A</v>
      </c>
      <c r="F104" t="e">
        <f>IF('SDA Tool'!$D$13=Lists!$N$3,NA(),F14)</f>
        <v>#N/A</v>
      </c>
      <c r="G104" t="e">
        <f>IF('SDA Tool'!$D$13=Lists!$N$3,NA(),G14)</f>
        <v>#N/A</v>
      </c>
      <c r="H104" t="e">
        <f>IF('SDA Tool'!$D$13=Lists!$N$3,NA(),H14)</f>
        <v>#N/A</v>
      </c>
      <c r="I104" t="e">
        <f>IF('SDA Tool'!$D$13=Lists!$N$3,NA(),I14)</f>
        <v>#N/A</v>
      </c>
      <c r="J104">
        <f>IF('SDA Tool'!$D$13=Lists!$N$3,NA(),J14)</f>
        <v>2.4324324324324325</v>
      </c>
      <c r="K104">
        <f>IF('SDA Tool'!$D$13=Lists!$N$3,NA(),K14)</f>
        <v>2.3475935828877006</v>
      </c>
      <c r="L104">
        <f>IF('SDA Tool'!$D$13=Lists!$N$3,NA(),L14)</f>
        <v>2.2645502645502646</v>
      </c>
      <c r="M104">
        <f>IF('SDA Tool'!$D$13=Lists!$N$3,NA(),M14)</f>
        <v>2.1832460732984291</v>
      </c>
      <c r="N104">
        <f>IF('SDA Tool'!$D$13=Lists!$N$3,NA(),N14)</f>
        <v>2.1036269430051813</v>
      </c>
      <c r="O104">
        <f>IF('SDA Tool'!$D$13=Lists!$N$3,NA(),O14)</f>
        <v>2.0256410256410255</v>
      </c>
      <c r="P104">
        <f>IF('SDA Tool'!$D$13=Lists!$N$3,NA(),P14)</f>
        <v>1.9492385786802031</v>
      </c>
      <c r="Q104">
        <f>IF('SDA Tool'!$D$13=Lists!$N$3,NA(),Q14)</f>
        <v>1.8743718592964824</v>
      </c>
      <c r="R104">
        <f>IF('SDA Tool'!$D$13=Lists!$N$3,NA(),R14)</f>
        <v>1.8009950248756219</v>
      </c>
      <c r="S104">
        <f>IF('SDA Tool'!$D$13=Lists!$N$3,NA(),S14)</f>
        <v>1.729064039408867</v>
      </c>
      <c r="T104">
        <f>IF('SDA Tool'!$D$13=Lists!$N$3,NA(),T14)</f>
        <v>1.6585365853658536</v>
      </c>
      <c r="U104">
        <f>IF('SDA Tool'!$D$13=Lists!$N$3,NA(),U14)</f>
        <v>1.5520581113801453</v>
      </c>
      <c r="V104">
        <f>IF('SDA Tool'!$D$13=Lists!$N$3,NA(),V14)</f>
        <v>1.4471153846153846</v>
      </c>
      <c r="W104">
        <f>IF('SDA Tool'!$D$13=Lists!$N$3,NA(),W14)</f>
        <v>1.3436754176610979</v>
      </c>
      <c r="X104">
        <f>IF('SDA Tool'!$D$13=Lists!$N$3,NA(),X14)</f>
        <v>1.2417061611374407</v>
      </c>
      <c r="Y104">
        <f>IF('SDA Tool'!$D$13=Lists!$N$3,NA(),Y14)</f>
        <v>1.1411764705882352</v>
      </c>
      <c r="Z104">
        <f>IF('SDA Tool'!$D$13=Lists!$N$3,NA(),Z14)</f>
        <v>1.0420560747663552</v>
      </c>
      <c r="AA104">
        <f>IF('SDA Tool'!$D$13=Lists!$N$3,NA(),AA14)</f>
        <v>0.94431554524361949</v>
      </c>
      <c r="AB104">
        <f>IF('SDA Tool'!$D$13=Lists!$N$3,NA(),AB14)</f>
        <v>0.84792626728110598</v>
      </c>
      <c r="AC104">
        <f>IF('SDA Tool'!$D$13=Lists!$N$3,NA(),AC14)</f>
        <v>0.75286041189931352</v>
      </c>
      <c r="AD104">
        <f>IF('SDA Tool'!$D$13=Lists!$N$3,NA(),AD14)</f>
        <v>0.65909090909090906</v>
      </c>
      <c r="AE104">
        <f>IF('SDA Tool'!$D$13=Lists!$N$3,NA(),AE14)</f>
        <v>0.59954751131221717</v>
      </c>
      <c r="AF104">
        <f>IF('SDA Tool'!$D$13=Lists!$N$3,NA(),AF14)</f>
        <v>0.54054054054054057</v>
      </c>
      <c r="AG104">
        <f>IF('SDA Tool'!$D$13=Lists!$N$3,NA(),AG14)</f>
        <v>0.4820627802690583</v>
      </c>
      <c r="AH104">
        <f>IF('SDA Tool'!$D$13=Lists!$N$3,NA(),AH14)</f>
        <v>0.42410714285714285</v>
      </c>
      <c r="AI104">
        <f>IF('SDA Tool'!$D$13=Lists!$N$3,NA(),AI14)</f>
        <v>0.36666666666666664</v>
      </c>
      <c r="AJ104">
        <f>IF('SDA Tool'!$D$13=Lists!$N$3,NA(),AJ14)</f>
        <v>0.30973451327433627</v>
      </c>
      <c r="AK104">
        <f>IF('SDA Tool'!$D$13=Lists!$N$3,NA(),AK14)</f>
        <v>0.25330396475770928</v>
      </c>
      <c r="AL104">
        <f>IF('SDA Tool'!$D$13=Lists!$N$3,NA(),AL14)</f>
        <v>0.19736842105263158</v>
      </c>
      <c r="AM104">
        <f>IF('SDA Tool'!$D$13=Lists!$N$3,NA(),AM14)</f>
        <v>0.14192139737991266</v>
      </c>
      <c r="AN104">
        <f>IF('SDA Tool'!$D$13=Lists!$N$3,NA(),AN14)</f>
        <v>8.6956521739130432E-2</v>
      </c>
      <c r="AO104" s="417" t="str">
        <f>IF(OR('SDA Tool'!$D$13=Lists!$N$3,'SDA Tool'!$D$14=Lists!$A$3),NA(),AO14)</f>
        <v/>
      </c>
      <c r="AP104" s="417" t="str">
        <f>IF(OR('SDA Tool'!$D$13=Lists!$N$3,'SDA Tool'!$D$14=Lists!$A$3),NA(),AP14)</f>
        <v/>
      </c>
      <c r="AQ104" s="417" t="str">
        <f>IF(OR('SDA Tool'!$D$13=Lists!$N$3,'SDA Tool'!$D$14=Lists!$A$3),NA(),AQ14)</f>
        <v/>
      </c>
      <c r="AR104" s="417" t="str">
        <f>IF(OR('SDA Tool'!$D$13=Lists!$N$3,'SDA Tool'!$D$14=Lists!$A$3),NA(),AR14)</f>
        <v/>
      </c>
      <c r="AS104" s="417" t="str">
        <f>IF(OR('SDA Tool'!$D$13=Lists!$N$3,'SDA Tool'!$D$14=Lists!$A$3),NA(),AS14)</f>
        <v/>
      </c>
      <c r="AT104" s="417" t="str">
        <f>IF(OR('SDA Tool'!$D$13=Lists!$N$3,'SDA Tool'!$D$14=Lists!$A$3),NA(),AT14)</f>
        <v/>
      </c>
      <c r="AU104" s="417" t="str">
        <f>IF(OR('SDA Tool'!$D$13=Lists!$N$3,'SDA Tool'!$D$14=Lists!$A$3),NA(),AU14)</f>
        <v/>
      </c>
      <c r="AV104" s="417" t="str">
        <f>IF(OR('SDA Tool'!$D$13=Lists!$N$3,'SDA Tool'!$D$14=Lists!$A$3),NA(),AV14)</f>
        <v/>
      </c>
      <c r="AW104" s="417" t="str">
        <f>IF(OR('SDA Tool'!$D$13=Lists!$N$3,'SDA Tool'!$D$14=Lists!$A$3),NA(),AW14)</f>
        <v/>
      </c>
      <c r="AX104" s="417" t="str">
        <f>IF(OR('SDA Tool'!$D$13=Lists!$N$3,'SDA Tool'!$D$14=Lists!$A$3),NA(),AX14)</f>
        <v/>
      </c>
    </row>
    <row r="105" spans="2:50" x14ac:dyDescent="0.25">
      <c r="B105" t="s">
        <v>557</v>
      </c>
      <c r="D105" t="e">
        <f>IF('SDA Tool'!$D$13=Lists!$N$3,NA(),D15)</f>
        <v>#N/A</v>
      </c>
      <c r="E105" t="e">
        <f>IF('SDA Tool'!$D$13=Lists!$N$3,NA(),E15)</f>
        <v>#N/A</v>
      </c>
      <c r="F105" t="e">
        <f>IF('SDA Tool'!$D$13=Lists!$N$3,NA(),F15)</f>
        <v>#N/A</v>
      </c>
      <c r="G105" t="e">
        <f>IF('SDA Tool'!$D$13=Lists!$N$3,NA(),G15)</f>
        <v>#N/A</v>
      </c>
      <c r="H105" t="e">
        <f>IF('SDA Tool'!$D$13=Lists!$N$3,NA(),H15)</f>
        <v>#N/A</v>
      </c>
      <c r="I105" t="e">
        <f>IF('SDA Tool'!$D$13=Lists!$N$3,NA(),I15)</f>
        <v>#N/A</v>
      </c>
      <c r="J105">
        <f>IF('SDA Tool'!$D$13=Lists!$N$3,NA(),J15)</f>
        <v>0.18125892251084372</v>
      </c>
      <c r="K105">
        <f>IF('SDA Tool'!$D$13=Lists!$N$3,NA(),K15)</f>
        <v>0.17932032440912346</v>
      </c>
      <c r="L105">
        <f>IF('SDA Tool'!$D$13=Lists!$N$3,NA(),L15)</f>
        <v>0.17742275483865655</v>
      </c>
      <c r="M105">
        <f>IF('SDA Tool'!$D$13=Lists!$N$3,NA(),M15)</f>
        <v>0.17556492494505807</v>
      </c>
      <c r="N105">
        <f>IF('SDA Tool'!$D$13=Lists!$N$3,NA(),N15)</f>
        <v>0.17374559929795902</v>
      </c>
      <c r="O105">
        <f>IF('SDA Tool'!$D$13=Lists!$N$3,NA(),O15)</f>
        <v>0.17196359315131327</v>
      </c>
      <c r="P105">
        <f>IF('SDA Tool'!$D$13=Lists!$N$3,NA(),P15)</f>
        <v>0.16678806786132805</v>
      </c>
      <c r="Q105">
        <f>IF('SDA Tool'!$D$13=Lists!$N$3,NA(),Q15)</f>
        <v>0.1531852574117975</v>
      </c>
      <c r="R105">
        <f>IF('SDA Tool'!$D$13=Lists!$N$3,NA(),R15)</f>
        <v>0.13699104882742988</v>
      </c>
      <c r="S105">
        <f>IF('SDA Tool'!$D$13=Lists!$N$3,NA(),S15)</f>
        <v>0.11839670834896242</v>
      </c>
      <c r="T105">
        <f>IF('SDA Tool'!$D$13=Lists!$N$3,NA(),T15)</f>
        <v>9.7579993102653695E-2</v>
      </c>
      <c r="U105">
        <f>IF('SDA Tool'!$D$13=Lists!$N$3,NA(),U15)</f>
        <v>9.6871179593433443E-2</v>
      </c>
      <c r="V105">
        <f>IF('SDA Tool'!$D$13=Lists!$N$3,NA(),V15)</f>
        <v>9.6172589355980803E-2</v>
      </c>
      <c r="W105">
        <f>IF('SDA Tool'!$D$13=Lists!$N$3,NA(),W15)</f>
        <v>9.548400279734609E-2</v>
      </c>
      <c r="X105">
        <f>IF('SDA Tool'!$D$13=Lists!$N$3,NA(),X15)</f>
        <v>9.4805206568928935E-2</v>
      </c>
      <c r="Y105">
        <f>IF('SDA Tool'!$D$13=Lists!$N$3,NA(),Y15)</f>
        <v>9.4135993346089436E-2</v>
      </c>
      <c r="Z105">
        <f>IF('SDA Tool'!$D$13=Lists!$N$3,NA(),Z15)</f>
        <v>9.347616161702807E-2</v>
      </c>
      <c r="AA105">
        <f>IF('SDA Tool'!$D$13=Lists!$N$3,NA(),AA15)</f>
        <v>9.2825515480482623E-2</v>
      </c>
      <c r="AB105">
        <f>IF('SDA Tool'!$D$13=Lists!$N$3,NA(),AB15)</f>
        <v>8.8209422985427097E-2</v>
      </c>
      <c r="AC105">
        <f>IF('SDA Tool'!$D$13=Lists!$N$3,NA(),AC15)</f>
        <v>7.4384027738575526E-2</v>
      </c>
      <c r="AD105">
        <f>IF('SDA Tool'!$D$13=Lists!$N$3,NA(),AD15)</f>
        <v>5.8518678957238335E-2</v>
      </c>
      <c r="AE105">
        <f>IF('SDA Tool'!$D$13=Lists!$N$3,NA(),AE15)</f>
        <v>5.5472653650370185E-2</v>
      </c>
      <c r="AF105">
        <f>IF('SDA Tool'!$D$13=Lists!$N$3,NA(),AF15)</f>
        <v>5.176487050027382E-2</v>
      </c>
      <c r="AG105">
        <f>IF('SDA Tool'!$D$13=Lists!$N$3,NA(),AG15)</f>
        <v>4.7436155238684968E-2</v>
      </c>
      <c r="AH105">
        <f>IF('SDA Tool'!$D$13=Lists!$N$3,NA(),AH15)</f>
        <v>4.2524663097871805E-2</v>
      </c>
      <c r="AI105">
        <f>IF('SDA Tool'!$D$13=Lists!$N$3,NA(),AI15)</f>
        <v>3.7066083530468835E-2</v>
      </c>
      <c r="AJ105">
        <f>IF('SDA Tool'!$D$13=Lists!$N$3,NA(),AJ15)</f>
        <v>3.1093826624908789E-2</v>
      </c>
      <c r="AK105">
        <f>IF('SDA Tool'!$D$13=Lists!$N$3,NA(),AK15)</f>
        <v>2.4639193090659251E-2</v>
      </c>
      <c r="AL105">
        <f>IF('SDA Tool'!$D$13=Lists!$N$3,NA(),AL15)</f>
        <v>1.7731529471558156E-2</v>
      </c>
      <c r="AM105">
        <f>IF('SDA Tool'!$D$13=Lists!$N$3,NA(),AM15)</f>
        <v>1.0398370057205812E-2</v>
      </c>
      <c r="AN105">
        <f>IF('SDA Tool'!$D$13=Lists!$N$3,NA(),AN15)</f>
        <v>2.6655667977552888E-3</v>
      </c>
      <c r="AO105" t="e">
        <f>IF('SDA Tool'!$D$13=Lists!$N$3,NA(),IF('SDA Tool'!$D$15=Lists!$B$2,NA(),AO15))</f>
        <v>#N/A</v>
      </c>
      <c r="AP105" t="e">
        <f>IF('SDA Tool'!$D$13=Lists!$N$3,NA(),IF('SDA Tool'!$D$15=Lists!$B$2,NA(),AP15))</f>
        <v>#N/A</v>
      </c>
      <c r="AQ105" t="e">
        <f>IF('SDA Tool'!$D$13=Lists!$N$3,NA(),IF('SDA Tool'!$D$15=Lists!$B$2,NA(),AQ15))</f>
        <v>#N/A</v>
      </c>
      <c r="AR105" t="e">
        <f>IF('SDA Tool'!$D$13=Lists!$N$3,NA(),IF('SDA Tool'!$D$15=Lists!$B$2,NA(),AR15))</f>
        <v>#N/A</v>
      </c>
      <c r="AS105" t="e">
        <f>IF('SDA Tool'!$D$13=Lists!$N$3,NA(),IF('SDA Tool'!$D$15=Lists!$B$2,NA(),AS15))</f>
        <v>#N/A</v>
      </c>
      <c r="AT105" t="e">
        <f>IF('SDA Tool'!$D$13=Lists!$N$3,NA(),IF('SDA Tool'!$D$15=Lists!$B$2,NA(),AT15))</f>
        <v>#N/A</v>
      </c>
      <c r="AU105" t="e">
        <f>IF('SDA Tool'!$D$13=Lists!$N$3,NA(),IF('SDA Tool'!$D$15=Lists!$B$2,NA(),AU15))</f>
        <v>#N/A</v>
      </c>
      <c r="AV105" t="e">
        <f>IF('SDA Tool'!$D$13=Lists!$N$3,NA(),IF('SDA Tool'!$D$15=Lists!$B$2,NA(),AV15))</f>
        <v>#N/A</v>
      </c>
      <c r="AW105" t="e">
        <f>IF('SDA Tool'!$D$13=Lists!$N$3,NA(),IF('SDA Tool'!$D$15=Lists!$B$2,NA(),AW15))</f>
        <v>#N/A</v>
      </c>
      <c r="AX105" t="e">
        <f>IF('SDA Tool'!$D$13=Lists!$N$3,NA(),IF('SDA Tool'!$D$15=Lists!$B$2,NA(),AX15))</f>
        <v>#N/A</v>
      </c>
    </row>
    <row r="106" spans="2:50" x14ac:dyDescent="0.25">
      <c r="B106" s="86" t="s">
        <v>551</v>
      </c>
      <c r="D106" s="90">
        <f>IF('SDA Tool'!$D$13=Lists!$N$3,NA(),D50)</f>
        <v>0.16270101177965687</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2:50" x14ac:dyDescent="0.25">
      <c r="B107" s="86" t="s">
        <v>552</v>
      </c>
      <c r="D107" s="486">
        <f>IF('SDA Tool'!$D$13=Lists!$N$3,NA(),D57)</f>
        <v>5.4394489468009267E-2</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2:50" ht="13" hidden="1" x14ac:dyDescent="0.3">
      <c r="B108" s="1" t="s">
        <v>181</v>
      </c>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2:50" hidden="1" x14ac:dyDescent="0.25">
      <c r="B109" t="e">
        <f>+#REF!</f>
        <v>#REF!</v>
      </c>
      <c r="C109" t="e">
        <f>+#REF!</f>
        <v>#REF!</v>
      </c>
      <c r="D109" t="str">
        <f>IF('SDA Tool'!$D$13=Lists!$N$3,+#REF!,"")</f>
        <v/>
      </c>
      <c r="E109" t="str">
        <f>IF('SDA Tool'!$D$13=Lists!$N$3,+#REF!,"")</f>
        <v/>
      </c>
      <c r="F109" t="str">
        <f>IF('SDA Tool'!$D$13=Lists!$N$3,+#REF!,"")</f>
        <v/>
      </c>
      <c r="G109" t="str">
        <f>IF('SDA Tool'!$D$13=Lists!$N$3,+#REF!,"")</f>
        <v/>
      </c>
      <c r="H109" t="str">
        <f>IF('SDA Tool'!$D$13=Lists!$N$3,+#REF!,"")</f>
        <v/>
      </c>
      <c r="I109" t="str">
        <f>IF('SDA Tool'!$D$13=Lists!$N$3,+#REF!,"")</f>
        <v/>
      </c>
      <c r="J109" t="str">
        <f>IF('SDA Tool'!$D$13=Lists!$N$3,+#REF!,"")</f>
        <v/>
      </c>
      <c r="K109" t="str">
        <f>IF('SDA Tool'!$D$13=Lists!$N$3,+#REF!,"")</f>
        <v/>
      </c>
      <c r="L109" t="str">
        <f>IF('SDA Tool'!$D$13=Lists!$N$3,+#REF!,"")</f>
        <v/>
      </c>
      <c r="M109" t="str">
        <f>IF('SDA Tool'!$D$13=Lists!$N$3,+#REF!,"")</f>
        <v/>
      </c>
      <c r="N109" t="str">
        <f>IF('SDA Tool'!$D$13=Lists!$N$3,+#REF!,"")</f>
        <v/>
      </c>
      <c r="O109" t="str">
        <f>IF('SDA Tool'!$D$13=Lists!$N$3,+#REF!,"")</f>
        <v/>
      </c>
      <c r="P109" t="str">
        <f>IF('SDA Tool'!$D$13=Lists!$N$3,+#REF!,"")</f>
        <v/>
      </c>
      <c r="Q109" t="str">
        <f>IF('SDA Tool'!$D$13=Lists!$N$3,+#REF!,"")</f>
        <v/>
      </c>
      <c r="R109" t="str">
        <f>IF('SDA Tool'!$D$13=Lists!$N$3,+#REF!,"")</f>
        <v/>
      </c>
      <c r="S109" t="str">
        <f>IF('SDA Tool'!$D$13=Lists!$N$3,+#REF!,"")</f>
        <v/>
      </c>
      <c r="T109" t="str">
        <f>IF('SDA Tool'!$D$13=Lists!$N$3,+#REF!,"")</f>
        <v/>
      </c>
      <c r="U109" t="str">
        <f>IF('SDA Tool'!$D$13=Lists!$N$3,+#REF!,"")</f>
        <v/>
      </c>
      <c r="V109" t="str">
        <f>IF('SDA Tool'!$D$13=Lists!$N$3,+#REF!,"")</f>
        <v/>
      </c>
      <c r="W109" t="str">
        <f>IF('SDA Tool'!$D$13=Lists!$N$3,+#REF!,"")</f>
        <v/>
      </c>
      <c r="X109" t="str">
        <f>IF('SDA Tool'!$D$13=Lists!$N$3,+#REF!,"")</f>
        <v/>
      </c>
      <c r="Y109" t="str">
        <f>IF('SDA Tool'!$D$13=Lists!$N$3,+#REF!,"")</f>
        <v/>
      </c>
      <c r="Z109"/>
      <c r="AA109"/>
      <c r="AB109"/>
      <c r="AC109"/>
      <c r="AD109"/>
      <c r="AE109"/>
      <c r="AF109"/>
      <c r="AG109"/>
      <c r="AH109"/>
      <c r="AI109"/>
      <c r="AJ109"/>
      <c r="AK109"/>
      <c r="AL109"/>
      <c r="AM109"/>
      <c r="AN109"/>
      <c r="AO109"/>
      <c r="AP109"/>
      <c r="AQ109"/>
      <c r="AR109"/>
      <c r="AS109"/>
      <c r="AT109"/>
      <c r="AU109"/>
      <c r="AV109"/>
      <c r="AW109"/>
      <c r="AX109"/>
    </row>
    <row r="110" spans="2:50" hidden="1" x14ac:dyDescent="0.25">
      <c r="B110" t="e">
        <f>+#REF!</f>
        <v>#REF!</v>
      </c>
      <c r="C110" t="e">
        <f>+#REF!</f>
        <v>#REF!</v>
      </c>
      <c r="D110" t="str">
        <f>IF('SDA Tool'!$D$13=Lists!$N$3,+#REF!,"")</f>
        <v/>
      </c>
      <c r="E110" t="str">
        <f>IF('SDA Tool'!$D$13=Lists!$N$3,+#REF!,"")</f>
        <v/>
      </c>
      <c r="F110" t="str">
        <f>IF('SDA Tool'!$D$13=Lists!$N$3,+#REF!,"")</f>
        <v/>
      </c>
      <c r="G110" t="str">
        <f>IF('SDA Tool'!$D$13=Lists!$N$3,+#REF!,"")</f>
        <v/>
      </c>
      <c r="H110" t="str">
        <f>IF('SDA Tool'!$D$13=Lists!$N$3,+#REF!,"")</f>
        <v/>
      </c>
      <c r="I110" t="str">
        <f>IF('SDA Tool'!$D$13=Lists!$N$3,+#REF!,"")</f>
        <v/>
      </c>
      <c r="J110" t="str">
        <f>IF('SDA Tool'!$D$13=Lists!$N$3,+#REF!,"")</f>
        <v/>
      </c>
      <c r="K110" t="str">
        <f>IF('SDA Tool'!$D$13=Lists!$N$3,+#REF!,"")</f>
        <v/>
      </c>
      <c r="L110" t="str">
        <f>IF('SDA Tool'!$D$13=Lists!$N$3,+#REF!,"")</f>
        <v/>
      </c>
      <c r="M110" t="str">
        <f>IF('SDA Tool'!$D$13=Lists!$N$3,+#REF!,"")</f>
        <v/>
      </c>
      <c r="N110" t="str">
        <f>IF('SDA Tool'!$D$13=Lists!$N$3,+#REF!,"")</f>
        <v/>
      </c>
      <c r="O110" t="str">
        <f>IF('SDA Tool'!$D$13=Lists!$N$3,+#REF!,"")</f>
        <v/>
      </c>
      <c r="P110" t="str">
        <f>IF('SDA Tool'!$D$13=Lists!$N$3,+#REF!,"")</f>
        <v/>
      </c>
      <c r="Q110" t="str">
        <f>IF('SDA Tool'!$D$13=Lists!$N$3,+#REF!,"")</f>
        <v/>
      </c>
      <c r="R110" t="str">
        <f>IF('SDA Tool'!$D$13=Lists!$N$3,+#REF!,"")</f>
        <v/>
      </c>
      <c r="S110" t="str">
        <f>IF('SDA Tool'!$D$13=Lists!$N$3,+#REF!,"")</f>
        <v/>
      </c>
      <c r="T110" t="str">
        <f>IF('SDA Tool'!$D$13=Lists!$N$3,+#REF!,"")</f>
        <v/>
      </c>
      <c r="U110" t="str">
        <f>IF('SDA Tool'!$D$13=Lists!$N$3,+#REF!,"")</f>
        <v/>
      </c>
      <c r="V110" t="str">
        <f>IF('SDA Tool'!$D$13=Lists!$N$3,+#REF!,"")</f>
        <v/>
      </c>
      <c r="W110" t="str">
        <f>IF('SDA Tool'!$D$13=Lists!$N$3,+#REF!,"")</f>
        <v/>
      </c>
      <c r="X110" t="str">
        <f>IF('SDA Tool'!$D$13=Lists!$N$3,+#REF!,"")</f>
        <v/>
      </c>
      <c r="Y110" t="str">
        <f>IF('SDA Tool'!$D$13=Lists!$N$3,+#REF!,"")</f>
        <v/>
      </c>
      <c r="Z110"/>
      <c r="AA110"/>
      <c r="AB110"/>
      <c r="AC110"/>
      <c r="AD110"/>
      <c r="AE110"/>
      <c r="AF110"/>
      <c r="AG110"/>
      <c r="AH110"/>
      <c r="AI110"/>
      <c r="AJ110"/>
      <c r="AK110"/>
      <c r="AL110"/>
      <c r="AM110"/>
      <c r="AN110"/>
      <c r="AO110"/>
      <c r="AP110"/>
      <c r="AQ110"/>
      <c r="AR110"/>
      <c r="AS110"/>
      <c r="AT110"/>
      <c r="AU110"/>
      <c r="AV110"/>
      <c r="AW110"/>
      <c r="AX110"/>
    </row>
    <row r="111" spans="2:50" hidden="1" x14ac:dyDescent="0.25">
      <c r="B111" s="86" t="s">
        <v>179</v>
      </c>
      <c r="D111" s="89" t="e">
        <f>IF('SDA Tool'!$D$13=Lists!$N$2,NA(),#REF!)</f>
        <v>#N/A</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2:50" hidden="1" x14ac:dyDescent="0.25">
      <c r="B112" s="86" t="s">
        <v>180</v>
      </c>
      <c r="D112" s="89" t="e">
        <f>IF('SDA Tool'!$D$13=Lists!$N$2,NA(),IF('SDA Tool'!$D$15=Lists!$B$2,NA(),#REF!))</f>
        <v>#N/A</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90" x14ac:dyDescent="0.25">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90" s="412" customFormat="1" ht="13" x14ac:dyDescent="0.3">
      <c r="B114" s="423" t="str">
        <f>CONCATENATE("Graph 3 | SDA intensity Total (",'SDA Tool'!D14,")")</f>
        <v>Graph 3 | SDA intensity Total (SBTi 1.5C)</v>
      </c>
      <c r="AY114" s="416"/>
      <c r="AZ114" s="416"/>
      <c r="BA114" s="416"/>
      <c r="BB114" s="416"/>
      <c r="BC114" s="416"/>
      <c r="BD114" s="416"/>
      <c r="BE114" s="416"/>
      <c r="BF114" s="416"/>
      <c r="BG114" s="416"/>
      <c r="BH114" s="416"/>
      <c r="BI114" s="416"/>
      <c r="BJ114" s="416"/>
      <c r="BK114" s="416"/>
      <c r="BL114" s="416"/>
      <c r="BM114" s="416"/>
      <c r="BN114" s="416"/>
      <c r="BO114" s="416"/>
      <c r="BP114" s="416"/>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6"/>
    </row>
    <row r="115" spans="1:90" s="84" customFormat="1" x14ac:dyDescent="0.25">
      <c r="B115" s="84" t="str">
        <f>+B61</f>
        <v>Company | Total emissions intensity (tCO2/t)</v>
      </c>
      <c r="D115" s="84" t="e">
        <f>IF('SDA Tool'!$D$13=Lists!$N$3,NA(),+D61)</f>
        <v>#N/A</v>
      </c>
      <c r="E115" s="84" t="e">
        <f>IF('SDA Tool'!$D$13=Lists!$N$3,NA(),+E61)</f>
        <v>#N/A</v>
      </c>
      <c r="F115" s="84" t="e">
        <f>IF('SDA Tool'!$D$13=Lists!$N$3,NA(),+F61)</f>
        <v>#N/A</v>
      </c>
      <c r="G115" s="84" t="e">
        <f>IF('SDA Tool'!$D$13=Lists!$N$3,NA(),+G61)</f>
        <v>#N/A</v>
      </c>
      <c r="H115" s="84" t="e">
        <f>IF('SDA Tool'!$D$13=Lists!$N$3,NA(),+H61)</f>
        <v>#N/A</v>
      </c>
      <c r="I115" s="84" t="e">
        <f>IF('SDA Tool'!$D$13=Lists!$N$3,NA(),+I61)</f>
        <v>#N/A</v>
      </c>
      <c r="J115" s="84">
        <f>IF('SDA Tool'!$D$13=Lists!$N$3,NA(),+J61)</f>
        <v>0.3</v>
      </c>
      <c r="K115" s="84">
        <f>IF('SDA Tool'!$D$13=Lists!$N$3,NA(),+K61)</f>
        <v>0.29276721188244081</v>
      </c>
      <c r="L115" s="84">
        <f>IF('SDA Tool'!$D$13=Lists!$N$3,NA(),+L61)</f>
        <v>0.28568749864567655</v>
      </c>
      <c r="M115" s="84">
        <f>IF('SDA Tool'!$D$13=Lists!$N$3,NA(),+M61)</f>
        <v>0.27875605165470851</v>
      </c>
      <c r="N115" s="84">
        <f>IF('SDA Tool'!$D$13=Lists!$N$3,NA(),+N61)</f>
        <v>0.27196826159619564</v>
      </c>
      <c r="O115" s="84">
        <f>IF('SDA Tool'!$D$13=Lists!$N$3,NA(),+O61)</f>
        <v>0.26531970825683182</v>
      </c>
      <c r="P115" s="84">
        <f>IF('SDA Tool'!$D$13=Lists!$N$3,NA(),+P61)</f>
        <v>0.25852028969414109</v>
      </c>
      <c r="Q115" s="84">
        <f>IF('SDA Tool'!$D$13=Lists!$N$3,NA(),+Q61)</f>
        <v>0.25114646871301494</v>
      </c>
      <c r="R115" s="84">
        <f>IF('SDA Tool'!$D$13=Lists!$N$3,NA(),+R61)</f>
        <v>0.24368083803250623</v>
      </c>
      <c r="S115" s="84">
        <f>IF('SDA Tool'!$D$13=Lists!$N$3,NA(),+S61)</f>
        <v>0.23613566910218287</v>
      </c>
      <c r="T115" s="84">
        <f>IF('SDA Tool'!$D$13=Lists!$N$3,NA(),+T61)</f>
        <v>0.22852225063733211</v>
      </c>
      <c r="U115" s="84">
        <f>IF('SDA Tool'!$D$13=Lists!$N$3,NA(),+U61)</f>
        <v>0.21958832874433887</v>
      </c>
      <c r="V115" s="84">
        <f>IF('SDA Tool'!$D$13=Lists!$N$3,NA(),+V61)</f>
        <v>0.21078326149403301</v>
      </c>
      <c r="W115" s="84">
        <f>IF('SDA Tool'!$D$13=Lists!$N$3,NA(),+W61)</f>
        <v>0.20210428112559309</v>
      </c>
      <c r="X115" s="84">
        <f>IF('SDA Tool'!$D$13=Lists!$N$3,NA(),+X61)</f>
        <v>0.1935486985822969</v>
      </c>
      <c r="Y115" s="84">
        <f>IF('SDA Tool'!$D$13=Lists!$N$3,NA(),+Y61)</f>
        <v>0.1851139007337296</v>
      </c>
      <c r="Z115" s="84">
        <f>IF('SDA Tool'!$D$13=Lists!$N$3,NA(),+Z61)</f>
        <v>0.17679734771481512</v>
      </c>
      <c r="AA115" s="84">
        <f>IF('SDA Tool'!$D$13=Lists!$N$3,NA(),+AA61)</f>
        <v>0.16859657037597831</v>
      </c>
      <c r="AB115" s="84">
        <f>IF('SDA Tool'!$D$13=Lists!$N$3,NA(),+AB61)</f>
        <v>0.16017790327906661</v>
      </c>
      <c r="AC115" s="84">
        <f>IF('SDA Tool'!$D$13=Lists!$N$3,NA(),+AC61)</f>
        <v>0.15110195826093481</v>
      </c>
      <c r="AD115" s="84">
        <f>IF('SDA Tool'!$D$13=Lists!$N$3,NA(),+AD61)</f>
        <v>0.14196403506366201</v>
      </c>
      <c r="AE115" s="84">
        <f>IF('SDA Tool'!$D$13=Lists!$N$3,NA(),+AE61)</f>
        <v>0.1367472875347131</v>
      </c>
      <c r="AF115" s="84">
        <f>IF('SDA Tool'!$D$13=Lists!$N$3,NA(),+AF61)</f>
        <v>0.13152009384253277</v>
      </c>
      <c r="AG115" s="84">
        <f>IF('SDA Tool'!$D$13=Lists!$N$3,NA(),+AG61)</f>
        <v>0.12628525527258391</v>
      </c>
      <c r="AH115" s="84">
        <f>IF('SDA Tool'!$D$13=Lists!$N$3,NA(),+AH61)</f>
        <v>0.12104536126848069</v>
      </c>
      <c r="AI115" s="84">
        <f>IF('SDA Tool'!$D$13=Lists!$N$3,NA(),+AI61)</f>
        <v>0.11580280625643688</v>
      </c>
      <c r="AJ115" s="84">
        <f>IF('SDA Tool'!$D$13=Lists!$N$3,NA(),+AJ61)</f>
        <v>0.11055980495040285</v>
      </c>
      <c r="AK115" s="84">
        <f>IF('SDA Tool'!$D$13=Lists!$N$3,NA(),+AK61)</f>
        <v>0.10531840629390851</v>
      </c>
      <c r="AL115" s="84">
        <f>IF('SDA Tool'!$D$13=Lists!$N$3,NA(),+AL61)</f>
        <v>0.10008050617663987</v>
      </c>
      <c r="AM115" s="84">
        <f>IF('SDA Tool'!$D$13=Lists!$N$3,NA(),+AM61)</f>
        <v>9.4847859048086985E-2</v>
      </c>
      <c r="AN115" s="84">
        <f>IF('SDA Tool'!$D$13=Lists!$N$3,NA(),+AN61)</f>
        <v>8.9622088536885719E-2</v>
      </c>
      <c r="AY115" s="435"/>
      <c r="AZ115" s="435"/>
      <c r="BA115" s="435"/>
      <c r="BB115" s="435"/>
      <c r="BC115" s="435"/>
      <c r="BD115" s="435"/>
      <c r="BE115" s="435"/>
      <c r="BF115" s="435"/>
      <c r="BG115" s="435"/>
      <c r="BH115" s="435"/>
      <c r="BI115" s="435"/>
      <c r="BJ115" s="435"/>
      <c r="BK115" s="435"/>
      <c r="BL115" s="435"/>
      <c r="BM115" s="435"/>
      <c r="BN115" s="435"/>
      <c r="BO115" s="435"/>
      <c r="BP115" s="435"/>
      <c r="BQ115" s="435"/>
      <c r="BR115" s="435"/>
      <c r="BS115" s="435"/>
      <c r="BT115" s="435"/>
      <c r="BU115" s="435"/>
      <c r="BV115" s="435"/>
      <c r="BW115" s="435"/>
      <c r="BX115" s="435"/>
      <c r="BY115" s="435"/>
      <c r="BZ115" s="435"/>
      <c r="CA115" s="435"/>
      <c r="CB115" s="435"/>
      <c r="CC115" s="435"/>
      <c r="CD115" s="435"/>
      <c r="CE115" s="435"/>
      <c r="CF115" s="435"/>
      <c r="CG115" s="435"/>
      <c r="CH115" s="435"/>
      <c r="CI115" s="435"/>
      <c r="CJ115" s="435"/>
      <c r="CK115" s="435"/>
      <c r="CL115" s="435"/>
    </row>
    <row r="116" spans="1:90" s="84" customFormat="1" x14ac:dyDescent="0.25">
      <c r="B116" s="84" t="s">
        <v>558</v>
      </c>
      <c r="D116" s="84" t="e">
        <f>IF('SDA Tool'!$D$13=Lists!$N$3,NA(),D16)</f>
        <v>#N/A</v>
      </c>
      <c r="E116" s="84" t="e">
        <f>IF('SDA Tool'!$D$13=Lists!$N$3,NA(),E16)</f>
        <v>#N/A</v>
      </c>
      <c r="F116" s="84" t="e">
        <f>IF('SDA Tool'!$D$13=Lists!$N$3,NA(),F16)</f>
        <v>#N/A</v>
      </c>
      <c r="G116" s="84" t="e">
        <f>IF('SDA Tool'!$D$13=Lists!$N$3,NA(),G16)</f>
        <v>#N/A</v>
      </c>
      <c r="H116" s="84" t="e">
        <f>IF('SDA Tool'!$D$13=Lists!$N$3,NA(),H16)</f>
        <v>#N/A</v>
      </c>
      <c r="I116" s="84" t="e">
        <f>IF('SDA Tool'!$D$13=Lists!$N$3,NA(),I16)</f>
        <v>#N/A</v>
      </c>
      <c r="J116" s="84">
        <f>IF('SDA Tool'!$D$13=Lists!$N$3,NA(),J16)</f>
        <v>2.6136913549432763</v>
      </c>
      <c r="K116" s="84">
        <f>IF('SDA Tool'!$D$13=Lists!$N$3,NA(),K16)</f>
        <v>2.5269139072968239</v>
      </c>
      <c r="L116" s="84">
        <f>IF('SDA Tool'!$D$13=Lists!$N$3,NA(),L16)</f>
        <v>2.4419730193889211</v>
      </c>
      <c r="M116" s="84">
        <f>IF('SDA Tool'!$D$13=Lists!$N$3,NA(),M16)</f>
        <v>2.3588109982434871</v>
      </c>
      <c r="N116" s="84">
        <f>IF('SDA Tool'!$D$13=Lists!$N$3,NA(),N16)</f>
        <v>2.2773725423031403</v>
      </c>
      <c r="O116" s="84">
        <f>IF('SDA Tool'!$D$13=Lists!$N$3,NA(),O16)</f>
        <v>2.1976046187923388</v>
      </c>
      <c r="P116" s="84">
        <f>IF('SDA Tool'!$D$13=Lists!$N$3,NA(),P16)</f>
        <v>2.1160266465415312</v>
      </c>
      <c r="Q116" s="84">
        <f>IF('SDA Tool'!$D$13=Lists!$N$3,NA(),Q16)</f>
        <v>2.0275571167082798</v>
      </c>
      <c r="R116" s="84">
        <f>IF('SDA Tool'!$D$13=Lists!$N$3,NA(),R16)</f>
        <v>1.9379860737030519</v>
      </c>
      <c r="S116" s="84">
        <f>IF('SDA Tool'!$D$13=Lists!$N$3,NA(),S16)</f>
        <v>1.8474607477578293</v>
      </c>
      <c r="T116" s="84">
        <f>IF('SDA Tool'!$D$13=Lists!$N$3,NA(),T16)</f>
        <v>1.7561165784685073</v>
      </c>
      <c r="U116" s="84">
        <f>IF('SDA Tool'!$D$13=Lists!$N$3,NA(),U16)</f>
        <v>1.6489292909735787</v>
      </c>
      <c r="V116" s="84">
        <f>IF('SDA Tool'!$D$13=Lists!$N$3,NA(),V16)</f>
        <v>1.5432879739713654</v>
      </c>
      <c r="W116" s="84">
        <f>IF('SDA Tool'!$D$13=Lists!$N$3,NA(),W16)</f>
        <v>1.4391594204584439</v>
      </c>
      <c r="X116" s="84">
        <f>IF('SDA Tool'!$D$13=Lists!$N$3,NA(),X16)</f>
        <v>1.3365113677063696</v>
      </c>
      <c r="Y116" s="84">
        <f>IF('SDA Tool'!$D$13=Lists!$N$3,NA(),Y16)</f>
        <v>1.2353124639343247</v>
      </c>
      <c r="Z116" s="84">
        <f>IF('SDA Tool'!$D$13=Lists!$N$3,NA(),Z16)</f>
        <v>1.1355322363833833</v>
      </c>
      <c r="AA116" s="84">
        <f>IF('SDA Tool'!$D$13=Lists!$N$3,NA(),AA16)</f>
        <v>1.0371410607241021</v>
      </c>
      <c r="AB116" s="84">
        <f>IF('SDA Tool'!$D$13=Lists!$N$3,NA(),AB16)</f>
        <v>0.93613569026653309</v>
      </c>
      <c r="AC116" s="84">
        <f>IF('SDA Tool'!$D$13=Lists!$N$3,NA(),AC16)</f>
        <v>0.82724443963788907</v>
      </c>
      <c r="AD116" s="84">
        <f>IF('SDA Tool'!$D$13=Lists!$N$3,NA(),AD16)</f>
        <v>0.71760958804814745</v>
      </c>
      <c r="AE116" s="84">
        <f>IF('SDA Tool'!$D$13=Lists!$N$3,NA(),AE16)</f>
        <v>0.6550201649625873</v>
      </c>
      <c r="AF116" s="84">
        <f>IF('SDA Tool'!$D$13=Lists!$N$3,NA(),AF16)</f>
        <v>0.59230541104081436</v>
      </c>
      <c r="AG116" s="84">
        <f>IF('SDA Tool'!$D$13=Lists!$N$3,NA(),AG16)</f>
        <v>0.5294989355077433</v>
      </c>
      <c r="AH116" s="84">
        <f>IF('SDA Tool'!$D$13=Lists!$N$3,NA(),AH16)</f>
        <v>0.46663180595501463</v>
      </c>
      <c r="AI116" s="84">
        <f>IF('SDA Tool'!$D$13=Lists!$N$3,NA(),AI16)</f>
        <v>0.4037327501971355</v>
      </c>
      <c r="AJ116" s="84">
        <f>IF('SDA Tool'!$D$13=Lists!$N$3,NA(),AJ16)</f>
        <v>0.34082833989924505</v>
      </c>
      <c r="AK116" s="84">
        <f>IF('SDA Tool'!$D$13=Lists!$N$3,NA(),AK16)</f>
        <v>0.27794315784836854</v>
      </c>
      <c r="AL116" s="84">
        <f>IF('SDA Tool'!$D$13=Lists!$N$3,NA(),AL16)</f>
        <v>0.21509995052418973</v>
      </c>
      <c r="AM116" s="84">
        <f>IF('SDA Tool'!$D$13=Lists!$N$3,NA(),AM16)</f>
        <v>0.15231976743711848</v>
      </c>
      <c r="AN116" s="84">
        <f>IF('SDA Tool'!$D$13=Lists!$N$3,NA(),AN16)</f>
        <v>8.9622088536885719E-2</v>
      </c>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435"/>
      <c r="BW116" s="435"/>
      <c r="BX116" s="435"/>
      <c r="BY116" s="435"/>
      <c r="BZ116" s="435"/>
      <c r="CA116" s="435"/>
      <c r="CB116" s="435"/>
      <c r="CC116" s="435"/>
      <c r="CD116" s="435"/>
      <c r="CE116" s="435"/>
      <c r="CF116" s="435"/>
      <c r="CG116" s="435"/>
      <c r="CH116" s="435"/>
      <c r="CI116" s="435"/>
      <c r="CJ116" s="435"/>
      <c r="CK116" s="435"/>
      <c r="CL116" s="435"/>
    </row>
    <row r="117" spans="1:90" s="84" customFormat="1" x14ac:dyDescent="0.25">
      <c r="B117" s="436" t="s">
        <v>549</v>
      </c>
      <c r="D117" s="437">
        <f>IF('SDA Tool'!$D$13=Lists!$N$3,NA(),D64)</f>
        <v>0.22852225063733211</v>
      </c>
      <c r="AY117" s="435"/>
      <c r="AZ117" s="435"/>
      <c r="BA117" s="435"/>
      <c r="BB117" s="435"/>
      <c r="BC117" s="435"/>
      <c r="BD117" s="435"/>
      <c r="BE117" s="435"/>
      <c r="BF117" s="435"/>
      <c r="BG117" s="435"/>
      <c r="BH117" s="435"/>
      <c r="BI117" s="435"/>
      <c r="BJ117" s="435"/>
      <c r="BK117" s="435"/>
      <c r="BL117" s="435"/>
      <c r="BM117" s="435"/>
      <c r="BN117" s="435"/>
      <c r="BO117" s="435"/>
      <c r="BP117" s="435"/>
      <c r="BQ117" s="435"/>
      <c r="BR117" s="435"/>
      <c r="BS117" s="435"/>
      <c r="BT117" s="435"/>
      <c r="BU117" s="435"/>
      <c r="BV117" s="435"/>
      <c r="BW117" s="435"/>
      <c r="BX117" s="435"/>
      <c r="BY117" s="435"/>
      <c r="BZ117" s="435"/>
      <c r="CA117" s="435"/>
      <c r="CB117" s="435"/>
      <c r="CC117" s="435"/>
      <c r="CD117" s="435"/>
      <c r="CE117" s="435"/>
      <c r="CF117" s="435"/>
      <c r="CG117" s="435"/>
      <c r="CH117" s="435"/>
      <c r="CI117" s="435"/>
      <c r="CJ117" s="435"/>
      <c r="CK117" s="435"/>
      <c r="CL117" s="435"/>
    </row>
    <row r="119" spans="1:90" ht="13" x14ac:dyDescent="0.3">
      <c r="B119" s="1" t="s">
        <v>182</v>
      </c>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90" x14ac:dyDescent="0.25">
      <c r="B120" t="s">
        <v>183</v>
      </c>
      <c r="C120" t="str">
        <f>+C75</f>
        <v>tCO2e</v>
      </c>
      <c r="D120" t="e">
        <f>IF(D75&gt;=0,D75,0)</f>
        <v>#N/A</v>
      </c>
      <c r="E120" t="e">
        <f t="shared" ref="E120:AN120" si="11">IF(E75&gt;=0,E75,0)</f>
        <v>#N/A</v>
      </c>
      <c r="F120" t="e">
        <f t="shared" si="11"/>
        <v>#N/A</v>
      </c>
      <c r="G120" t="e">
        <f t="shared" si="11"/>
        <v>#N/A</v>
      </c>
      <c r="H120" t="e">
        <f t="shared" si="11"/>
        <v>#N/A</v>
      </c>
      <c r="I120" t="e">
        <f t="shared" si="11"/>
        <v>#N/A</v>
      </c>
      <c r="J120">
        <f t="shared" si="11"/>
        <v>0</v>
      </c>
      <c r="K120">
        <f t="shared" si="11"/>
        <v>0</v>
      </c>
      <c r="L120">
        <f t="shared" si="11"/>
        <v>0</v>
      </c>
      <c r="M120">
        <f t="shared" si="11"/>
        <v>0</v>
      </c>
      <c r="N120">
        <f t="shared" si="11"/>
        <v>0</v>
      </c>
      <c r="O120">
        <f t="shared" si="11"/>
        <v>0</v>
      </c>
      <c r="P120">
        <f t="shared" si="11"/>
        <v>0</v>
      </c>
      <c r="Q120">
        <f t="shared" si="11"/>
        <v>0</v>
      </c>
      <c r="R120">
        <f t="shared" si="11"/>
        <v>0</v>
      </c>
      <c r="S120">
        <f t="shared" si="11"/>
        <v>0</v>
      </c>
      <c r="T120">
        <f t="shared" si="11"/>
        <v>0</v>
      </c>
      <c r="U120">
        <f t="shared" si="11"/>
        <v>0</v>
      </c>
      <c r="V120">
        <f t="shared" si="11"/>
        <v>0</v>
      </c>
      <c r="W120">
        <f t="shared" si="11"/>
        <v>0</v>
      </c>
      <c r="X120">
        <f t="shared" si="11"/>
        <v>0</v>
      </c>
      <c r="Y120">
        <f t="shared" si="11"/>
        <v>0</v>
      </c>
      <c r="Z120">
        <f t="shared" si="11"/>
        <v>0</v>
      </c>
      <c r="AA120">
        <f t="shared" si="11"/>
        <v>0</v>
      </c>
      <c r="AB120">
        <f t="shared" si="11"/>
        <v>0</v>
      </c>
      <c r="AC120">
        <f t="shared" si="11"/>
        <v>0</v>
      </c>
      <c r="AD120">
        <f t="shared" si="11"/>
        <v>0</v>
      </c>
      <c r="AE120">
        <f t="shared" si="11"/>
        <v>0</v>
      </c>
      <c r="AF120">
        <f t="shared" si="11"/>
        <v>0</v>
      </c>
      <c r="AG120">
        <f t="shared" si="11"/>
        <v>0</v>
      </c>
      <c r="AH120">
        <f t="shared" si="11"/>
        <v>0</v>
      </c>
      <c r="AI120">
        <f t="shared" si="11"/>
        <v>0</v>
      </c>
      <c r="AJ120">
        <f t="shared" si="11"/>
        <v>0</v>
      </c>
      <c r="AK120">
        <f t="shared" si="11"/>
        <v>0</v>
      </c>
      <c r="AL120">
        <f t="shared" si="11"/>
        <v>0</v>
      </c>
      <c r="AM120">
        <f t="shared" si="11"/>
        <v>0</v>
      </c>
      <c r="AN120">
        <f t="shared" si="11"/>
        <v>0</v>
      </c>
      <c r="AO120"/>
      <c r="AP120"/>
      <c r="AQ120"/>
      <c r="AR120"/>
      <c r="AS120"/>
      <c r="AT120"/>
      <c r="AU120"/>
      <c r="AV120"/>
      <c r="AW120"/>
      <c r="AX120"/>
    </row>
    <row r="121" spans="1:90" x14ac:dyDescent="0.25">
      <c r="B121" s="86" t="s">
        <v>184</v>
      </c>
      <c r="D121" s="2" t="str">
        <f>D78</f>
        <v/>
      </c>
    </row>
    <row r="122" spans="1:90" x14ac:dyDescent="0.25">
      <c r="B122" s="86"/>
    </row>
    <row r="125" spans="1:90" s="417" customFormat="1" ht="22.5" x14ac:dyDescent="0.45">
      <c r="A125" s="489" t="s">
        <v>185</v>
      </c>
      <c r="B125" s="490"/>
      <c r="C125" s="490"/>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88"/>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484"/>
      <c r="BM125" s="484"/>
      <c r="BN125" s="484"/>
      <c r="BO125" s="484"/>
      <c r="BP125" s="484"/>
      <c r="BQ125" s="484"/>
      <c r="BR125" s="484"/>
      <c r="BS125" s="484"/>
      <c r="BT125" s="484"/>
      <c r="BU125" s="484"/>
      <c r="BV125" s="484"/>
      <c r="BW125" s="484"/>
      <c r="BX125" s="484"/>
      <c r="BY125" s="484"/>
      <c r="BZ125" s="484"/>
      <c r="CA125" s="484"/>
      <c r="CB125" s="484"/>
      <c r="CC125" s="484"/>
      <c r="CD125" s="484"/>
      <c r="CE125" s="484"/>
      <c r="CF125" s="484"/>
      <c r="CG125" s="484"/>
      <c r="CH125" s="484"/>
      <c r="CI125" s="484"/>
      <c r="CJ125" s="484"/>
      <c r="CK125" s="484"/>
      <c r="CL125" s="484"/>
    </row>
    <row r="126" spans="1:90" ht="13" x14ac:dyDescent="0.3">
      <c r="A126" s="1"/>
    </row>
    <row r="127" spans="1:90" ht="13" x14ac:dyDescent="0.3">
      <c r="B127" t="s">
        <v>153</v>
      </c>
      <c r="D127" s="1" t="e">
        <f>IF(AND(D$1&gt;='Alternative Feedstock Tool'!$D$13,D$1&lt;=2060),IF(D$1='Alternative Feedstock Tool'!$D$13,'Alternative Feedstock Tool'!$D$13,D$1),NA())</f>
        <v>#N/A</v>
      </c>
      <c r="E127" s="1" t="e">
        <f>IF(AND(E$1&gt;='Alternative Feedstock Tool'!$D$13,E$1&lt;=2060),IF(E$1='Alternative Feedstock Tool'!$D$13,'Alternative Feedstock Tool'!$D$13,E$1),NA())</f>
        <v>#N/A</v>
      </c>
      <c r="F127" s="1" t="e">
        <f>IF(AND(F$1&gt;='Alternative Feedstock Tool'!$D$13,F$1&lt;=2060),IF(F$1='Alternative Feedstock Tool'!$D$13,'Alternative Feedstock Tool'!$D$13,F$1),NA())</f>
        <v>#N/A</v>
      </c>
      <c r="G127" s="1" t="e">
        <f>IF(AND(G$1&gt;='Alternative Feedstock Tool'!$D$13,G$1&lt;=2060),IF(G$1='Alternative Feedstock Tool'!$D$13,'Alternative Feedstock Tool'!$D$13,G$1),NA())</f>
        <v>#N/A</v>
      </c>
      <c r="H127" s="1" t="e">
        <f>IF(AND(H$1&gt;='Alternative Feedstock Tool'!$D$13,H$1&lt;=2060),IF(H$1='Alternative Feedstock Tool'!$D$13,'Alternative Feedstock Tool'!$D$13,H$1),NA())</f>
        <v>#N/A</v>
      </c>
      <c r="I127" s="1" t="e">
        <f>IF(AND(I$1&gt;='Alternative Feedstock Tool'!$D$13,I$1&lt;=2060),IF(I$1='Alternative Feedstock Tool'!$D$13,'Alternative Feedstock Tool'!$D$13,I$1),NA())</f>
        <v>#N/A</v>
      </c>
      <c r="J127" s="1">
        <f>IF(AND(J$1&gt;='Alternative Feedstock Tool'!$D$13,J$1&lt;=2060),IF(J$1='Alternative Feedstock Tool'!$D$13,'Alternative Feedstock Tool'!$D$13,J$1),NA())</f>
        <v>2020</v>
      </c>
      <c r="K127" s="1">
        <f>IF(AND(K$1&gt;='Alternative Feedstock Tool'!$D$13,K$1&lt;=2060),IF(K$1='Alternative Feedstock Tool'!$D$13,'Alternative Feedstock Tool'!$D$13,K$1),NA())</f>
        <v>2021</v>
      </c>
      <c r="L127" s="1">
        <f>IF(AND(L$1&gt;='Alternative Feedstock Tool'!$D$13,L$1&lt;=2060),IF(L$1='Alternative Feedstock Tool'!$D$13,'Alternative Feedstock Tool'!$D$13,L$1),NA())</f>
        <v>2022</v>
      </c>
      <c r="M127" s="1">
        <f>IF(AND(M$1&gt;='Alternative Feedstock Tool'!$D$13,M$1&lt;=2060),IF(M$1='Alternative Feedstock Tool'!$D$13,'Alternative Feedstock Tool'!$D$13,M$1),NA())</f>
        <v>2023</v>
      </c>
      <c r="N127" s="1">
        <f>IF(AND(N$1&gt;='Alternative Feedstock Tool'!$D$13,N$1&lt;=2060),IF(N$1='Alternative Feedstock Tool'!$D$13,'Alternative Feedstock Tool'!$D$13,N$1),NA())</f>
        <v>2024</v>
      </c>
      <c r="O127" s="1">
        <f>IF(AND(O$1&gt;='Alternative Feedstock Tool'!$D$13,O$1&lt;=2060),IF(O$1='Alternative Feedstock Tool'!$D$13,'Alternative Feedstock Tool'!$D$13,O$1),NA())</f>
        <v>2025</v>
      </c>
      <c r="P127" s="1">
        <f>IF(AND(P$1&gt;='Alternative Feedstock Tool'!$D$13,P$1&lt;=2060),IF(P$1='Alternative Feedstock Tool'!$D$13,'Alternative Feedstock Tool'!$D$13,P$1),NA())</f>
        <v>2026</v>
      </c>
      <c r="Q127" s="1">
        <f>IF(AND(Q$1&gt;='Alternative Feedstock Tool'!$D$13,Q$1&lt;=2060),IF(Q$1='Alternative Feedstock Tool'!$D$13,'Alternative Feedstock Tool'!$D$13,Q$1),NA())</f>
        <v>2027</v>
      </c>
      <c r="R127" s="1">
        <f>IF(AND(R$1&gt;='Alternative Feedstock Tool'!$D$13,R$1&lt;=2060),IF(R$1='Alternative Feedstock Tool'!$D$13,'Alternative Feedstock Tool'!$D$13,R$1),NA())</f>
        <v>2028</v>
      </c>
      <c r="S127" s="1">
        <f>IF(AND(S$1&gt;='Alternative Feedstock Tool'!$D$13,S$1&lt;=2060),IF(S$1='Alternative Feedstock Tool'!$D$13,'Alternative Feedstock Tool'!$D$13,S$1),NA())</f>
        <v>2029</v>
      </c>
      <c r="T127" s="1">
        <f>IF(AND(T$1&gt;='Alternative Feedstock Tool'!$D$13,T$1&lt;=2060),IF(T$1='Alternative Feedstock Tool'!$D$13,'Alternative Feedstock Tool'!$D$13,T$1),NA())</f>
        <v>2030</v>
      </c>
      <c r="U127" s="1">
        <f>IF(AND(U$1&gt;='Alternative Feedstock Tool'!$D$13,U$1&lt;=2060),IF(U$1='Alternative Feedstock Tool'!$D$13,'Alternative Feedstock Tool'!$D$13,U$1),NA())</f>
        <v>2031</v>
      </c>
      <c r="V127" s="1">
        <f>IF(AND(V$1&gt;='Alternative Feedstock Tool'!$D$13,V$1&lt;=2060),IF(V$1='Alternative Feedstock Tool'!$D$13,'Alternative Feedstock Tool'!$D$13,V$1),NA())</f>
        <v>2032</v>
      </c>
      <c r="W127" s="1">
        <f>IF(AND(W$1&gt;='Alternative Feedstock Tool'!$D$13,W$1&lt;=2060),IF(W$1='Alternative Feedstock Tool'!$D$13,'Alternative Feedstock Tool'!$D$13,W$1),NA())</f>
        <v>2033</v>
      </c>
      <c r="X127" s="1">
        <f>IF(AND(X$1&gt;='Alternative Feedstock Tool'!$D$13,X$1&lt;=2060),IF(X$1='Alternative Feedstock Tool'!$D$13,'Alternative Feedstock Tool'!$D$13,X$1),NA())</f>
        <v>2034</v>
      </c>
      <c r="Y127" s="1">
        <f>IF(AND(Y$1&gt;='Alternative Feedstock Tool'!$D$13,Y$1&lt;=2060),IF(Y$1='Alternative Feedstock Tool'!$D$13,'Alternative Feedstock Tool'!$D$13,Y$1),NA())</f>
        <v>2035</v>
      </c>
      <c r="Z127" s="1">
        <f>IF(AND(Z$1&gt;='Alternative Feedstock Tool'!$D$13,Z$1&lt;=2060),IF(Z$1='Alternative Feedstock Tool'!$D$13,'Alternative Feedstock Tool'!$D$13,Z$1),NA())</f>
        <v>2036</v>
      </c>
      <c r="AA127" s="1">
        <f>IF(AND(AA$1&gt;='Alternative Feedstock Tool'!$D$13,AA$1&lt;=2060),IF(AA$1='Alternative Feedstock Tool'!$D$13,'Alternative Feedstock Tool'!$D$13,AA$1),NA())</f>
        <v>2037</v>
      </c>
      <c r="AB127" s="1">
        <f>IF(AND(AB$1&gt;='Alternative Feedstock Tool'!$D$13,AB$1&lt;=2060),IF(AB$1='Alternative Feedstock Tool'!$D$13,'Alternative Feedstock Tool'!$D$13,AB$1),NA())</f>
        <v>2038</v>
      </c>
      <c r="AC127" s="1">
        <f>IF(AND(AC$1&gt;='Alternative Feedstock Tool'!$D$13,AC$1&lt;=2060),IF(AC$1='Alternative Feedstock Tool'!$D$13,'Alternative Feedstock Tool'!$D$13,AC$1),NA())</f>
        <v>2039</v>
      </c>
      <c r="AD127" s="1">
        <f>IF(AND(AD$1&gt;='Alternative Feedstock Tool'!$D$13,AD$1&lt;=2060),IF(AD$1='Alternative Feedstock Tool'!$D$13,'Alternative Feedstock Tool'!$D$13,AD$1),NA())</f>
        <v>2040</v>
      </c>
      <c r="AE127" s="1">
        <f>IF(AND(AE$1&gt;='Alternative Feedstock Tool'!$D$13,AE$1&lt;=2060),IF(AE$1='Alternative Feedstock Tool'!$D$13,'Alternative Feedstock Tool'!$D$13,AE$1),NA())</f>
        <v>2041</v>
      </c>
      <c r="AF127" s="1">
        <f>IF(AND(AF$1&gt;='Alternative Feedstock Tool'!$D$13,AF$1&lt;=2060),IF(AF$1='Alternative Feedstock Tool'!$D$13,'Alternative Feedstock Tool'!$D$13,AF$1),NA())</f>
        <v>2042</v>
      </c>
      <c r="AG127" s="1">
        <f>IF(AND(AG$1&gt;='Alternative Feedstock Tool'!$D$13,AG$1&lt;=2060),IF(AG$1='Alternative Feedstock Tool'!$D$13,'Alternative Feedstock Tool'!$D$13,AG$1),NA())</f>
        <v>2043</v>
      </c>
      <c r="AH127" s="1">
        <f>IF(AND(AH$1&gt;='Alternative Feedstock Tool'!$D$13,AH$1&lt;=2060),IF(AH$1='Alternative Feedstock Tool'!$D$13,'Alternative Feedstock Tool'!$D$13,AH$1),NA())</f>
        <v>2044</v>
      </c>
      <c r="AI127" s="1">
        <f>IF(AND(AI$1&gt;='Alternative Feedstock Tool'!$D$13,AI$1&lt;=2060),IF(AI$1='Alternative Feedstock Tool'!$D$13,'Alternative Feedstock Tool'!$D$13,AI$1),NA())</f>
        <v>2045</v>
      </c>
      <c r="AJ127" s="1">
        <f>IF(AND(AJ$1&gt;='Alternative Feedstock Tool'!$D$13,AJ$1&lt;=2060),IF(AJ$1='Alternative Feedstock Tool'!$D$13,'Alternative Feedstock Tool'!$D$13,AJ$1),NA())</f>
        <v>2046</v>
      </c>
      <c r="AK127" s="1">
        <f>IF(AND(AK$1&gt;='Alternative Feedstock Tool'!$D$13,AK$1&lt;=2060),IF(AK$1='Alternative Feedstock Tool'!$D$13,'Alternative Feedstock Tool'!$D$13,AK$1),NA())</f>
        <v>2047</v>
      </c>
      <c r="AL127" s="1">
        <f>IF(AND(AL$1&gt;='Alternative Feedstock Tool'!$D$13,AL$1&lt;=2060),IF(AL$1='Alternative Feedstock Tool'!$D$13,'Alternative Feedstock Tool'!$D$13,AL$1),NA())</f>
        <v>2048</v>
      </c>
      <c r="AM127" s="1">
        <f>IF(AND(AM$1&gt;='Alternative Feedstock Tool'!$D$13,AM$1&lt;=2060),IF(AM$1='Alternative Feedstock Tool'!$D$13,'Alternative Feedstock Tool'!$D$13,AM$1),NA())</f>
        <v>2049</v>
      </c>
      <c r="AN127" s="1">
        <f>IF(AND(AN$1&gt;='Alternative Feedstock Tool'!$D$13,AN$1&lt;=2060),IF(AN$1='Alternative Feedstock Tool'!$D$13,'Alternative Feedstock Tool'!$D$13,AN$1),NA())</f>
        <v>2050</v>
      </c>
      <c r="AO127" s="1"/>
      <c r="AP127" s="1"/>
      <c r="AQ127" s="1"/>
      <c r="AR127" s="1"/>
      <c r="AS127" s="1"/>
      <c r="AT127" s="1"/>
      <c r="AU127" s="1"/>
      <c r="AV127" s="1"/>
      <c r="AW127" s="1"/>
      <c r="AX127" s="1"/>
    </row>
    <row r="128" spans="1:90" x14ac:dyDescent="0.25">
      <c r="B128" t="s">
        <v>592</v>
      </c>
      <c r="C128" t="s">
        <v>186</v>
      </c>
      <c r="D128" s="491"/>
      <c r="E128" s="454"/>
      <c r="J128">
        <v>0</v>
      </c>
      <c r="K128">
        <v>2</v>
      </c>
      <c r="L128">
        <v>5</v>
      </c>
      <c r="M128">
        <v>7</v>
      </c>
      <c r="N128">
        <v>9</v>
      </c>
      <c r="O128">
        <v>11</v>
      </c>
      <c r="P128">
        <v>12</v>
      </c>
      <c r="Q128">
        <v>12</v>
      </c>
      <c r="R128">
        <v>13</v>
      </c>
      <c r="S128">
        <v>13</v>
      </c>
      <c r="T128">
        <v>14</v>
      </c>
      <c r="U128">
        <v>14</v>
      </c>
      <c r="V128">
        <v>15</v>
      </c>
      <c r="W128">
        <v>16</v>
      </c>
      <c r="X128">
        <v>17</v>
      </c>
      <c r="Y128">
        <v>18</v>
      </c>
      <c r="Z128">
        <v>20</v>
      </c>
      <c r="AA128">
        <v>22</v>
      </c>
      <c r="AB128">
        <v>24</v>
      </c>
      <c r="AC128">
        <v>25</v>
      </c>
      <c r="AD128">
        <v>26</v>
      </c>
      <c r="AE128">
        <v>28</v>
      </c>
      <c r="AF128">
        <v>30</v>
      </c>
      <c r="AG128">
        <v>32</v>
      </c>
      <c r="AH128">
        <v>33</v>
      </c>
      <c r="AI128">
        <v>34</v>
      </c>
      <c r="AJ128">
        <v>36</v>
      </c>
      <c r="AK128">
        <v>38</v>
      </c>
      <c r="AL128">
        <v>39</v>
      </c>
      <c r="AM128">
        <v>40</v>
      </c>
      <c r="AN128">
        <v>44</v>
      </c>
      <c r="AO128" s="61"/>
      <c r="AP128" s="61"/>
      <c r="AQ128" s="61"/>
      <c r="AR128" s="61"/>
      <c r="AS128" s="61"/>
      <c r="AT128" s="61"/>
      <c r="AU128" s="61"/>
      <c r="AV128" s="61"/>
      <c r="AW128" s="61"/>
      <c r="AX128" s="61"/>
    </row>
    <row r="129" spans="2:50" x14ac:dyDescent="0.25">
      <c r="B129" t="s">
        <v>187</v>
      </c>
      <c r="C129" t="s">
        <v>186</v>
      </c>
      <c r="D129" s="491"/>
      <c r="E129" s="454"/>
      <c r="J129" s="38">
        <v>0</v>
      </c>
      <c r="K129" s="2">
        <v>2</v>
      </c>
      <c r="L129" s="2">
        <v>5</v>
      </c>
      <c r="M129" s="2">
        <v>7</v>
      </c>
      <c r="N129" s="2">
        <v>9</v>
      </c>
      <c r="O129" s="2">
        <v>12</v>
      </c>
      <c r="P129" s="2">
        <v>12</v>
      </c>
      <c r="Q129" s="2">
        <v>13</v>
      </c>
      <c r="R129" s="2">
        <v>14</v>
      </c>
      <c r="S129" s="2">
        <v>15</v>
      </c>
      <c r="T129" s="2">
        <v>16</v>
      </c>
      <c r="U129" s="2">
        <v>18</v>
      </c>
      <c r="V129" s="2">
        <v>19</v>
      </c>
      <c r="W129" s="2">
        <v>20</v>
      </c>
      <c r="X129" s="2">
        <v>21</v>
      </c>
      <c r="Y129" s="2">
        <v>22</v>
      </c>
      <c r="Z129" s="61">
        <v>24</v>
      </c>
      <c r="AA129" s="61">
        <v>28</v>
      </c>
      <c r="AB129" s="61">
        <v>31</v>
      </c>
      <c r="AC129" s="61">
        <v>34</v>
      </c>
      <c r="AD129" s="61">
        <v>38</v>
      </c>
      <c r="AE129" s="61">
        <v>42</v>
      </c>
      <c r="AF129" s="61">
        <v>46</v>
      </c>
      <c r="AG129" s="61">
        <v>51</v>
      </c>
      <c r="AH129" s="61">
        <v>54</v>
      </c>
      <c r="AI129" s="61">
        <v>57</v>
      </c>
      <c r="AJ129" s="61">
        <v>63</v>
      </c>
      <c r="AK129" s="61">
        <v>66</v>
      </c>
      <c r="AL129" s="61">
        <v>70</v>
      </c>
      <c r="AM129" s="61">
        <v>73</v>
      </c>
      <c r="AN129" s="61">
        <v>83</v>
      </c>
      <c r="AO129" s="61"/>
      <c r="AP129" s="61"/>
      <c r="AQ129" s="61"/>
      <c r="AR129" s="61"/>
      <c r="AS129" s="61"/>
      <c r="AT129" s="61"/>
      <c r="AU129" s="61"/>
      <c r="AV129" s="61"/>
      <c r="AW129" s="61"/>
      <c r="AX129" s="61"/>
    </row>
    <row r="130" spans="2:50" x14ac:dyDescent="0.25">
      <c r="B130" t="s">
        <v>188</v>
      </c>
      <c r="C130" t="s">
        <v>186</v>
      </c>
      <c r="D130" s="38">
        <f>HLOOKUP('Alternative Feedstock Tool'!$D$16,Calculations!$J$1:$AN$133,ROW(Calculations!A128))</f>
        <v>13</v>
      </c>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row>
    <row r="131" spans="2:50" x14ac:dyDescent="0.25">
      <c r="B131" t="s">
        <v>189</v>
      </c>
      <c r="C131" t="s">
        <v>186</v>
      </c>
      <c r="D131" s="38">
        <f>HLOOKUP('Alternative Feedstock Tool'!$D$16,Calculations!$J$1:$AN$133,ROW(Calculations!A129))</f>
        <v>15</v>
      </c>
    </row>
    <row r="132" spans="2:50" x14ac:dyDescent="0.25">
      <c r="B132" t="s">
        <v>190</v>
      </c>
      <c r="C132" t="s">
        <v>186</v>
      </c>
      <c r="D132" s="38">
        <f>IF('Alternative Feedstock Tool'!$D$15=Lists!$J$31,HLOOKUP('Alternative Feedstock Tool'!$D$17,Calculations!$J$1:$AN$133,ROW(Calculations!A128)),"")</f>
        <v>44</v>
      </c>
    </row>
    <row r="133" spans="2:50" x14ac:dyDescent="0.25">
      <c r="B133" t="s">
        <v>191</v>
      </c>
      <c r="C133" t="s">
        <v>186</v>
      </c>
      <c r="D133" s="38">
        <f>IF('Alternative Feedstock Tool'!$D$15=Lists!$J$31,HLOOKUP('Alternative Feedstock Tool'!$D$17,Calculations!$J$1:$AN$133,ROW(Calculations!A129)),"")</f>
        <v>83</v>
      </c>
    </row>
  </sheetData>
  <sheetProtection algorithmName="SHA-512" hashValue="XoqCHW2gLKMXrFUsYioCGWGi40NpYI4YarjyAMaZVQLHpvMGr+9OBtEBNfAVUCFZbKXzzgr1fP2gAh1TgmJGXA==" saltValue="Eqk0kAksZWcvv5ZjYOueBg==" spinCount="100000" sheet="1" objects="1" scenarios="1"/>
  <conditionalFormatting sqref="A126:Y126 E128:AX129 AY67:XFD75 E69:AX73 AO76:XFD78 A68:A78 B77:C78 B69:C74 A89:XFD125">
    <cfRule type="expression" dxfId="130" priority="29">
      <formula>ISNA(A67)</formula>
    </cfRule>
  </conditionalFormatting>
  <conditionalFormatting sqref="A46:A50 AY126:XFD129 AO130:XFD130 C46:AN50">
    <cfRule type="expression" dxfId="129" priority="97">
      <formula>ISNA(A46)</formula>
    </cfRule>
  </conditionalFormatting>
  <conditionalFormatting sqref="A59:A60 C59:AN60">
    <cfRule type="expression" dxfId="128" priority="200">
      <formula>ISNA(A59)</formula>
    </cfRule>
  </conditionalFormatting>
  <conditionalFormatting sqref="A1:XFD4 A5 C5 E5:XFD5 A31:C31 E31:XFD31 A32:XFD42 A43:AN44 A45 E45:AN45 A51:XFD51 A52:A56 AY52:XFD56 C61:AN62 A61:A64 A65:XFD66 A67:Y67 B75:AX75 A79:XFD87 A88:D88 F88:XFD88 C45 C52:AN56">
    <cfRule type="expression" dxfId="127" priority="203">
      <formula>ISNA(A1)</formula>
    </cfRule>
  </conditionalFormatting>
  <conditionalFormatting sqref="A6:XFD10 A127:A133 D131:XFD133 A134:XFD1048576 A17:XFD20 A11:A16 A24:XFD30 A21:A23 C21:XFD23 C11:XFD16">
    <cfRule type="expression" dxfId="126" priority="93">
      <formula>ISNA(A6)</formula>
    </cfRule>
  </conditionalFormatting>
  <conditionalFormatting sqref="B128:C133">
    <cfRule type="expression" dxfId="125" priority="10">
      <formula>ISNA(B128)</formula>
    </cfRule>
  </conditionalFormatting>
  <conditionalFormatting sqref="B68:AX68">
    <cfRule type="expression" dxfId="124" priority="146">
      <formula>ISNA(B68)</formula>
    </cfRule>
  </conditionalFormatting>
  <conditionalFormatting sqref="B127:AX127">
    <cfRule type="expression" dxfId="123" priority="20">
      <formula>ISNA(B127)</formula>
    </cfRule>
  </conditionalFormatting>
  <conditionalFormatting sqref="C63:AN64">
    <cfRule type="expression" dxfId="122" priority="193">
      <formula>ISNA(C63)</formula>
    </cfRule>
  </conditionalFormatting>
  <conditionalFormatting sqref="D69:D70">
    <cfRule type="expression" dxfId="121" priority="34">
      <formula>ISNA(D69)</formula>
    </cfRule>
    <cfRule type="expression" dxfId="120" priority="35">
      <formula>ISNUMBER(D69)</formula>
    </cfRule>
  </conditionalFormatting>
  <conditionalFormatting sqref="D128:D129">
    <cfRule type="expression" dxfId="119" priority="11">
      <formula>ISNA(D128)</formula>
    </cfRule>
    <cfRule type="expression" dxfId="118" priority="12">
      <formula>ISNUMBER(D128)</formula>
    </cfRule>
  </conditionalFormatting>
  <conditionalFormatting sqref="D74:AX74">
    <cfRule type="expression" dxfId="117" priority="173">
      <formula>ISNA(D74)</formula>
    </cfRule>
  </conditionalFormatting>
  <conditionalFormatting sqref="B76:D76">
    <cfRule type="expression" dxfId="116" priority="177">
      <formula>ISNA(B76)</formula>
    </cfRule>
  </conditionalFormatting>
  <conditionalFormatting sqref="AO43:XFD50">
    <cfRule type="expression" dxfId="115" priority="106">
      <formula>ISNA(AO43)</formula>
    </cfRule>
  </conditionalFormatting>
  <conditionalFormatting sqref="AO59:XFD64">
    <cfRule type="expression" dxfId="114" priority="100">
      <formula>ISNA(AO59)</formula>
    </cfRule>
  </conditionalFormatting>
  <conditionalFormatting sqref="B11:B13">
    <cfRule type="expression" dxfId="113" priority="9">
      <formula>ISNA(B11)</formula>
    </cfRule>
  </conditionalFormatting>
  <conditionalFormatting sqref="B21:B23">
    <cfRule type="expression" dxfId="112" priority="8">
      <formula>ISNA(B21)</formula>
    </cfRule>
  </conditionalFormatting>
  <conditionalFormatting sqref="B46:B50">
    <cfRule type="expression" dxfId="111" priority="6">
      <formula>ISNA(B46)</formula>
    </cfRule>
  </conditionalFormatting>
  <conditionalFormatting sqref="B45">
    <cfRule type="expression" dxfId="110" priority="7">
      <formula>ISNA(B45)</formula>
    </cfRule>
  </conditionalFormatting>
  <conditionalFormatting sqref="B52:B56">
    <cfRule type="expression" dxfId="109" priority="5">
      <formula>ISNA(B52)</formula>
    </cfRule>
  </conditionalFormatting>
  <conditionalFormatting sqref="B57">
    <cfRule type="expression" dxfId="108" priority="4">
      <formula>ISNA(B57)</formula>
    </cfRule>
  </conditionalFormatting>
  <conditionalFormatting sqref="B59:B60">
    <cfRule type="expression" dxfId="107" priority="2">
      <formula>ISNA(B59)</formula>
    </cfRule>
  </conditionalFormatting>
  <conditionalFormatting sqref="B61:B62">
    <cfRule type="expression" dxfId="106" priority="3">
      <formula>ISNA(B61)</formula>
    </cfRule>
  </conditionalFormatting>
  <conditionalFormatting sqref="B14:B16">
    <cfRule type="expression" dxfId="105" priority="1">
      <formula>ISNA(B14)</formula>
    </cfRule>
  </conditionalFormatting>
  <pageMargins left="0.7" right="0.7" top="0.75" bottom="0.75" header="0.3" footer="0.3"/>
  <pageSetup paperSize="9" orientation="portrait" horizontalDpi="4294967294" r:id="rId1"/>
  <ignoredErrors>
    <ignoredError sqref="C34"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21"/>
  <sheetViews>
    <sheetView zoomScale="85" zoomScaleNormal="85" workbookViewId="0">
      <selection activeCell="Q47" sqref="Q47"/>
    </sheetView>
  </sheetViews>
  <sheetFormatPr defaultColWidth="11.54296875" defaultRowHeight="12.5" x14ac:dyDescent="0.25"/>
  <cols>
    <col min="1" max="1" width="21.453125" style="444" customWidth="1"/>
    <col min="2" max="2" width="14.453125" style="444" bestFit="1" customWidth="1"/>
    <col min="3" max="4" width="13.453125" style="444" customWidth="1"/>
    <col min="5" max="5" width="18.81640625" style="444" customWidth="1"/>
    <col min="6" max="6" width="11.54296875" style="444"/>
    <col min="7" max="7" width="73.54296875" style="3" customWidth="1"/>
    <col min="8" max="8" width="34" style="129" bestFit="1" customWidth="1"/>
    <col min="9" max="55" width="19.453125" style="3" customWidth="1"/>
    <col min="56" max="16384" width="11.54296875" style="3"/>
  </cols>
  <sheetData>
    <row r="1" spans="1:95" s="125" customFormat="1" ht="36" customHeight="1" x14ac:dyDescent="0.3">
      <c r="A1" s="534" t="s">
        <v>192</v>
      </c>
      <c r="B1" s="534" t="s">
        <v>193</v>
      </c>
      <c r="C1" s="534" t="s">
        <v>194</v>
      </c>
      <c r="D1" s="534" t="s">
        <v>195</v>
      </c>
      <c r="E1" s="534" t="s">
        <v>196</v>
      </c>
      <c r="F1" s="534" t="s">
        <v>129</v>
      </c>
      <c r="G1" s="125" t="s">
        <v>197</v>
      </c>
      <c r="H1" s="128" t="s">
        <v>198</v>
      </c>
      <c r="I1" s="125" t="s">
        <v>199</v>
      </c>
      <c r="J1" s="125" t="s">
        <v>200</v>
      </c>
      <c r="K1" s="125" t="s">
        <v>201</v>
      </c>
      <c r="L1" s="125" t="s">
        <v>202</v>
      </c>
      <c r="M1" s="125" t="s">
        <v>203</v>
      </c>
      <c r="N1" s="125" t="s">
        <v>204</v>
      </c>
      <c r="O1" s="125" t="s">
        <v>205</v>
      </c>
      <c r="P1" s="125" t="s">
        <v>206</v>
      </c>
      <c r="Q1" s="125" t="s">
        <v>207</v>
      </c>
      <c r="R1" s="125" t="s">
        <v>208</v>
      </c>
      <c r="S1" s="125" t="s">
        <v>209</v>
      </c>
      <c r="T1" s="125" t="s">
        <v>210</v>
      </c>
      <c r="U1" s="125" t="s">
        <v>211</v>
      </c>
      <c r="V1" s="125" t="s">
        <v>212</v>
      </c>
      <c r="W1" s="125" t="s">
        <v>213</v>
      </c>
      <c r="X1" s="125" t="s">
        <v>214</v>
      </c>
      <c r="Y1" s="125" t="s">
        <v>215</v>
      </c>
      <c r="Z1" s="125" t="s">
        <v>216</v>
      </c>
      <c r="AA1" s="125" t="s">
        <v>217</v>
      </c>
      <c r="AB1" s="125" t="s">
        <v>218</v>
      </c>
      <c r="AC1" s="125" t="s">
        <v>219</v>
      </c>
      <c r="AD1" s="125" t="s">
        <v>220</v>
      </c>
      <c r="AE1" s="125" t="s">
        <v>221</v>
      </c>
      <c r="AF1" s="125" t="s">
        <v>222</v>
      </c>
      <c r="AG1" s="125" t="s">
        <v>223</v>
      </c>
      <c r="AH1" s="125" t="s">
        <v>224</v>
      </c>
      <c r="AI1" s="125" t="s">
        <v>225</v>
      </c>
      <c r="AJ1" s="125" t="s">
        <v>226</v>
      </c>
      <c r="AK1" s="125" t="s">
        <v>227</v>
      </c>
      <c r="AL1" s="125" t="s">
        <v>228</v>
      </c>
      <c r="AM1" s="125" t="s">
        <v>229</v>
      </c>
      <c r="AN1" s="125" t="s">
        <v>230</v>
      </c>
      <c r="AO1" s="125" t="s">
        <v>231</v>
      </c>
      <c r="AP1" s="125" t="s">
        <v>232</v>
      </c>
      <c r="AQ1" s="125" t="s">
        <v>233</v>
      </c>
      <c r="AR1" s="125" t="s">
        <v>234</v>
      </c>
      <c r="AS1" s="125" t="s">
        <v>235</v>
      </c>
      <c r="AT1" s="125" t="s">
        <v>236</v>
      </c>
      <c r="AU1" s="125" t="s">
        <v>237</v>
      </c>
      <c r="AV1" s="125" t="s">
        <v>238</v>
      </c>
      <c r="AW1" s="125" t="s">
        <v>239</v>
      </c>
      <c r="AX1" s="125" t="s">
        <v>240</v>
      </c>
      <c r="AY1" s="125" t="s">
        <v>241</v>
      </c>
      <c r="AZ1" s="125" t="s">
        <v>242</v>
      </c>
      <c r="BA1" s="125" t="s">
        <v>243</v>
      </c>
      <c r="BB1" s="125" t="s">
        <v>244</v>
      </c>
      <c r="BC1" s="125" t="s">
        <v>245</v>
      </c>
      <c r="BD1" s="125">
        <v>2061</v>
      </c>
      <c r="BE1" s="125">
        <v>2062</v>
      </c>
      <c r="BF1" s="125">
        <v>2063</v>
      </c>
      <c r="BG1" s="125">
        <v>2064</v>
      </c>
      <c r="BH1" s="125">
        <v>2065</v>
      </c>
      <c r="BI1" s="125">
        <v>2066</v>
      </c>
      <c r="BJ1" s="125">
        <v>2067</v>
      </c>
      <c r="BK1" s="125">
        <v>2068</v>
      </c>
      <c r="BL1" s="125">
        <v>2069</v>
      </c>
      <c r="BM1" s="125">
        <v>2070</v>
      </c>
      <c r="BN1" s="125">
        <v>2071</v>
      </c>
      <c r="BO1" s="125">
        <v>2072</v>
      </c>
      <c r="BP1" s="125">
        <v>2073</v>
      </c>
      <c r="BQ1" s="125">
        <v>2074</v>
      </c>
      <c r="BR1" s="125">
        <v>2075</v>
      </c>
      <c r="BS1" s="125">
        <v>2076</v>
      </c>
      <c r="BT1" s="125">
        <v>2077</v>
      </c>
      <c r="BU1" s="125">
        <v>2078</v>
      </c>
      <c r="BV1" s="125">
        <v>2079</v>
      </c>
      <c r="BW1" s="125">
        <v>2080</v>
      </c>
      <c r="BX1" s="125">
        <v>2081</v>
      </c>
      <c r="BY1" s="125">
        <v>2082</v>
      </c>
      <c r="BZ1" s="125">
        <v>2083</v>
      </c>
      <c r="CA1" s="125">
        <v>2084</v>
      </c>
      <c r="CB1" s="125">
        <v>2085</v>
      </c>
      <c r="CC1" s="125">
        <v>2086</v>
      </c>
      <c r="CD1" s="125">
        <v>2087</v>
      </c>
      <c r="CE1" s="125">
        <v>2088</v>
      </c>
      <c r="CF1" s="125">
        <v>2089</v>
      </c>
      <c r="CG1" s="125">
        <v>2090</v>
      </c>
      <c r="CH1" s="125">
        <v>2091</v>
      </c>
      <c r="CI1" s="125">
        <v>2092</v>
      </c>
      <c r="CJ1" s="125">
        <v>2093</v>
      </c>
      <c r="CK1" s="125">
        <v>2094</v>
      </c>
      <c r="CL1" s="125">
        <v>2095</v>
      </c>
      <c r="CM1" s="125">
        <v>2096</v>
      </c>
      <c r="CN1" s="125">
        <v>2097</v>
      </c>
      <c r="CO1" s="125">
        <v>2098</v>
      </c>
      <c r="CP1" s="125">
        <v>2099</v>
      </c>
      <c r="CQ1" s="125">
        <v>2100</v>
      </c>
    </row>
    <row r="2" spans="1:95" x14ac:dyDescent="0.25">
      <c r="A2" s="444" t="str">
        <f>+DataArrange!A26</f>
        <v>SE</v>
      </c>
      <c r="B2" s="133" t="s">
        <v>72</v>
      </c>
      <c r="C2" s="133" t="s">
        <v>246</v>
      </c>
      <c r="D2" s="133" t="s">
        <v>147</v>
      </c>
      <c r="E2" s="444" t="str">
        <f>+DataArrange!E26</f>
        <v>Emissions</v>
      </c>
      <c r="F2" s="444" t="str">
        <f>+DataArrange!F26</f>
        <v>MtCO2</v>
      </c>
      <c r="G2" s="438" t="str">
        <f>+DataArrange!G26</f>
        <v>Power CO2 emissions (MtCO2) by region</v>
      </c>
      <c r="H2" s="130" t="s">
        <v>247</v>
      </c>
      <c r="I2" s="65">
        <v>11598.617802815699</v>
      </c>
      <c r="J2" s="65">
        <v>11575.228586318601</v>
      </c>
      <c r="K2" s="65">
        <v>11551.8393698215</v>
      </c>
      <c r="L2" s="65">
        <v>11528.4501533245</v>
      </c>
      <c r="M2" s="65">
        <v>11505.0609368274</v>
      </c>
      <c r="N2" s="65">
        <v>11481.6717203304</v>
      </c>
      <c r="O2" s="65">
        <v>11458.282503833299</v>
      </c>
      <c r="P2" s="65">
        <v>10630.034323084799</v>
      </c>
      <c r="Q2" s="65">
        <v>9801.7861423362101</v>
      </c>
      <c r="R2" s="65">
        <v>8973.53796158767</v>
      </c>
      <c r="S2" s="65">
        <v>8145.2897808391199</v>
      </c>
      <c r="T2" s="65">
        <v>7317.0416000905798</v>
      </c>
      <c r="U2" s="65">
        <v>6488.7934193420397</v>
      </c>
      <c r="V2" s="65">
        <v>5660.5452385934896</v>
      </c>
      <c r="W2" s="65">
        <v>4832.2970578449504</v>
      </c>
      <c r="X2" s="65">
        <v>4004.0488770963998</v>
      </c>
      <c r="Y2" s="65">
        <v>3175.8006963478601</v>
      </c>
      <c r="Z2" s="65">
        <v>2931.8247253237701</v>
      </c>
      <c r="AA2" s="65">
        <v>2687.84875429968</v>
      </c>
      <c r="AB2" s="65">
        <v>2443.8727832755899</v>
      </c>
      <c r="AC2" s="65">
        <v>2199.8968122514998</v>
      </c>
      <c r="AD2" s="65">
        <v>1955.9208412274099</v>
      </c>
      <c r="AE2" s="65">
        <v>1711.9448702033201</v>
      </c>
      <c r="AF2" s="65">
        <v>1467.96889917923</v>
      </c>
      <c r="AG2" s="65">
        <v>1223.9929281551399</v>
      </c>
      <c r="AH2" s="65">
        <v>980.01695713105198</v>
      </c>
      <c r="AI2" s="65">
        <v>736.04098610696201</v>
      </c>
      <c r="AJ2" s="65">
        <v>664.81412252613302</v>
      </c>
      <c r="AK2" s="65">
        <v>593.58725894530403</v>
      </c>
      <c r="AL2" s="65">
        <v>522.36039536447504</v>
      </c>
      <c r="AM2" s="65">
        <v>451.13353178364503</v>
      </c>
      <c r="AN2" s="65">
        <v>379.90666820281598</v>
      </c>
      <c r="AO2" s="65">
        <v>308.67980462198699</v>
      </c>
      <c r="AP2" s="65">
        <v>237.452941041158</v>
      </c>
      <c r="AQ2" s="65">
        <v>166.22607746032901</v>
      </c>
      <c r="AR2" s="65">
        <v>94.999213879499706</v>
      </c>
      <c r="AS2" s="65">
        <v>23.772350298670499</v>
      </c>
      <c r="AT2" s="65">
        <v>21.6963694717472</v>
      </c>
      <c r="AU2" s="65">
        <v>19.620388644823901</v>
      </c>
      <c r="AV2" s="65">
        <v>17.544407817900598</v>
      </c>
      <c r="AW2" s="65">
        <v>15.468426990977401</v>
      </c>
      <c r="AX2" s="65">
        <v>13.3924461640541</v>
      </c>
      <c r="AY2" s="65">
        <v>11.316465337130801</v>
      </c>
      <c r="AZ2" s="65">
        <v>9.2404845102075104</v>
      </c>
      <c r="BA2" s="65">
        <v>7.1645036832842299</v>
      </c>
      <c r="BB2" s="65">
        <v>5.0885228563609397</v>
      </c>
      <c r="BC2" s="65">
        <v>3.0125420294376601</v>
      </c>
      <c r="BD2" s="65"/>
      <c r="BE2" s="65"/>
      <c r="BF2" s="65"/>
      <c r="BG2" s="65"/>
      <c r="BH2" s="65"/>
      <c r="BI2" s="65"/>
      <c r="BJ2" s="65"/>
      <c r="BK2" s="65"/>
      <c r="BL2" s="65"/>
      <c r="BM2" s="65"/>
      <c r="BN2" s="65"/>
      <c r="BO2" s="65"/>
      <c r="BP2" s="65"/>
      <c r="BQ2" s="65"/>
    </row>
    <row r="3" spans="1:95" s="109" customFormat="1" x14ac:dyDescent="0.25">
      <c r="A3" s="445" t="str">
        <f>+DataArrange!A30</f>
        <v>SA</v>
      </c>
      <c r="B3" s="445" t="s">
        <v>72</v>
      </c>
      <c r="C3" s="445" t="str">
        <f>+DataArrange!C30</f>
        <v>WORLD</v>
      </c>
      <c r="D3" s="445" t="s">
        <v>147</v>
      </c>
      <c r="E3" s="445" t="str">
        <f>+DataArrange!E30</f>
        <v>Output</v>
      </c>
      <c r="F3" s="445" t="s">
        <v>250</v>
      </c>
      <c r="G3" s="439" t="s">
        <v>251</v>
      </c>
      <c r="H3" s="440" t="s">
        <v>247</v>
      </c>
      <c r="I3" s="441">
        <v>24990590032.822453</v>
      </c>
      <c r="J3" s="441">
        <v>25413166756.010384</v>
      </c>
      <c r="K3" s="441">
        <v>25835743479.198311</v>
      </c>
      <c r="L3" s="441">
        <v>26258320202.386238</v>
      </c>
      <c r="M3" s="441">
        <v>26680896925.574169</v>
      </c>
      <c r="N3" s="441">
        <v>27103473648.762215</v>
      </c>
      <c r="O3" s="441">
        <v>27526050371.9501</v>
      </c>
      <c r="P3" s="441">
        <v>27948627095.137997</v>
      </c>
      <c r="Q3" s="441">
        <v>28371203818.326</v>
      </c>
      <c r="R3" s="441">
        <v>28793780541.513901</v>
      </c>
      <c r="S3" s="441">
        <v>29216357264.7019</v>
      </c>
      <c r="T3" s="441">
        <v>29638933987.889801</v>
      </c>
      <c r="U3" s="441">
        <v>30061510711.077801</v>
      </c>
      <c r="V3" s="441">
        <v>30484087434.265697</v>
      </c>
      <c r="W3" s="441">
        <v>30906664157.453602</v>
      </c>
      <c r="X3" s="441">
        <v>31329240880.641598</v>
      </c>
      <c r="Y3" s="441">
        <v>31751817603.829498</v>
      </c>
      <c r="Z3" s="441">
        <v>32578688921.011501</v>
      </c>
      <c r="AA3" s="441">
        <v>33405560238.193501</v>
      </c>
      <c r="AB3" s="441">
        <v>34232431555.375607</v>
      </c>
      <c r="AC3" s="441">
        <v>35059302872.557602</v>
      </c>
      <c r="AD3" s="441">
        <v>35886174189.739601</v>
      </c>
      <c r="AE3" s="441">
        <v>36713045506.9216</v>
      </c>
      <c r="AF3" s="441">
        <v>37539916824.1036</v>
      </c>
      <c r="AG3" s="441">
        <v>38366788141.285599</v>
      </c>
      <c r="AH3" s="441">
        <v>39193659458.467598</v>
      </c>
      <c r="AI3" s="441">
        <v>40020530775.649597</v>
      </c>
      <c r="AJ3" s="441">
        <v>40671508859.661293</v>
      </c>
      <c r="AK3" s="441">
        <v>41322486943.672897</v>
      </c>
      <c r="AL3" s="441">
        <v>41973465027.684601</v>
      </c>
      <c r="AM3" s="441">
        <v>42624443111.696304</v>
      </c>
      <c r="AN3" s="441">
        <v>43275421195.708</v>
      </c>
      <c r="AO3" s="441">
        <v>43926399279.719597</v>
      </c>
      <c r="AP3" s="441">
        <v>44577377363.7313</v>
      </c>
      <c r="AQ3" s="441">
        <v>45228355447.742996</v>
      </c>
      <c r="AR3" s="441">
        <v>45879333531.754601</v>
      </c>
      <c r="AS3" s="441">
        <v>46530311615.766304</v>
      </c>
      <c r="AT3" s="441">
        <v>47040516911.755005</v>
      </c>
      <c r="AU3" s="441">
        <v>47550722207.743805</v>
      </c>
      <c r="AV3" s="441">
        <v>48060927503.732597</v>
      </c>
      <c r="AW3" s="441">
        <v>48571132799.721298</v>
      </c>
      <c r="AX3" s="441">
        <v>49081338095.710106</v>
      </c>
      <c r="AY3" s="441">
        <v>49591543391.698799</v>
      </c>
      <c r="AZ3" s="441">
        <v>50101748687.687599</v>
      </c>
      <c r="BA3" s="441">
        <v>50611953983.6763</v>
      </c>
      <c r="BB3" s="441">
        <v>51122159279.665108</v>
      </c>
      <c r="BC3" s="441">
        <v>51632364575.653809</v>
      </c>
      <c r="BD3" s="441"/>
      <c r="BE3" s="441"/>
      <c r="BF3" s="441"/>
      <c r="BG3" s="441"/>
      <c r="BH3" s="441"/>
      <c r="BI3" s="441"/>
      <c r="BJ3" s="441"/>
      <c r="BK3" s="441"/>
      <c r="BL3" s="441"/>
      <c r="BM3" s="441"/>
      <c r="BN3" s="441"/>
      <c r="BO3" s="441"/>
      <c r="BP3" s="441"/>
      <c r="BQ3" s="441"/>
    </row>
    <row r="4" spans="1:95" s="109" customFormat="1" x14ac:dyDescent="0.25">
      <c r="A4" s="445" t="str">
        <f>+DataArrange!A33</f>
        <v>SIpower</v>
      </c>
      <c r="B4" s="445" t="s">
        <v>72</v>
      </c>
      <c r="C4" s="445" t="s">
        <v>246</v>
      </c>
      <c r="D4" s="445" t="s">
        <v>147</v>
      </c>
      <c r="E4" s="445" t="str">
        <f>+DataArrange!E33</f>
        <v>Emissions intensity</v>
      </c>
      <c r="F4" s="445" t="str">
        <f>+DataArrange!F33</f>
        <v>tCO2/MWh</v>
      </c>
      <c r="G4" s="439" t="s">
        <v>252</v>
      </c>
      <c r="H4" s="440" t="s">
        <v>247</v>
      </c>
      <c r="I4" s="442">
        <f t="shared" ref="I4:BC4" si="0">+I2/I3*1000*1000</f>
        <v>0.46411940604772289</v>
      </c>
      <c r="J4" s="442">
        <f t="shared" si="0"/>
        <v>0.45548155007407654</v>
      </c>
      <c r="K4" s="442">
        <f t="shared" si="0"/>
        <v>0.44712626052826709</v>
      </c>
      <c r="L4" s="442">
        <f t="shared" si="0"/>
        <v>0.439039895334845</v>
      </c>
      <c r="M4" s="442">
        <f t="shared" si="0"/>
        <v>0.4312096766806805</v>
      </c>
      <c r="N4" s="442">
        <f t="shared" si="0"/>
        <v>0.42362362364038736</v>
      </c>
      <c r="O4" s="442">
        <f t="shared" si="0"/>
        <v>0.41627049100766178</v>
      </c>
      <c r="P4" s="442">
        <f t="shared" si="0"/>
        <v>0.38034191400170858</v>
      </c>
      <c r="Q4" s="442">
        <f t="shared" si="0"/>
        <v>0.34548361800583438</v>
      </c>
      <c r="R4" s="442">
        <f t="shared" si="0"/>
        <v>0.31164848077694857</v>
      </c>
      <c r="S4" s="442">
        <f t="shared" si="0"/>
        <v>0.27879210632052176</v>
      </c>
      <c r="T4" s="442">
        <f t="shared" si="0"/>
        <v>0.24687263054333389</v>
      </c>
      <c r="U4" s="442">
        <f t="shared" si="0"/>
        <v>0.21585054329790851</v>
      </c>
      <c r="V4" s="442">
        <f t="shared" si="0"/>
        <v>0.1856885252281078</v>
      </c>
      <c r="W4" s="442">
        <f t="shared" si="0"/>
        <v>0.15635129799925593</v>
      </c>
      <c r="X4" s="442">
        <f t="shared" si="0"/>
        <v>0.12780548664907199</v>
      </c>
      <c r="Y4" s="442">
        <f t="shared" si="0"/>
        <v>0.10001949293022003</v>
      </c>
      <c r="Z4" s="442">
        <f t="shared" si="0"/>
        <v>8.9992102887630362E-2</v>
      </c>
      <c r="AA4" s="442">
        <f t="shared" si="0"/>
        <v>8.0461118901594963E-2</v>
      </c>
      <c r="AB4" s="442">
        <f t="shared" si="0"/>
        <v>7.139056947568255E-2</v>
      </c>
      <c r="AC4" s="442">
        <f t="shared" si="0"/>
        <v>6.274787665482795E-2</v>
      </c>
      <c r="AD4" s="442">
        <f t="shared" si="0"/>
        <v>5.450346506389743E-2</v>
      </c>
      <c r="AE4" s="442">
        <f t="shared" si="0"/>
        <v>4.663042377894154E-2</v>
      </c>
      <c r="AF4" s="442">
        <f t="shared" si="0"/>
        <v>3.9104212885114273E-2</v>
      </c>
      <c r="AG4" s="442">
        <f t="shared" si="0"/>
        <v>3.1902407979729472E-2</v>
      </c>
      <c r="AH4" s="442">
        <f t="shared" si="0"/>
        <v>2.5004477016736547E-2</v>
      </c>
      <c r="AI4" s="442">
        <f t="shared" si="0"/>
        <v>1.8391584815132048E-2</v>
      </c>
      <c r="AJ4" s="442">
        <f t="shared" si="0"/>
        <v>1.6345941942309084E-2</v>
      </c>
      <c r="AK4" s="442">
        <f t="shared" si="0"/>
        <v>1.4364751563825984E-2</v>
      </c>
      <c r="AL4" s="442">
        <f t="shared" si="0"/>
        <v>1.2445014844972645E-2</v>
      </c>
      <c r="AM4" s="442">
        <f t="shared" si="0"/>
        <v>1.058391614880365E-2</v>
      </c>
      <c r="AN4" s="442">
        <f t="shared" si="0"/>
        <v>8.7788092572163023E-3</v>
      </c>
      <c r="AO4" s="442">
        <f t="shared" si="0"/>
        <v>7.0272048172293862E-3</v>
      </c>
      <c r="AP4" s="442">
        <f t="shared" si="0"/>
        <v>5.3267588872187134E-3</v>
      </c>
      <c r="AQ4" s="442">
        <f t="shared" si="0"/>
        <v>3.6752624722865995E-3</v>
      </c>
      <c r="AR4" s="442">
        <f t="shared" si="0"/>
        <v>2.0706319505218534E-3</v>
      </c>
      <c r="AS4" s="442">
        <f t="shared" si="0"/>
        <v>5.1090030290309703E-4</v>
      </c>
      <c r="AT4" s="442">
        <f t="shared" si="0"/>
        <v>4.6122727589172118E-4</v>
      </c>
      <c r="AU4" s="442">
        <f t="shared" si="0"/>
        <v>4.1262020288786801E-4</v>
      </c>
      <c r="AV4" s="442">
        <f t="shared" si="0"/>
        <v>3.6504513602110636E-4</v>
      </c>
      <c r="AW4" s="442">
        <f t="shared" si="0"/>
        <v>3.1846955381419805E-4</v>
      </c>
      <c r="AX4" s="442">
        <f t="shared" si="0"/>
        <v>2.7286228704560627E-4</v>
      </c>
      <c r="AY4" s="442">
        <f t="shared" si="0"/>
        <v>2.2819344918845739E-4</v>
      </c>
      <c r="AZ4" s="442">
        <f t="shared" si="0"/>
        <v>1.8443437109967264E-4</v>
      </c>
      <c r="BA4" s="442">
        <f t="shared" si="0"/>
        <v>1.4155753965940484E-4</v>
      </c>
      <c r="BB4" s="442">
        <f t="shared" si="0"/>
        <v>9.9536540084780897E-5</v>
      </c>
      <c r="BC4" s="442">
        <f t="shared" si="0"/>
        <v>5.8346001663812297E-5</v>
      </c>
    </row>
    <row r="5" spans="1:95" s="439" customFormat="1" x14ac:dyDescent="0.25">
      <c r="A5" s="446" t="str">
        <f>DataArrange!A35</f>
        <v>SIpower</v>
      </c>
      <c r="B5" s="446" t="str">
        <f>DataArrange!B35</f>
        <v>IEA NZE</v>
      </c>
      <c r="C5" s="446" t="str">
        <f>DataArrange!C35</f>
        <v>WORLD</v>
      </c>
      <c r="D5" s="446" t="str">
        <f>DataArrange!D35</f>
        <v>World</v>
      </c>
      <c r="E5" s="446" t="str">
        <f>DataArrange!E35</f>
        <v>Emissions intensity</v>
      </c>
      <c r="F5" s="446" t="str">
        <f>DataArrange!F35</f>
        <v>tCO2/MWh</v>
      </c>
      <c r="G5" s="439" t="s">
        <v>252</v>
      </c>
      <c r="H5" s="439" t="str">
        <f>DataArrange!H35</f>
        <v>Power</v>
      </c>
      <c r="I5" s="443">
        <f>DataArrange!J35</f>
        <v>0.57202495010378573</v>
      </c>
      <c r="J5" s="443">
        <f>DataArrange!K35</f>
        <v>0.5462795847930102</v>
      </c>
      <c r="K5" s="443">
        <f>DataArrange!L35</f>
        <v>0.52139984873939516</v>
      </c>
      <c r="L5" s="443">
        <f>DataArrange!M35</f>
        <v>0.49734280652806911</v>
      </c>
      <c r="M5" s="443">
        <f>DataArrange!N35</f>
        <v>0.4740683160370745</v>
      </c>
      <c r="N5" s="443">
        <f>DataArrange!O35</f>
        <v>0.46800000000000003</v>
      </c>
      <c r="O5" s="443">
        <f>DataArrange!P35</f>
        <v>0.438</v>
      </c>
      <c r="P5" s="443">
        <f>DataArrange!Q35</f>
        <v>0.40800000000000003</v>
      </c>
      <c r="Q5" s="443">
        <f>DataArrange!R35</f>
        <v>0.378</v>
      </c>
      <c r="R5" s="443">
        <f>DataArrange!S35</f>
        <v>0.34800000000000003</v>
      </c>
      <c r="S5" s="443">
        <f>DataArrange!T35</f>
        <v>0.318</v>
      </c>
      <c r="T5" s="443">
        <f>DataArrange!U35</f>
        <v>0.28800000000000003</v>
      </c>
      <c r="U5" s="443">
        <f>DataArrange!V35</f>
        <v>0.25800000000000001</v>
      </c>
      <c r="V5" s="443">
        <f>DataArrange!W35</f>
        <v>0.22800000000000001</v>
      </c>
      <c r="W5" s="443">
        <f>DataArrange!X35</f>
        <v>0.19800000000000001</v>
      </c>
      <c r="X5" s="443">
        <f>DataArrange!Y35</f>
        <v>0.16799999999999998</v>
      </c>
      <c r="Y5" s="443">
        <f>DataArrange!Z35</f>
        <v>0.13800000000000001</v>
      </c>
      <c r="Z5" s="443">
        <f>DataArrange!AA35</f>
        <v>0.12410000000000002</v>
      </c>
      <c r="AA5" s="443">
        <f>DataArrange!AB35</f>
        <v>0.11020000000000001</v>
      </c>
      <c r="AB5" s="443">
        <f>DataArrange!AC35</f>
        <v>9.6300000000000011E-2</v>
      </c>
      <c r="AC5" s="443">
        <f>DataArrange!AD35</f>
        <v>8.2400000000000001E-2</v>
      </c>
      <c r="AD5" s="443">
        <f>DataArrange!AE35</f>
        <v>6.8500000000000005E-2</v>
      </c>
      <c r="AE5" s="443">
        <f>DataArrange!AF35</f>
        <v>5.460000000000001E-2</v>
      </c>
      <c r="AF5" s="443">
        <f>DataArrange!AG35</f>
        <v>4.07E-2</v>
      </c>
      <c r="AG5" s="443">
        <f>DataArrange!AH35</f>
        <v>2.6800000000000004E-2</v>
      </c>
      <c r="AH5" s="443">
        <f>DataArrange!AI35</f>
        <v>1.2899999999999995E-2</v>
      </c>
      <c r="AI5" s="443">
        <f>DataArrange!AJ35</f>
        <v>-1E-3</v>
      </c>
      <c r="AJ5" s="443">
        <f>DataArrange!AK35</f>
        <v>-1.4E-3</v>
      </c>
      <c r="AK5" s="443">
        <f>DataArrange!AL35</f>
        <v>-1.8E-3</v>
      </c>
      <c r="AL5" s="443">
        <f>DataArrange!AM35</f>
        <v>-2.2000000000000001E-3</v>
      </c>
      <c r="AM5" s="443">
        <f>DataArrange!AN35</f>
        <v>-2.5999999999999999E-3</v>
      </c>
      <c r="AN5" s="443">
        <f>DataArrange!AO35</f>
        <v>-3.0000000000000001E-3</v>
      </c>
      <c r="AO5" s="443">
        <f>DataArrange!AP35</f>
        <v>-3.4000000000000002E-3</v>
      </c>
      <c r="AP5" s="443">
        <f>DataArrange!AQ35</f>
        <v>-3.8E-3</v>
      </c>
      <c r="AQ5" s="443">
        <f>DataArrange!AR35</f>
        <v>-4.2000000000000006E-3</v>
      </c>
      <c r="AR5" s="443">
        <f>DataArrange!AS35</f>
        <v>-4.5999999999999999E-3</v>
      </c>
      <c r="AS5" s="443">
        <f>DataArrange!AT35</f>
        <v>-5.0000000000000001E-3</v>
      </c>
      <c r="AT5" s="443"/>
      <c r="AU5" s="443"/>
      <c r="AV5" s="443"/>
      <c r="AW5" s="443"/>
      <c r="AX5" s="443"/>
      <c r="AY5" s="443"/>
      <c r="AZ5" s="443"/>
      <c r="BA5" s="443"/>
      <c r="BB5" s="443"/>
      <c r="BC5" s="443"/>
    </row>
    <row r="6" spans="1:95" s="439" customFormat="1" x14ac:dyDescent="0.25">
      <c r="A6" s="446" t="str">
        <f>DataArrange!A36</f>
        <v>SE</v>
      </c>
      <c r="B6" s="446" t="str">
        <f>DataArrange!B36</f>
        <v>SBTi 1.5C</v>
      </c>
      <c r="C6" s="446" t="str">
        <f>DataArrange!C36</f>
        <v>WORLD</v>
      </c>
      <c r="D6" s="446" t="str">
        <f>DataArrange!D36</f>
        <v>World</v>
      </c>
      <c r="E6" s="446" t="str">
        <f>DataArrange!E36</f>
        <v>Emissions</v>
      </c>
      <c r="F6" s="446" t="str">
        <f>DataArrange!F36</f>
        <v>MtCO2</v>
      </c>
      <c r="G6" s="530" t="str">
        <f>DataArrange!G12</f>
        <v>Sub-sector CO2 emissions (MtCO2) Expanded list [Methods model input; Estimated]</v>
      </c>
      <c r="H6" s="531" t="str">
        <f>DataArrange!H36</f>
        <v>Ammonia</v>
      </c>
      <c r="I6" s="443">
        <f>DataArrange!J36</f>
        <v>450</v>
      </c>
      <c r="J6" s="443">
        <f>DataArrange!K36</f>
        <v>450</v>
      </c>
      <c r="K6" s="443">
        <f>DataArrange!L36</f>
        <v>450</v>
      </c>
      <c r="L6" s="443">
        <f>DataArrange!M36</f>
        <v>450</v>
      </c>
      <c r="M6" s="443">
        <f>DataArrange!N36</f>
        <v>450</v>
      </c>
      <c r="N6" s="443">
        <f>DataArrange!O36</f>
        <v>450</v>
      </c>
      <c r="O6" s="443">
        <f>DataArrange!P36</f>
        <v>450</v>
      </c>
      <c r="P6" s="443">
        <f>DataArrange!Q36</f>
        <v>439</v>
      </c>
      <c r="Q6" s="443">
        <f>DataArrange!R36</f>
        <v>428</v>
      </c>
      <c r="R6" s="443">
        <f>DataArrange!S36</f>
        <v>417</v>
      </c>
      <c r="S6" s="443">
        <f>DataArrange!T36</f>
        <v>406</v>
      </c>
      <c r="T6" s="443">
        <f>DataArrange!U36</f>
        <v>395</v>
      </c>
      <c r="U6" s="443">
        <f>DataArrange!V36</f>
        <v>384</v>
      </c>
      <c r="V6" s="443">
        <f>DataArrange!W36</f>
        <v>373</v>
      </c>
      <c r="W6" s="443">
        <f>DataArrange!X36</f>
        <v>362</v>
      </c>
      <c r="X6" s="443">
        <f>DataArrange!Y36</f>
        <v>351</v>
      </c>
      <c r="Y6" s="443">
        <f>DataArrange!Z36</f>
        <v>340</v>
      </c>
      <c r="Z6" s="443">
        <f>DataArrange!AA36</f>
        <v>320.5</v>
      </c>
      <c r="AA6" s="443">
        <f>DataArrange!AB36</f>
        <v>301</v>
      </c>
      <c r="AB6" s="443">
        <f>DataArrange!AC36</f>
        <v>281.5</v>
      </c>
      <c r="AC6" s="443">
        <f>DataArrange!AD36</f>
        <v>262</v>
      </c>
      <c r="AD6" s="443">
        <f>DataArrange!AE36</f>
        <v>242.5</v>
      </c>
      <c r="AE6" s="443">
        <f>DataArrange!AF36</f>
        <v>223</v>
      </c>
      <c r="AF6" s="443">
        <f>DataArrange!AG36</f>
        <v>203.5</v>
      </c>
      <c r="AG6" s="443">
        <f>DataArrange!AH36</f>
        <v>184</v>
      </c>
      <c r="AH6" s="443">
        <f>DataArrange!AI36</f>
        <v>164.5</v>
      </c>
      <c r="AI6" s="443">
        <f>DataArrange!AJ36</f>
        <v>145</v>
      </c>
      <c r="AJ6" s="443">
        <f>DataArrange!AK36</f>
        <v>132.5</v>
      </c>
      <c r="AK6" s="443">
        <f>DataArrange!AL36</f>
        <v>120</v>
      </c>
      <c r="AL6" s="443">
        <f>DataArrange!AM36</f>
        <v>107.5</v>
      </c>
      <c r="AM6" s="443">
        <f>DataArrange!AN36</f>
        <v>95</v>
      </c>
      <c r="AN6" s="443">
        <f>DataArrange!AO36</f>
        <v>82.5</v>
      </c>
      <c r="AO6" s="443">
        <f>DataArrange!AP36</f>
        <v>70</v>
      </c>
      <c r="AP6" s="443">
        <f>DataArrange!AQ36</f>
        <v>57.5</v>
      </c>
      <c r="AQ6" s="443">
        <f>DataArrange!AR36</f>
        <v>45</v>
      </c>
      <c r="AR6" s="443">
        <f>DataArrange!AS36</f>
        <v>32.5</v>
      </c>
      <c r="AS6" s="443">
        <f>DataArrange!AT36</f>
        <v>20</v>
      </c>
      <c r="AT6" s="443"/>
      <c r="AU6" s="443"/>
      <c r="AV6" s="443"/>
      <c r="AW6" s="443"/>
      <c r="AX6" s="443"/>
      <c r="AY6" s="443"/>
      <c r="AZ6" s="443"/>
      <c r="BA6" s="443"/>
      <c r="BB6" s="443"/>
      <c r="BC6" s="443"/>
    </row>
    <row r="7" spans="1:95" s="439" customFormat="1" x14ac:dyDescent="0.25">
      <c r="A7" s="446" t="str">
        <f>DataArrange!A37</f>
        <v>SP</v>
      </c>
      <c r="B7" s="446" t="str">
        <f>DataArrange!B37</f>
        <v>SBTi 1.5C</v>
      </c>
      <c r="C7" s="446" t="str">
        <f>DataArrange!C37</f>
        <v>WORLD</v>
      </c>
      <c r="D7" s="446" t="str">
        <f>DataArrange!D37</f>
        <v>World</v>
      </c>
      <c r="E7" s="446" t="str">
        <f>DataArrange!E37</f>
        <v>Electricity</v>
      </c>
      <c r="F7" s="446" t="str">
        <f>DataArrange!F37</f>
        <v>PJ</v>
      </c>
      <c r="G7" s="530" t="str">
        <f>DataArrange!G13</f>
        <v>Sub-sector Electricity demand (PJ) Expanded list [Methods model input; Estimated]</v>
      </c>
      <c r="H7" s="531" t="str">
        <f>DataArrange!H37</f>
        <v>Ammonia</v>
      </c>
      <c r="I7" s="443">
        <f>DataArrange!J37</f>
        <v>290</v>
      </c>
      <c r="J7" s="443">
        <f>DataArrange!K37</f>
        <v>290</v>
      </c>
      <c r="K7" s="443">
        <f>DataArrange!L37</f>
        <v>290</v>
      </c>
      <c r="L7" s="443">
        <f>DataArrange!M37</f>
        <v>290</v>
      </c>
      <c r="M7" s="443">
        <f>DataArrange!N37</f>
        <v>290</v>
      </c>
      <c r="N7" s="443">
        <f>DataArrange!O37</f>
        <v>290</v>
      </c>
      <c r="O7" s="443">
        <f>DataArrange!P37</f>
        <v>290</v>
      </c>
      <c r="P7" s="443">
        <f>DataArrange!Q37</f>
        <v>333</v>
      </c>
      <c r="Q7" s="443">
        <f>DataArrange!R37</f>
        <v>376</v>
      </c>
      <c r="R7" s="443">
        <f>DataArrange!S37</f>
        <v>419</v>
      </c>
      <c r="S7" s="443">
        <f>DataArrange!T37</f>
        <v>462</v>
      </c>
      <c r="T7" s="443">
        <f>DataArrange!U37</f>
        <v>505</v>
      </c>
      <c r="U7" s="443">
        <f>DataArrange!V37</f>
        <v>548</v>
      </c>
      <c r="V7" s="443">
        <f>DataArrange!W37</f>
        <v>591</v>
      </c>
      <c r="W7" s="443">
        <f>DataArrange!X37</f>
        <v>634</v>
      </c>
      <c r="X7" s="443">
        <f>DataArrange!Y37</f>
        <v>677</v>
      </c>
      <c r="Y7" s="443">
        <f>DataArrange!Z37</f>
        <v>720</v>
      </c>
      <c r="Z7" s="443">
        <f>DataArrange!AA37</f>
        <v>900</v>
      </c>
      <c r="AA7" s="443">
        <f>DataArrange!AB37</f>
        <v>1080</v>
      </c>
      <c r="AB7" s="443">
        <f>DataArrange!AC37</f>
        <v>1260</v>
      </c>
      <c r="AC7" s="443">
        <f>DataArrange!AD37</f>
        <v>1440</v>
      </c>
      <c r="AD7" s="443">
        <f>DataArrange!AE37</f>
        <v>1620</v>
      </c>
      <c r="AE7" s="443">
        <f>DataArrange!AF37</f>
        <v>1800</v>
      </c>
      <c r="AF7" s="443">
        <f>DataArrange!AG37</f>
        <v>1980</v>
      </c>
      <c r="AG7" s="443">
        <f>DataArrange!AH37</f>
        <v>2160</v>
      </c>
      <c r="AH7" s="443">
        <f>DataArrange!AI37</f>
        <v>2340</v>
      </c>
      <c r="AI7" s="443">
        <f>DataArrange!AJ37</f>
        <v>2520</v>
      </c>
      <c r="AJ7" s="443">
        <f>DataArrange!AK37</f>
        <v>2700</v>
      </c>
      <c r="AK7" s="443">
        <f>DataArrange!AL37</f>
        <v>2880</v>
      </c>
      <c r="AL7" s="443">
        <f>DataArrange!AM37</f>
        <v>3060</v>
      </c>
      <c r="AM7" s="443">
        <f>DataArrange!AN37</f>
        <v>3240</v>
      </c>
      <c r="AN7" s="443">
        <f>DataArrange!AO37</f>
        <v>3420</v>
      </c>
      <c r="AO7" s="443">
        <f>DataArrange!AP37</f>
        <v>3600</v>
      </c>
      <c r="AP7" s="443">
        <f>DataArrange!AQ37</f>
        <v>3780</v>
      </c>
      <c r="AQ7" s="443">
        <f>DataArrange!AR37</f>
        <v>3960</v>
      </c>
      <c r="AR7" s="443">
        <f>DataArrange!AS37</f>
        <v>4140</v>
      </c>
      <c r="AS7" s="443">
        <f>DataArrange!AT37</f>
        <v>4320</v>
      </c>
      <c r="AT7" s="443"/>
      <c r="AU7" s="443"/>
      <c r="AV7" s="443"/>
      <c r="AW7" s="443"/>
      <c r="AX7" s="443"/>
      <c r="AY7" s="443"/>
      <c r="AZ7" s="443"/>
      <c r="BA7" s="443"/>
      <c r="BB7" s="443"/>
      <c r="BC7" s="443"/>
    </row>
    <row r="8" spans="1:95" s="439" customFormat="1" x14ac:dyDescent="0.25">
      <c r="A8" s="446" t="str">
        <f>DataArrange!A38</f>
        <v>SA</v>
      </c>
      <c r="B8" s="446" t="str">
        <f>DataArrange!B38</f>
        <v>SBTi 1.5C</v>
      </c>
      <c r="C8" s="446" t="str">
        <f>DataArrange!C38</f>
        <v>WORLD</v>
      </c>
      <c r="D8" s="446" t="str">
        <f>DataArrange!D38</f>
        <v>World</v>
      </c>
      <c r="E8" s="446" t="str">
        <f>DataArrange!E38</f>
        <v>Output</v>
      </c>
      <c r="F8" s="446" t="str">
        <f>DataArrange!F38</f>
        <v>Mt</v>
      </c>
      <c r="G8" s="530" t="str">
        <f>DataArrange!G14</f>
        <v>Sub-sector material production (Mt) Expanded list [Methods model input; Estimated]</v>
      </c>
      <c r="H8" s="531" t="str">
        <f>DataArrange!H38</f>
        <v>Ammonia</v>
      </c>
      <c r="I8" s="443">
        <f>DataArrange!J38*1000000</f>
        <v>185000000</v>
      </c>
      <c r="J8" s="443">
        <f>DataArrange!K38*1000000</f>
        <v>185000000</v>
      </c>
      <c r="K8" s="443">
        <f>DataArrange!L38*1000000</f>
        <v>185000000</v>
      </c>
      <c r="L8" s="443">
        <f>DataArrange!M38*1000000</f>
        <v>185000000</v>
      </c>
      <c r="M8" s="443">
        <f>DataArrange!N38*1000000</f>
        <v>185000000</v>
      </c>
      <c r="N8" s="443">
        <f>DataArrange!O38*1000000</f>
        <v>185000000</v>
      </c>
      <c r="O8" s="443">
        <f>DataArrange!P38*1000000</f>
        <v>185000000</v>
      </c>
      <c r="P8" s="443">
        <f>DataArrange!Q38*1000000</f>
        <v>187000000</v>
      </c>
      <c r="Q8" s="443">
        <f>DataArrange!R38*1000000</f>
        <v>189000000</v>
      </c>
      <c r="R8" s="443">
        <f>DataArrange!S38*1000000</f>
        <v>191000000</v>
      </c>
      <c r="S8" s="443">
        <f>DataArrange!T38*1000000</f>
        <v>193000000</v>
      </c>
      <c r="T8" s="443">
        <f>DataArrange!U38*1000000</f>
        <v>195000000</v>
      </c>
      <c r="U8" s="443">
        <f>DataArrange!V38*1000000</f>
        <v>197000000</v>
      </c>
      <c r="V8" s="443">
        <f>DataArrange!W38*1000000</f>
        <v>199000000</v>
      </c>
      <c r="W8" s="443">
        <f>DataArrange!X38*1000000</f>
        <v>201000000</v>
      </c>
      <c r="X8" s="443">
        <f>DataArrange!Y38*1000000</f>
        <v>203000000</v>
      </c>
      <c r="Y8" s="443">
        <f>DataArrange!Z38*1000000</f>
        <v>205000000</v>
      </c>
      <c r="Z8" s="443">
        <f>DataArrange!AA38*1000000</f>
        <v>206500000</v>
      </c>
      <c r="AA8" s="443">
        <f>DataArrange!AB38*1000000</f>
        <v>208000000</v>
      </c>
      <c r="AB8" s="443">
        <f>DataArrange!AC38*1000000</f>
        <v>209500000</v>
      </c>
      <c r="AC8" s="443">
        <f>DataArrange!AD38*1000000</f>
        <v>211000000</v>
      </c>
      <c r="AD8" s="443">
        <f>DataArrange!AE38*1000000</f>
        <v>212500000</v>
      </c>
      <c r="AE8" s="443">
        <f>DataArrange!AF38*1000000</f>
        <v>214000000</v>
      </c>
      <c r="AF8" s="443">
        <f>DataArrange!AG38*1000000</f>
        <v>215500000</v>
      </c>
      <c r="AG8" s="443">
        <f>DataArrange!AH38*1000000</f>
        <v>217000000</v>
      </c>
      <c r="AH8" s="443">
        <f>DataArrange!AI38*1000000</f>
        <v>218500000</v>
      </c>
      <c r="AI8" s="443">
        <f>DataArrange!AJ38*1000000</f>
        <v>220000000</v>
      </c>
      <c r="AJ8" s="443">
        <f>DataArrange!AK38*1000000</f>
        <v>221000000</v>
      </c>
      <c r="AK8" s="443">
        <f>DataArrange!AL38*1000000</f>
        <v>222000000</v>
      </c>
      <c r="AL8" s="443">
        <f>DataArrange!AM38*1000000</f>
        <v>223000000</v>
      </c>
      <c r="AM8" s="443">
        <f>DataArrange!AN38*1000000</f>
        <v>224000000</v>
      </c>
      <c r="AN8" s="443">
        <f>DataArrange!AO38*1000000</f>
        <v>225000000</v>
      </c>
      <c r="AO8" s="443">
        <f>DataArrange!AP38*1000000</f>
        <v>226000000</v>
      </c>
      <c r="AP8" s="443">
        <f>DataArrange!AQ38*1000000</f>
        <v>227000000</v>
      </c>
      <c r="AQ8" s="443">
        <f>DataArrange!AR38*1000000</f>
        <v>228000000</v>
      </c>
      <c r="AR8" s="443">
        <f>DataArrange!AS38*1000000</f>
        <v>229000000</v>
      </c>
      <c r="AS8" s="443">
        <f>DataArrange!AT38*1000000</f>
        <v>230000000</v>
      </c>
      <c r="AT8" s="443"/>
      <c r="AU8" s="443"/>
      <c r="AV8" s="443"/>
      <c r="AW8" s="443"/>
      <c r="AX8" s="443"/>
      <c r="AY8" s="443"/>
      <c r="AZ8" s="443"/>
      <c r="BA8" s="443"/>
      <c r="BB8" s="443"/>
      <c r="BC8" s="443"/>
    </row>
    <row r="9" spans="1:95" s="439" customFormat="1" x14ac:dyDescent="0.25">
      <c r="A9" s="446" t="str">
        <f>DataArrange!A39</f>
        <v>SE</v>
      </c>
      <c r="B9" s="446" t="str">
        <f>DataArrange!B39</f>
        <v>SBTi 1.5C</v>
      </c>
      <c r="C9" s="446" t="str">
        <f>DataArrange!C39</f>
        <v>WORLD</v>
      </c>
      <c r="D9" s="446" t="str">
        <f>DataArrange!D39</f>
        <v>World</v>
      </c>
      <c r="E9" s="446" t="str">
        <f>DataArrange!E39</f>
        <v>Emissions</v>
      </c>
      <c r="F9" s="446" t="str">
        <f>DataArrange!F39</f>
        <v>MtCO2</v>
      </c>
      <c r="G9" s="530" t="str">
        <f>DataArrange!G15</f>
        <v>Sub-sector CO2 emissions (MtCO2) Expanded list [Methods model input; Estimated]</v>
      </c>
      <c r="H9" s="531" t="str">
        <f>DataArrange!H39</f>
        <v>Methanol</v>
      </c>
      <c r="I9" s="443">
        <f>DataArrange!J39</f>
        <v>222</v>
      </c>
      <c r="J9" s="443">
        <f>DataArrange!K39</f>
        <v>222</v>
      </c>
      <c r="K9" s="443">
        <f>DataArrange!L39</f>
        <v>222</v>
      </c>
      <c r="L9" s="443">
        <f>DataArrange!M39</f>
        <v>222</v>
      </c>
      <c r="M9" s="443">
        <f>DataArrange!N39</f>
        <v>222</v>
      </c>
      <c r="N9" s="443">
        <f>DataArrange!O39</f>
        <v>222</v>
      </c>
      <c r="O9" s="443">
        <f>DataArrange!P39</f>
        <v>222</v>
      </c>
      <c r="P9" s="443">
        <f>DataArrange!Q39</f>
        <v>222</v>
      </c>
      <c r="Q9" s="443">
        <f>DataArrange!R39</f>
        <v>222</v>
      </c>
      <c r="R9" s="443">
        <f>DataArrange!S39</f>
        <v>222</v>
      </c>
      <c r="S9" s="443">
        <f>DataArrange!T39</f>
        <v>222</v>
      </c>
      <c r="T9" s="443">
        <f>DataArrange!U39</f>
        <v>222</v>
      </c>
      <c r="U9" s="443">
        <f>DataArrange!V39</f>
        <v>222</v>
      </c>
      <c r="V9" s="443">
        <f>DataArrange!W39</f>
        <v>222</v>
      </c>
      <c r="W9" s="443">
        <f>DataArrange!X39</f>
        <v>222</v>
      </c>
      <c r="X9" s="443">
        <f>DataArrange!Y39</f>
        <v>222</v>
      </c>
      <c r="Y9" s="443">
        <f>DataArrange!Z39</f>
        <v>222</v>
      </c>
      <c r="Z9" s="443">
        <f>DataArrange!AA39</f>
        <v>213.2</v>
      </c>
      <c r="AA9" s="443">
        <f>DataArrange!AB39</f>
        <v>204.4</v>
      </c>
      <c r="AB9" s="443">
        <f>DataArrange!AC39</f>
        <v>195.6</v>
      </c>
      <c r="AC9" s="443">
        <f>DataArrange!AD39</f>
        <v>186.8</v>
      </c>
      <c r="AD9" s="443">
        <f>DataArrange!AE39</f>
        <v>178</v>
      </c>
      <c r="AE9" s="443">
        <f>DataArrange!AF39</f>
        <v>169.2</v>
      </c>
      <c r="AF9" s="443">
        <f>DataArrange!AG39</f>
        <v>160.4</v>
      </c>
      <c r="AG9" s="443">
        <f>DataArrange!AH39</f>
        <v>151.6</v>
      </c>
      <c r="AH9" s="443">
        <f>DataArrange!AI39</f>
        <v>142.80000000000001</v>
      </c>
      <c r="AI9" s="443">
        <f>DataArrange!AJ39</f>
        <v>134</v>
      </c>
      <c r="AJ9" s="443">
        <f>DataArrange!AK39</f>
        <v>121.8</v>
      </c>
      <c r="AK9" s="443">
        <f>DataArrange!AL39</f>
        <v>109.6</v>
      </c>
      <c r="AL9" s="443">
        <f>DataArrange!AM39</f>
        <v>97.4</v>
      </c>
      <c r="AM9" s="443">
        <f>DataArrange!AN39</f>
        <v>85.2</v>
      </c>
      <c r="AN9" s="443">
        <f>DataArrange!AO39</f>
        <v>73</v>
      </c>
      <c r="AO9" s="443">
        <f>DataArrange!AP39</f>
        <v>60.8</v>
      </c>
      <c r="AP9" s="443">
        <f>DataArrange!AQ39</f>
        <v>48.599999999999994</v>
      </c>
      <c r="AQ9" s="443">
        <f>DataArrange!AR39</f>
        <v>36.400000000000006</v>
      </c>
      <c r="AR9" s="443">
        <f>DataArrange!AS39</f>
        <v>24.200000000000003</v>
      </c>
      <c r="AS9" s="443">
        <f>DataArrange!AT39</f>
        <v>12</v>
      </c>
      <c r="AT9" s="443"/>
      <c r="AU9" s="443"/>
      <c r="AV9" s="443"/>
      <c r="AW9" s="443"/>
      <c r="AX9" s="443"/>
      <c r="AY9" s="443"/>
      <c r="AZ9" s="443"/>
      <c r="BA9" s="443"/>
      <c r="BB9" s="443"/>
      <c r="BC9" s="443"/>
    </row>
    <row r="10" spans="1:95" s="439" customFormat="1" x14ac:dyDescent="0.25">
      <c r="A10" s="446" t="str">
        <f>DataArrange!A40</f>
        <v>SP</v>
      </c>
      <c r="B10" s="446" t="str">
        <f>DataArrange!B40</f>
        <v>SBTi 1.5C</v>
      </c>
      <c r="C10" s="446" t="str">
        <f>DataArrange!C40</f>
        <v>WORLD</v>
      </c>
      <c r="D10" s="446" t="str">
        <f>DataArrange!D40</f>
        <v>World</v>
      </c>
      <c r="E10" s="446" t="str">
        <f>DataArrange!E40</f>
        <v>Electricity</v>
      </c>
      <c r="F10" s="446" t="str">
        <f>DataArrange!F40</f>
        <v>PJ</v>
      </c>
      <c r="G10" s="530" t="str">
        <f>DataArrange!G16</f>
        <v>Sub-sector Electricity demand (PJ) Expanded list [Methods model input; Estimated]</v>
      </c>
      <c r="H10" s="531" t="str">
        <f>DataArrange!H40</f>
        <v>Methanol</v>
      </c>
      <c r="I10" s="443">
        <f>DataArrange!J40</f>
        <v>290</v>
      </c>
      <c r="J10" s="443">
        <f>DataArrange!K40</f>
        <v>290</v>
      </c>
      <c r="K10" s="443">
        <f>DataArrange!L40</f>
        <v>290</v>
      </c>
      <c r="L10" s="443">
        <f>DataArrange!M40</f>
        <v>290</v>
      </c>
      <c r="M10" s="443">
        <f>DataArrange!N40</f>
        <v>290</v>
      </c>
      <c r="N10" s="443">
        <f>DataArrange!O40</f>
        <v>290</v>
      </c>
      <c r="O10" s="443">
        <f>DataArrange!P40</f>
        <v>290</v>
      </c>
      <c r="P10" s="443">
        <f>DataArrange!Q40</f>
        <v>333</v>
      </c>
      <c r="Q10" s="443">
        <f>DataArrange!R40</f>
        <v>376</v>
      </c>
      <c r="R10" s="443">
        <f>DataArrange!S40</f>
        <v>419</v>
      </c>
      <c r="S10" s="443">
        <f>DataArrange!T40</f>
        <v>462</v>
      </c>
      <c r="T10" s="443">
        <f>DataArrange!U40</f>
        <v>505</v>
      </c>
      <c r="U10" s="443">
        <f>DataArrange!V40</f>
        <v>548</v>
      </c>
      <c r="V10" s="443">
        <f>DataArrange!W40</f>
        <v>591</v>
      </c>
      <c r="W10" s="443">
        <f>DataArrange!X40</f>
        <v>634</v>
      </c>
      <c r="X10" s="443">
        <f>DataArrange!Y40</f>
        <v>677</v>
      </c>
      <c r="Y10" s="443">
        <f>DataArrange!Z40</f>
        <v>720</v>
      </c>
      <c r="Z10" s="443">
        <f>DataArrange!AA40</f>
        <v>774</v>
      </c>
      <c r="AA10" s="443">
        <f>DataArrange!AB40</f>
        <v>828</v>
      </c>
      <c r="AB10" s="443">
        <f>DataArrange!AC40</f>
        <v>882</v>
      </c>
      <c r="AC10" s="443">
        <f>DataArrange!AD40</f>
        <v>936</v>
      </c>
      <c r="AD10" s="443">
        <f>DataArrange!AE40</f>
        <v>990</v>
      </c>
      <c r="AE10" s="443">
        <f>DataArrange!AF40</f>
        <v>1044</v>
      </c>
      <c r="AF10" s="443">
        <f>DataArrange!AG40</f>
        <v>1098</v>
      </c>
      <c r="AG10" s="443">
        <f>DataArrange!AH40</f>
        <v>1152</v>
      </c>
      <c r="AH10" s="443">
        <f>DataArrange!AI40</f>
        <v>1206</v>
      </c>
      <c r="AI10" s="443">
        <f>DataArrange!AJ40</f>
        <v>1260</v>
      </c>
      <c r="AJ10" s="443">
        <f>DataArrange!AK40</f>
        <v>1314</v>
      </c>
      <c r="AK10" s="443">
        <f>DataArrange!AL40</f>
        <v>1368</v>
      </c>
      <c r="AL10" s="443">
        <f>DataArrange!AM40</f>
        <v>1422</v>
      </c>
      <c r="AM10" s="443">
        <f>DataArrange!AN40</f>
        <v>1476</v>
      </c>
      <c r="AN10" s="443">
        <f>DataArrange!AO40</f>
        <v>1530</v>
      </c>
      <c r="AO10" s="443">
        <f>DataArrange!AP40</f>
        <v>1584</v>
      </c>
      <c r="AP10" s="443">
        <f>DataArrange!AQ40</f>
        <v>1638</v>
      </c>
      <c r="AQ10" s="443">
        <f>DataArrange!AR40</f>
        <v>1692</v>
      </c>
      <c r="AR10" s="443">
        <f>DataArrange!AS40</f>
        <v>1746</v>
      </c>
      <c r="AS10" s="443">
        <f>DataArrange!AT40</f>
        <v>1800</v>
      </c>
      <c r="AT10" s="443"/>
      <c r="AU10" s="443"/>
      <c r="AV10" s="443"/>
      <c r="AW10" s="443"/>
      <c r="AX10" s="443"/>
      <c r="AY10" s="443"/>
      <c r="AZ10" s="443"/>
      <c r="BA10" s="443"/>
      <c r="BB10" s="443"/>
      <c r="BC10" s="443"/>
    </row>
    <row r="11" spans="1:95" s="439" customFormat="1" x14ac:dyDescent="0.25">
      <c r="A11" s="446" t="str">
        <f>DataArrange!A41</f>
        <v>SA</v>
      </c>
      <c r="B11" s="446" t="str">
        <f>DataArrange!B41</f>
        <v>SBTi 1.5C</v>
      </c>
      <c r="C11" s="446" t="str">
        <f>DataArrange!C41</f>
        <v>WORLD</v>
      </c>
      <c r="D11" s="446" t="str">
        <f>DataArrange!D41</f>
        <v>World</v>
      </c>
      <c r="E11" s="446" t="str">
        <f>DataArrange!E41</f>
        <v>Output</v>
      </c>
      <c r="F11" s="446" t="str">
        <f>DataArrange!F41</f>
        <v>Mt</v>
      </c>
      <c r="G11" s="530" t="str">
        <f>DataArrange!G17</f>
        <v>Sub-sector material production (Mt) Expanded list [Methods model input; Estimated]</v>
      </c>
      <c r="H11" s="531" t="str">
        <f>DataArrange!H41</f>
        <v>Methanol</v>
      </c>
      <c r="I11" s="443">
        <f>DataArrange!J41*1000000</f>
        <v>99000000</v>
      </c>
      <c r="J11" s="443">
        <f>DataArrange!K41*1000000</f>
        <v>99000000</v>
      </c>
      <c r="K11" s="443">
        <f>DataArrange!L41*1000000</f>
        <v>99000000</v>
      </c>
      <c r="L11" s="443">
        <f>DataArrange!M41*1000000</f>
        <v>99000000</v>
      </c>
      <c r="M11" s="443">
        <f>DataArrange!N41*1000000</f>
        <v>99000000</v>
      </c>
      <c r="N11" s="443">
        <f>DataArrange!O41*1000000</f>
        <v>99000000</v>
      </c>
      <c r="O11" s="443">
        <f>DataArrange!P41*1000000</f>
        <v>99000000</v>
      </c>
      <c r="P11" s="443">
        <f>DataArrange!Q41*1000000</f>
        <v>101800000</v>
      </c>
      <c r="Q11" s="443">
        <f>DataArrange!R41*1000000</f>
        <v>104600000</v>
      </c>
      <c r="R11" s="443">
        <f>DataArrange!S41*1000000</f>
        <v>107400000</v>
      </c>
      <c r="S11" s="443">
        <f>DataArrange!T41*1000000</f>
        <v>110200000</v>
      </c>
      <c r="T11" s="443">
        <f>DataArrange!U41*1000000</f>
        <v>113000000</v>
      </c>
      <c r="U11" s="443">
        <f>DataArrange!V41*1000000</f>
        <v>115800000</v>
      </c>
      <c r="V11" s="443">
        <f>DataArrange!W41*1000000</f>
        <v>118600000</v>
      </c>
      <c r="W11" s="443">
        <f>DataArrange!X41*1000000</f>
        <v>121400000</v>
      </c>
      <c r="X11" s="443">
        <f>DataArrange!Y41*1000000</f>
        <v>124200000</v>
      </c>
      <c r="Y11" s="443">
        <f>DataArrange!Z41*1000000</f>
        <v>127000000</v>
      </c>
      <c r="Z11" s="443">
        <f>DataArrange!AA41*1000000</f>
        <v>127900000</v>
      </c>
      <c r="AA11" s="443">
        <f>DataArrange!AB41*1000000</f>
        <v>128800000.00000001</v>
      </c>
      <c r="AB11" s="443">
        <f>DataArrange!AC41*1000000</f>
        <v>129699999.99999999</v>
      </c>
      <c r="AC11" s="443">
        <f>DataArrange!AD41*1000000</f>
        <v>130600000</v>
      </c>
      <c r="AD11" s="443">
        <f>DataArrange!AE41*1000000</f>
        <v>131500000</v>
      </c>
      <c r="AE11" s="443">
        <f>DataArrange!AF41*1000000</f>
        <v>132400000</v>
      </c>
      <c r="AF11" s="443">
        <f>DataArrange!AG41*1000000</f>
        <v>133300000.00000001</v>
      </c>
      <c r="AG11" s="443">
        <f>DataArrange!AH41*1000000</f>
        <v>134199999.99999999</v>
      </c>
      <c r="AH11" s="443">
        <f>DataArrange!AI41*1000000</f>
        <v>135100000</v>
      </c>
      <c r="AI11" s="443">
        <f>DataArrange!AJ41*1000000</f>
        <v>136000000</v>
      </c>
      <c r="AJ11" s="443">
        <f>DataArrange!AK41*1000000</f>
        <v>135700000</v>
      </c>
      <c r="AK11" s="443">
        <f>DataArrange!AL41*1000000</f>
        <v>135400000</v>
      </c>
      <c r="AL11" s="443">
        <f>DataArrange!AM41*1000000</f>
        <v>135100000</v>
      </c>
      <c r="AM11" s="443">
        <f>DataArrange!AN41*1000000</f>
        <v>134800000</v>
      </c>
      <c r="AN11" s="443">
        <f>DataArrange!AO41*1000000</f>
        <v>134500000</v>
      </c>
      <c r="AO11" s="443">
        <f>DataArrange!AP41*1000000</f>
        <v>134199999.99999999</v>
      </c>
      <c r="AP11" s="443">
        <f>DataArrange!AQ41*1000000</f>
        <v>133900000</v>
      </c>
      <c r="AQ11" s="443">
        <f>DataArrange!AR41*1000000</f>
        <v>133600000</v>
      </c>
      <c r="AR11" s="443">
        <f>DataArrange!AS41*1000000</f>
        <v>133300000.00000001</v>
      </c>
      <c r="AS11" s="443">
        <f>DataArrange!AT41*1000000</f>
        <v>133000000</v>
      </c>
      <c r="AT11" s="443"/>
      <c r="AU11" s="443"/>
      <c r="AV11" s="443"/>
      <c r="AW11" s="443"/>
      <c r="AX11" s="443"/>
      <c r="AY11" s="443"/>
      <c r="AZ11" s="443"/>
      <c r="BA11" s="443"/>
      <c r="BB11" s="443"/>
      <c r="BC11" s="443"/>
    </row>
    <row r="12" spans="1:95" s="439" customFormat="1" x14ac:dyDescent="0.25">
      <c r="A12" s="446" t="str">
        <f>DataArrange!A42</f>
        <v>SE</v>
      </c>
      <c r="B12" s="446" t="str">
        <f>DataArrange!B42</f>
        <v>SBTi 1.5C</v>
      </c>
      <c r="C12" s="446" t="str">
        <f>DataArrange!C42</f>
        <v>WORLD</v>
      </c>
      <c r="D12" s="446" t="str">
        <f>DataArrange!D42</f>
        <v>World</v>
      </c>
      <c r="E12" s="446" t="str">
        <f>DataArrange!E42</f>
        <v>Emissions</v>
      </c>
      <c r="F12" s="446" t="str">
        <f>DataArrange!F42</f>
        <v>MtCO2</v>
      </c>
      <c r="G12" s="530" t="str">
        <f>DataArrange!G18</f>
        <v>Sub-sector CO2 emissions (MtCO2) Expanded list [Methods model input; Estimated]</v>
      </c>
      <c r="H12" s="531" t="str">
        <f>DataArrange!H42</f>
        <v>HVCs</v>
      </c>
      <c r="I12" s="443">
        <f>DataArrange!J42</f>
        <v>251</v>
      </c>
      <c r="J12" s="443">
        <f>DataArrange!K42</f>
        <v>251</v>
      </c>
      <c r="K12" s="443">
        <f>DataArrange!L42</f>
        <v>251</v>
      </c>
      <c r="L12" s="443">
        <f>DataArrange!M42</f>
        <v>251</v>
      </c>
      <c r="M12" s="443">
        <f>DataArrange!N42</f>
        <v>251</v>
      </c>
      <c r="N12" s="443">
        <f>DataArrange!O42</f>
        <v>251</v>
      </c>
      <c r="O12" s="443">
        <f>DataArrange!P42</f>
        <v>251</v>
      </c>
      <c r="P12" s="443">
        <f>DataArrange!Q42</f>
        <v>251</v>
      </c>
      <c r="Q12" s="443">
        <f>DataArrange!R42</f>
        <v>251</v>
      </c>
      <c r="R12" s="443">
        <f>DataArrange!S42</f>
        <v>251</v>
      </c>
      <c r="S12" s="443">
        <f>DataArrange!T42</f>
        <v>251</v>
      </c>
      <c r="T12" s="443">
        <f>DataArrange!U42</f>
        <v>251</v>
      </c>
      <c r="U12" s="443">
        <f>DataArrange!V42</f>
        <v>251</v>
      </c>
      <c r="V12" s="443">
        <f>DataArrange!W42</f>
        <v>251</v>
      </c>
      <c r="W12" s="443">
        <f>DataArrange!X42</f>
        <v>251</v>
      </c>
      <c r="X12" s="443">
        <f>DataArrange!Y42</f>
        <v>251</v>
      </c>
      <c r="Y12" s="443">
        <f>DataArrange!Z42</f>
        <v>251</v>
      </c>
      <c r="Z12" s="443">
        <f>DataArrange!AA42</f>
        <v>241</v>
      </c>
      <c r="AA12" s="443">
        <f>DataArrange!AB42</f>
        <v>231</v>
      </c>
      <c r="AB12" s="443">
        <f>DataArrange!AC42</f>
        <v>221</v>
      </c>
      <c r="AC12" s="443">
        <f>DataArrange!AD42</f>
        <v>211</v>
      </c>
      <c r="AD12" s="443">
        <f>DataArrange!AE42</f>
        <v>201</v>
      </c>
      <c r="AE12" s="443">
        <f>DataArrange!AF42</f>
        <v>191</v>
      </c>
      <c r="AF12" s="443">
        <f>DataArrange!AG42</f>
        <v>181</v>
      </c>
      <c r="AG12" s="443">
        <f>DataArrange!AH42</f>
        <v>171</v>
      </c>
      <c r="AH12" s="443">
        <f>DataArrange!AI42</f>
        <v>161</v>
      </c>
      <c r="AI12" s="443">
        <f>DataArrange!AJ42</f>
        <v>151</v>
      </c>
      <c r="AJ12" s="443">
        <f>DataArrange!AK42</f>
        <v>137.30000000000001</v>
      </c>
      <c r="AK12" s="443">
        <f>DataArrange!AL42</f>
        <v>123.6</v>
      </c>
      <c r="AL12" s="443">
        <f>DataArrange!AM42</f>
        <v>109.9</v>
      </c>
      <c r="AM12" s="443">
        <f>DataArrange!AN42</f>
        <v>96.2</v>
      </c>
      <c r="AN12" s="443">
        <f>DataArrange!AO42</f>
        <v>82.5</v>
      </c>
      <c r="AO12" s="443">
        <f>DataArrange!AP42</f>
        <v>68.8</v>
      </c>
      <c r="AP12" s="443">
        <f>DataArrange!AQ42</f>
        <v>55.099999999999994</v>
      </c>
      <c r="AQ12" s="443">
        <f>DataArrange!AR42</f>
        <v>41.400000000000006</v>
      </c>
      <c r="AR12" s="443">
        <f>DataArrange!AS42</f>
        <v>27.700000000000003</v>
      </c>
      <c r="AS12" s="443">
        <f>DataArrange!AT42</f>
        <v>14</v>
      </c>
      <c r="AT12" s="443"/>
      <c r="AU12" s="443"/>
      <c r="AV12" s="443"/>
      <c r="AW12" s="443"/>
      <c r="AX12" s="443"/>
      <c r="AY12" s="443"/>
      <c r="AZ12" s="443"/>
      <c r="BA12" s="443"/>
      <c r="BB12" s="443"/>
      <c r="BC12" s="443"/>
    </row>
    <row r="13" spans="1:95" s="439" customFormat="1" x14ac:dyDescent="0.25">
      <c r="A13" s="446" t="str">
        <f>DataArrange!A43</f>
        <v>SP</v>
      </c>
      <c r="B13" s="446" t="str">
        <f>DataArrange!B43</f>
        <v>SBTi 1.5C</v>
      </c>
      <c r="C13" s="446" t="str">
        <f>DataArrange!C43</f>
        <v>WORLD</v>
      </c>
      <c r="D13" s="446" t="str">
        <f>DataArrange!D43</f>
        <v>World</v>
      </c>
      <c r="E13" s="446" t="str">
        <f>DataArrange!E43</f>
        <v>Electricity</v>
      </c>
      <c r="F13" s="446" t="str">
        <f>DataArrange!F43</f>
        <v>PJ</v>
      </c>
      <c r="G13" s="530" t="str">
        <f>DataArrange!G19</f>
        <v>Sub-sector Electricity demand (PJ) Expanded list [Methods model input; Estimated]</v>
      </c>
      <c r="H13" s="531" t="str">
        <f>DataArrange!H43</f>
        <v>HVCs</v>
      </c>
      <c r="I13" s="443">
        <f>DataArrange!J43</f>
        <v>80</v>
      </c>
      <c r="J13" s="443">
        <f>DataArrange!K43</f>
        <v>80</v>
      </c>
      <c r="K13" s="443">
        <f>DataArrange!L43</f>
        <v>80</v>
      </c>
      <c r="L13" s="443">
        <f>DataArrange!M43</f>
        <v>80</v>
      </c>
      <c r="M13" s="443">
        <f>DataArrange!N43</f>
        <v>80</v>
      </c>
      <c r="N13" s="443">
        <f>DataArrange!O43</f>
        <v>80</v>
      </c>
      <c r="O13" s="443">
        <f>DataArrange!P43</f>
        <v>80</v>
      </c>
      <c r="P13" s="443">
        <f>DataArrange!Q43</f>
        <v>88</v>
      </c>
      <c r="Q13" s="443">
        <f>DataArrange!R43</f>
        <v>96</v>
      </c>
      <c r="R13" s="443">
        <f>DataArrange!S43</f>
        <v>104</v>
      </c>
      <c r="S13" s="443">
        <f>DataArrange!T43</f>
        <v>112</v>
      </c>
      <c r="T13" s="443">
        <f>DataArrange!U43</f>
        <v>120</v>
      </c>
      <c r="U13" s="443">
        <f>DataArrange!V43</f>
        <v>128</v>
      </c>
      <c r="V13" s="443">
        <f>DataArrange!W43</f>
        <v>136</v>
      </c>
      <c r="W13" s="443">
        <f>DataArrange!X43</f>
        <v>144</v>
      </c>
      <c r="X13" s="443">
        <f>DataArrange!Y43</f>
        <v>152</v>
      </c>
      <c r="Y13" s="443">
        <f>DataArrange!Z43</f>
        <v>160</v>
      </c>
      <c r="Z13" s="443">
        <f>DataArrange!AA43</f>
        <v>174</v>
      </c>
      <c r="AA13" s="443">
        <f>DataArrange!AB43</f>
        <v>188</v>
      </c>
      <c r="AB13" s="443">
        <f>DataArrange!AC43</f>
        <v>202</v>
      </c>
      <c r="AC13" s="443">
        <f>DataArrange!AD43</f>
        <v>216</v>
      </c>
      <c r="AD13" s="443">
        <f>DataArrange!AE43</f>
        <v>230</v>
      </c>
      <c r="AE13" s="443">
        <f>DataArrange!AF43</f>
        <v>244</v>
      </c>
      <c r="AF13" s="443">
        <f>DataArrange!AG43</f>
        <v>258</v>
      </c>
      <c r="AG13" s="443">
        <f>DataArrange!AH43</f>
        <v>272</v>
      </c>
      <c r="AH13" s="443">
        <f>DataArrange!AI43</f>
        <v>286</v>
      </c>
      <c r="AI13" s="443">
        <f>DataArrange!AJ43</f>
        <v>300</v>
      </c>
      <c r="AJ13" s="443">
        <f>DataArrange!AK43</f>
        <v>328</v>
      </c>
      <c r="AK13" s="443">
        <f>DataArrange!AL43</f>
        <v>356</v>
      </c>
      <c r="AL13" s="443">
        <f>DataArrange!AM43</f>
        <v>384</v>
      </c>
      <c r="AM13" s="443">
        <f>DataArrange!AN43</f>
        <v>412</v>
      </c>
      <c r="AN13" s="443">
        <f>DataArrange!AO43</f>
        <v>440</v>
      </c>
      <c r="AO13" s="443">
        <f>DataArrange!AP43</f>
        <v>468</v>
      </c>
      <c r="AP13" s="443">
        <f>DataArrange!AQ43</f>
        <v>496</v>
      </c>
      <c r="AQ13" s="443">
        <f>DataArrange!AR43</f>
        <v>524</v>
      </c>
      <c r="AR13" s="443">
        <f>DataArrange!AS43</f>
        <v>552</v>
      </c>
      <c r="AS13" s="443">
        <f>DataArrange!AT43</f>
        <v>580</v>
      </c>
      <c r="AT13" s="443"/>
      <c r="AU13" s="443"/>
      <c r="AV13" s="443"/>
      <c r="AW13" s="443"/>
      <c r="AX13" s="443"/>
      <c r="AY13" s="443"/>
      <c r="AZ13" s="443"/>
      <c r="BA13" s="443"/>
      <c r="BB13" s="443"/>
      <c r="BC13" s="443"/>
    </row>
    <row r="14" spans="1:95" s="439" customFormat="1" x14ac:dyDescent="0.25">
      <c r="A14" s="446" t="str">
        <f>DataArrange!A44</f>
        <v>SA</v>
      </c>
      <c r="B14" s="446" t="str">
        <f>DataArrange!B44</f>
        <v>SBTi 1.5C</v>
      </c>
      <c r="C14" s="446" t="str">
        <f>DataArrange!C44</f>
        <v>WORLD</v>
      </c>
      <c r="D14" s="446" t="str">
        <f>DataArrange!D44</f>
        <v>World</v>
      </c>
      <c r="E14" s="446" t="str">
        <f>DataArrange!E44</f>
        <v>Output</v>
      </c>
      <c r="F14" s="446" t="str">
        <f>DataArrange!F44</f>
        <v>Mt</v>
      </c>
      <c r="G14" s="530" t="str">
        <f>DataArrange!G20</f>
        <v>Sub-sector material production (Mt) Expanded list [Methods model input; Estimated]</v>
      </c>
      <c r="H14" s="531" t="str">
        <f>DataArrange!H44</f>
        <v>HVCs</v>
      </c>
      <c r="I14" s="443">
        <f>DataArrange!J44*1000000</f>
        <v>245000000</v>
      </c>
      <c r="J14" s="443">
        <f>DataArrange!K44*1000000</f>
        <v>245000000</v>
      </c>
      <c r="K14" s="443">
        <f>DataArrange!L44*1000000</f>
        <v>245000000</v>
      </c>
      <c r="L14" s="443">
        <f>DataArrange!M44*1000000</f>
        <v>245000000</v>
      </c>
      <c r="M14" s="443">
        <f>DataArrange!N44*1000000</f>
        <v>245000000</v>
      </c>
      <c r="N14" s="443">
        <f>DataArrange!O44*1000000</f>
        <v>245000000</v>
      </c>
      <c r="O14" s="443">
        <f>DataArrange!P44*1000000</f>
        <v>245000000</v>
      </c>
      <c r="P14" s="443">
        <f>DataArrange!Q44*1000000</f>
        <v>251400000</v>
      </c>
      <c r="Q14" s="443">
        <f>DataArrange!R44*1000000</f>
        <v>257800000</v>
      </c>
      <c r="R14" s="443">
        <f>DataArrange!S44*1000000</f>
        <v>264200000</v>
      </c>
      <c r="S14" s="443">
        <f>DataArrange!T44*1000000</f>
        <v>270600000</v>
      </c>
      <c r="T14" s="443">
        <f>DataArrange!U44*1000000</f>
        <v>277000000</v>
      </c>
      <c r="U14" s="443">
        <f>DataArrange!V44*1000000</f>
        <v>283400000</v>
      </c>
      <c r="V14" s="443">
        <f>DataArrange!W44*1000000</f>
        <v>289800000</v>
      </c>
      <c r="W14" s="443">
        <f>DataArrange!X44*1000000</f>
        <v>296200000</v>
      </c>
      <c r="X14" s="443">
        <f>DataArrange!Y44*1000000</f>
        <v>302600000</v>
      </c>
      <c r="Y14" s="443">
        <f>DataArrange!Z44*1000000</f>
        <v>309000000</v>
      </c>
      <c r="Z14" s="443">
        <f>DataArrange!AA44*1000000</f>
        <v>311100000</v>
      </c>
      <c r="AA14" s="443">
        <f>DataArrange!AB44*1000000</f>
        <v>313200000</v>
      </c>
      <c r="AB14" s="443">
        <f>DataArrange!AC44*1000000</f>
        <v>315300000</v>
      </c>
      <c r="AC14" s="443">
        <f>DataArrange!AD44*1000000</f>
        <v>317400000</v>
      </c>
      <c r="AD14" s="443">
        <f>DataArrange!AE44*1000000</f>
        <v>319500000</v>
      </c>
      <c r="AE14" s="443">
        <f>DataArrange!AF44*1000000</f>
        <v>321600000</v>
      </c>
      <c r="AF14" s="443">
        <f>DataArrange!AG44*1000000</f>
        <v>323700000</v>
      </c>
      <c r="AG14" s="443">
        <f>DataArrange!AH44*1000000</f>
        <v>325800000</v>
      </c>
      <c r="AH14" s="443">
        <f>DataArrange!AI44*1000000</f>
        <v>327900000</v>
      </c>
      <c r="AI14" s="443">
        <f>DataArrange!AJ44*1000000</f>
        <v>330000000</v>
      </c>
      <c r="AJ14" s="443">
        <f>DataArrange!AK44*1000000</f>
        <v>329500000</v>
      </c>
      <c r="AK14" s="443">
        <f>DataArrange!AL44*1000000</f>
        <v>329000000</v>
      </c>
      <c r="AL14" s="443">
        <f>DataArrange!AM44*1000000</f>
        <v>328500000</v>
      </c>
      <c r="AM14" s="443">
        <f>DataArrange!AN44*1000000</f>
        <v>328000000</v>
      </c>
      <c r="AN14" s="443">
        <f>DataArrange!AO44*1000000</f>
        <v>327500000</v>
      </c>
      <c r="AO14" s="443">
        <f>DataArrange!AP44*1000000</f>
        <v>327000000</v>
      </c>
      <c r="AP14" s="443">
        <f>DataArrange!AQ44*1000000</f>
        <v>326500000</v>
      </c>
      <c r="AQ14" s="443">
        <f>DataArrange!AR44*1000000</f>
        <v>326000000</v>
      </c>
      <c r="AR14" s="443">
        <f>DataArrange!AS44*1000000</f>
        <v>325500000</v>
      </c>
      <c r="AS14" s="443">
        <f>DataArrange!AT44*1000000</f>
        <v>325000000</v>
      </c>
      <c r="AT14" s="443"/>
      <c r="AU14" s="443"/>
      <c r="AV14" s="443"/>
      <c r="AW14" s="443"/>
      <c r="AX14" s="443"/>
      <c r="AY14" s="443"/>
      <c r="AZ14" s="443"/>
      <c r="BA14" s="443"/>
      <c r="BB14" s="443"/>
      <c r="BC14" s="443"/>
    </row>
    <row r="15" spans="1:95" x14ac:dyDescent="0.25">
      <c r="F15" s="447"/>
      <c r="G15" s="5"/>
      <c r="H15" s="418"/>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65"/>
      <c r="AU15" s="65"/>
      <c r="AV15" s="65"/>
      <c r="AW15" s="65"/>
      <c r="AX15" s="65"/>
      <c r="AY15" s="65"/>
      <c r="AZ15" s="65"/>
      <c r="BA15" s="65"/>
      <c r="BB15" s="65"/>
      <c r="BC15" s="65"/>
    </row>
    <row r="16" spans="1:95" ht="13" x14ac:dyDescent="0.3">
      <c r="A16" s="448" t="s">
        <v>257</v>
      </c>
      <c r="B16" s="126" t="s">
        <v>258</v>
      </c>
      <c r="C16" s="126" t="s">
        <v>259</v>
      </c>
      <c r="D16" s="449"/>
      <c r="F16" s="450"/>
      <c r="G16" s="5"/>
    </row>
    <row r="17" spans="1:95" x14ac:dyDescent="0.25">
      <c r="A17" s="449" t="str">
        <f t="shared" ref="A17" si="1">+H2</f>
        <v>Power</v>
      </c>
      <c r="B17" s="127">
        <f t="shared" ref="B17" si="2">1-AD2/O2</f>
        <v>0.82930069662944095</v>
      </c>
      <c r="C17" s="127">
        <f t="shared" ref="C17" si="3">1-BC2/I2</f>
        <v>0.99974026715246134</v>
      </c>
      <c r="D17" s="451"/>
      <c r="F17" s="450"/>
      <c r="G17" s="5"/>
      <c r="CJ17" s="3" t="s">
        <v>260</v>
      </c>
      <c r="CK17" s="3" t="s">
        <v>260</v>
      </c>
      <c r="CL17" s="3" t="s">
        <v>260</v>
      </c>
      <c r="CM17" s="3" t="s">
        <v>260</v>
      </c>
      <c r="CN17" s="3" t="s">
        <v>260</v>
      </c>
      <c r="CO17" s="3" t="s">
        <v>260</v>
      </c>
      <c r="CP17" s="3" t="s">
        <v>260</v>
      </c>
      <c r="CQ17" s="3" t="s">
        <v>260</v>
      </c>
    </row>
    <row r="18" spans="1:95" x14ac:dyDescent="0.25">
      <c r="F18" s="450"/>
      <c r="G18" s="5"/>
      <c r="H18" s="130"/>
      <c r="I18" s="64"/>
      <c r="J18" s="64"/>
      <c r="K18" s="76"/>
      <c r="CJ18" s="3" t="s">
        <v>260</v>
      </c>
      <c r="CK18" s="3" t="s">
        <v>260</v>
      </c>
      <c r="CL18" s="3" t="s">
        <v>260</v>
      </c>
      <c r="CM18" s="3" t="s">
        <v>260</v>
      </c>
      <c r="CN18" s="3" t="s">
        <v>260</v>
      </c>
      <c r="CO18" s="3" t="s">
        <v>260</v>
      </c>
      <c r="CP18" s="3" t="s">
        <v>260</v>
      </c>
      <c r="CQ18" s="3" t="s">
        <v>260</v>
      </c>
    </row>
    <row r="19" spans="1:95" x14ac:dyDescent="0.25">
      <c r="F19" s="450"/>
      <c r="G19" s="5"/>
      <c r="H19" s="131"/>
      <c r="CJ19" s="3" t="s">
        <v>260</v>
      </c>
      <c r="CK19" s="3" t="s">
        <v>260</v>
      </c>
      <c r="CL19" s="3" t="s">
        <v>260</v>
      </c>
      <c r="CM19" s="3" t="s">
        <v>260</v>
      </c>
      <c r="CN19" s="3" t="s">
        <v>260</v>
      </c>
      <c r="CO19" s="3" t="s">
        <v>260</v>
      </c>
      <c r="CP19" s="3" t="s">
        <v>260</v>
      </c>
      <c r="CQ19" s="3" t="s">
        <v>260</v>
      </c>
    </row>
    <row r="20" spans="1:95" x14ac:dyDescent="0.25">
      <c r="F20" s="450"/>
      <c r="G20" s="5"/>
      <c r="H20" s="131"/>
      <c r="CJ20" s="3" t="s">
        <v>260</v>
      </c>
      <c r="CK20" s="3" t="s">
        <v>260</v>
      </c>
      <c r="CL20" s="3" t="s">
        <v>260</v>
      </c>
      <c r="CM20" s="3" t="s">
        <v>260</v>
      </c>
      <c r="CN20" s="3" t="s">
        <v>260</v>
      </c>
      <c r="CO20" s="3" t="s">
        <v>260</v>
      </c>
      <c r="CP20" s="3" t="s">
        <v>260</v>
      </c>
      <c r="CQ20" s="3" t="s">
        <v>260</v>
      </c>
    </row>
    <row r="21" spans="1:95" x14ac:dyDescent="0.25">
      <c r="F21" s="447"/>
      <c r="G21" s="5"/>
      <c r="H21" s="131"/>
      <c r="CJ21" s="3" t="s">
        <v>260</v>
      </c>
      <c r="CK21" s="3" t="s">
        <v>260</v>
      </c>
      <c r="CL21" s="3" t="s">
        <v>260</v>
      </c>
      <c r="CM21" s="3" t="s">
        <v>260</v>
      </c>
      <c r="CN21" s="3" t="s">
        <v>260</v>
      </c>
      <c r="CO21" s="3" t="s">
        <v>260</v>
      </c>
      <c r="CP21" s="3" t="s">
        <v>260</v>
      </c>
      <c r="CQ21" s="3" t="s">
        <v>260</v>
      </c>
    </row>
    <row r="22" spans="1:95" x14ac:dyDescent="0.25">
      <c r="F22" s="447"/>
      <c r="G22" s="5"/>
      <c r="H22" s="131"/>
      <c r="CJ22" s="3" t="s">
        <v>260</v>
      </c>
      <c r="CK22" s="3" t="s">
        <v>260</v>
      </c>
      <c r="CL22" s="3" t="s">
        <v>260</v>
      </c>
      <c r="CM22" s="3" t="s">
        <v>260</v>
      </c>
      <c r="CN22" s="3" t="s">
        <v>260</v>
      </c>
      <c r="CO22" s="3" t="s">
        <v>260</v>
      </c>
      <c r="CP22" s="3" t="s">
        <v>260</v>
      </c>
      <c r="CQ22" s="3" t="s">
        <v>260</v>
      </c>
    </row>
    <row r="23" spans="1:95" x14ac:dyDescent="0.25">
      <c r="F23" s="450"/>
      <c r="G23" s="5"/>
      <c r="H23" s="131"/>
      <c r="CJ23" s="3" t="s">
        <v>260</v>
      </c>
      <c r="CK23" s="3" t="s">
        <v>260</v>
      </c>
      <c r="CL23" s="3" t="s">
        <v>260</v>
      </c>
      <c r="CM23" s="3" t="s">
        <v>260</v>
      </c>
      <c r="CN23" s="3" t="s">
        <v>260</v>
      </c>
      <c r="CO23" s="3" t="s">
        <v>260</v>
      </c>
      <c r="CP23" s="3" t="s">
        <v>260</v>
      </c>
      <c r="CQ23" s="3" t="s">
        <v>260</v>
      </c>
    </row>
    <row r="24" spans="1:95" x14ac:dyDescent="0.25">
      <c r="F24" s="450"/>
      <c r="G24" s="5"/>
      <c r="H24" s="131"/>
      <c r="CJ24" s="3" t="s">
        <v>260</v>
      </c>
      <c r="CK24" s="3" t="s">
        <v>260</v>
      </c>
      <c r="CL24" s="3" t="s">
        <v>260</v>
      </c>
      <c r="CM24" s="3" t="s">
        <v>260</v>
      </c>
      <c r="CN24" s="3" t="s">
        <v>260</v>
      </c>
      <c r="CO24" s="3" t="s">
        <v>260</v>
      </c>
      <c r="CP24" s="3" t="s">
        <v>260</v>
      </c>
      <c r="CQ24" s="3" t="s">
        <v>260</v>
      </c>
    </row>
    <row r="25" spans="1:95" x14ac:dyDescent="0.25">
      <c r="F25" s="447"/>
      <c r="G25" s="5"/>
      <c r="H25" s="132"/>
      <c r="CJ25" s="3" t="s">
        <v>260</v>
      </c>
      <c r="CK25" s="3" t="s">
        <v>260</v>
      </c>
      <c r="CL25" s="3" t="s">
        <v>260</v>
      </c>
      <c r="CM25" s="3" t="s">
        <v>260</v>
      </c>
      <c r="CN25" s="3" t="s">
        <v>260</v>
      </c>
      <c r="CO25" s="3" t="s">
        <v>260</v>
      </c>
      <c r="CP25" s="3" t="s">
        <v>260</v>
      </c>
      <c r="CQ25" s="3" t="s">
        <v>260</v>
      </c>
    </row>
    <row r="26" spans="1:95" x14ac:dyDescent="0.25">
      <c r="F26" s="450"/>
      <c r="G26" s="5"/>
      <c r="H26" s="131"/>
      <c r="CJ26" s="3" t="s">
        <v>260</v>
      </c>
      <c r="CK26" s="3" t="s">
        <v>260</v>
      </c>
      <c r="CL26" s="3" t="s">
        <v>260</v>
      </c>
      <c r="CM26" s="3" t="s">
        <v>260</v>
      </c>
      <c r="CN26" s="3" t="s">
        <v>260</v>
      </c>
      <c r="CO26" s="3" t="s">
        <v>260</v>
      </c>
      <c r="CP26" s="3" t="s">
        <v>260</v>
      </c>
      <c r="CQ26" s="3" t="s">
        <v>260</v>
      </c>
    </row>
    <row r="27" spans="1:95" x14ac:dyDescent="0.25">
      <c r="F27" s="450"/>
      <c r="G27" s="5"/>
      <c r="H27" s="131"/>
      <c r="CJ27" s="3" t="s">
        <v>260</v>
      </c>
      <c r="CK27" s="3" t="s">
        <v>260</v>
      </c>
      <c r="CL27" s="3" t="s">
        <v>260</v>
      </c>
      <c r="CM27" s="3" t="s">
        <v>260</v>
      </c>
      <c r="CN27" s="3" t="s">
        <v>260</v>
      </c>
      <c r="CO27" s="3" t="s">
        <v>260</v>
      </c>
      <c r="CP27" s="3" t="s">
        <v>260</v>
      </c>
      <c r="CQ27" s="3" t="s">
        <v>260</v>
      </c>
    </row>
    <row r="28" spans="1:95" x14ac:dyDescent="0.25">
      <c r="F28" s="452"/>
      <c r="G28" s="5"/>
      <c r="H28" s="131"/>
      <c r="CJ28" s="3" t="s">
        <v>260</v>
      </c>
      <c r="CK28" s="3" t="s">
        <v>260</v>
      </c>
      <c r="CL28" s="3" t="s">
        <v>260</v>
      </c>
      <c r="CM28" s="3" t="s">
        <v>260</v>
      </c>
      <c r="CN28" s="3" t="s">
        <v>260</v>
      </c>
      <c r="CO28" s="3" t="s">
        <v>260</v>
      </c>
      <c r="CP28" s="3" t="s">
        <v>260</v>
      </c>
      <c r="CQ28" s="3" t="s">
        <v>260</v>
      </c>
    </row>
    <row r="29" spans="1:95" x14ac:dyDescent="0.25">
      <c r="F29" s="450"/>
      <c r="G29" s="5"/>
      <c r="H29" s="131"/>
      <c r="CJ29" s="3" t="s">
        <v>260</v>
      </c>
      <c r="CK29" s="3" t="s">
        <v>260</v>
      </c>
      <c r="CL29" s="3" t="s">
        <v>260</v>
      </c>
      <c r="CM29" s="3" t="s">
        <v>260</v>
      </c>
      <c r="CN29" s="3" t="s">
        <v>260</v>
      </c>
      <c r="CO29" s="3" t="s">
        <v>260</v>
      </c>
      <c r="CP29" s="3" t="s">
        <v>260</v>
      </c>
      <c r="CQ29" s="3" t="s">
        <v>260</v>
      </c>
    </row>
    <row r="30" spans="1:95" x14ac:dyDescent="0.25">
      <c r="F30" s="450"/>
      <c r="G30" s="5"/>
      <c r="H30" s="132"/>
      <c r="CJ30" s="3" t="s">
        <v>260</v>
      </c>
      <c r="CK30" s="3" t="s">
        <v>260</v>
      </c>
      <c r="CL30" s="3" t="s">
        <v>260</v>
      </c>
      <c r="CM30" s="3" t="s">
        <v>260</v>
      </c>
      <c r="CN30" s="3" t="s">
        <v>260</v>
      </c>
      <c r="CO30" s="3" t="s">
        <v>260</v>
      </c>
      <c r="CP30" s="3" t="s">
        <v>260</v>
      </c>
      <c r="CQ30" s="3" t="s">
        <v>260</v>
      </c>
    </row>
    <row r="31" spans="1:95" x14ac:dyDescent="0.25">
      <c r="F31" s="450"/>
      <c r="G31" s="5"/>
      <c r="H31" s="131"/>
      <c r="CJ31" s="3" t="s">
        <v>260</v>
      </c>
      <c r="CK31" s="3" t="s">
        <v>260</v>
      </c>
      <c r="CL31" s="3" t="s">
        <v>260</v>
      </c>
      <c r="CM31" s="3" t="s">
        <v>260</v>
      </c>
      <c r="CN31" s="3" t="s">
        <v>260</v>
      </c>
      <c r="CO31" s="3" t="s">
        <v>260</v>
      </c>
      <c r="CP31" s="3" t="s">
        <v>260</v>
      </c>
      <c r="CQ31" s="3" t="s">
        <v>260</v>
      </c>
    </row>
    <row r="32" spans="1:95" x14ac:dyDescent="0.25">
      <c r="F32" s="450"/>
      <c r="G32" s="5"/>
      <c r="H32" s="131"/>
      <c r="CJ32" s="3" t="s">
        <v>260</v>
      </c>
      <c r="CK32" s="3" t="s">
        <v>260</v>
      </c>
      <c r="CL32" s="3" t="s">
        <v>260</v>
      </c>
      <c r="CM32" s="3" t="s">
        <v>260</v>
      </c>
      <c r="CN32" s="3" t="s">
        <v>260</v>
      </c>
      <c r="CO32" s="3" t="s">
        <v>260</v>
      </c>
      <c r="CP32" s="3" t="s">
        <v>260</v>
      </c>
      <c r="CQ32" s="3" t="s">
        <v>260</v>
      </c>
    </row>
    <row r="33" spans="6:95" x14ac:dyDescent="0.25">
      <c r="F33" s="450"/>
      <c r="G33" s="5"/>
      <c r="H33" s="131"/>
      <c r="CJ33" s="3" t="s">
        <v>260</v>
      </c>
      <c r="CK33" s="3" t="s">
        <v>260</v>
      </c>
      <c r="CL33" s="3" t="s">
        <v>260</v>
      </c>
      <c r="CM33" s="3" t="s">
        <v>260</v>
      </c>
      <c r="CN33" s="3" t="s">
        <v>260</v>
      </c>
      <c r="CO33" s="3" t="s">
        <v>260</v>
      </c>
      <c r="CP33" s="3" t="s">
        <v>260</v>
      </c>
      <c r="CQ33" s="3" t="s">
        <v>260</v>
      </c>
    </row>
    <row r="34" spans="6:95" x14ac:dyDescent="0.25">
      <c r="F34" s="450"/>
      <c r="G34" s="5"/>
      <c r="H34" s="131"/>
      <c r="CJ34" s="3" t="s">
        <v>260</v>
      </c>
      <c r="CK34" s="3" t="s">
        <v>260</v>
      </c>
      <c r="CL34" s="3" t="s">
        <v>260</v>
      </c>
      <c r="CM34" s="3" t="s">
        <v>260</v>
      </c>
      <c r="CN34" s="3" t="s">
        <v>260</v>
      </c>
      <c r="CO34" s="3" t="s">
        <v>260</v>
      </c>
      <c r="CP34" s="3" t="s">
        <v>260</v>
      </c>
      <c r="CQ34" s="3" t="s">
        <v>260</v>
      </c>
    </row>
    <row r="35" spans="6:95" x14ac:dyDescent="0.25">
      <c r="F35" s="450"/>
      <c r="G35" s="5"/>
      <c r="H35" s="131"/>
      <c r="CJ35" s="3" t="s">
        <v>260</v>
      </c>
      <c r="CK35" s="3" t="s">
        <v>260</v>
      </c>
      <c r="CL35" s="3" t="s">
        <v>260</v>
      </c>
      <c r="CM35" s="3" t="s">
        <v>260</v>
      </c>
      <c r="CN35" s="3" t="s">
        <v>260</v>
      </c>
      <c r="CO35" s="3" t="s">
        <v>260</v>
      </c>
      <c r="CP35" s="3" t="s">
        <v>260</v>
      </c>
      <c r="CQ35" s="3" t="s">
        <v>260</v>
      </c>
    </row>
    <row r="36" spans="6:95" x14ac:dyDescent="0.25">
      <c r="F36" s="450"/>
      <c r="G36" s="5"/>
      <c r="H36" s="131"/>
      <c r="CJ36" s="3" t="s">
        <v>260</v>
      </c>
      <c r="CK36" s="3" t="s">
        <v>260</v>
      </c>
      <c r="CL36" s="3" t="s">
        <v>260</v>
      </c>
      <c r="CM36" s="3" t="s">
        <v>260</v>
      </c>
      <c r="CN36" s="3" t="s">
        <v>260</v>
      </c>
      <c r="CO36" s="3" t="s">
        <v>260</v>
      </c>
      <c r="CP36" s="3" t="s">
        <v>260</v>
      </c>
      <c r="CQ36" s="3" t="s">
        <v>260</v>
      </c>
    </row>
    <row r="37" spans="6:95" x14ac:dyDescent="0.25">
      <c r="F37" s="450"/>
      <c r="G37" s="5"/>
      <c r="H37" s="131"/>
      <c r="CJ37" s="3" t="s">
        <v>260</v>
      </c>
      <c r="CK37" s="3" t="s">
        <v>260</v>
      </c>
      <c r="CL37" s="3" t="s">
        <v>260</v>
      </c>
      <c r="CM37" s="3" t="s">
        <v>260</v>
      </c>
      <c r="CN37" s="3" t="s">
        <v>260</v>
      </c>
      <c r="CO37" s="3" t="s">
        <v>260</v>
      </c>
      <c r="CP37" s="3" t="s">
        <v>260</v>
      </c>
      <c r="CQ37" s="3" t="s">
        <v>260</v>
      </c>
    </row>
    <row r="38" spans="6:95" x14ac:dyDescent="0.25">
      <c r="F38" s="450"/>
      <c r="G38" s="5"/>
      <c r="H38" s="131"/>
      <c r="CJ38" s="3" t="s">
        <v>260</v>
      </c>
      <c r="CK38" s="3" t="s">
        <v>260</v>
      </c>
      <c r="CL38" s="3" t="s">
        <v>260</v>
      </c>
      <c r="CM38" s="3" t="s">
        <v>260</v>
      </c>
      <c r="CN38" s="3" t="s">
        <v>260</v>
      </c>
      <c r="CO38" s="3" t="s">
        <v>260</v>
      </c>
      <c r="CP38" s="3" t="s">
        <v>260</v>
      </c>
      <c r="CQ38" s="3" t="s">
        <v>260</v>
      </c>
    </row>
    <row r="39" spans="6:95" x14ac:dyDescent="0.25">
      <c r="F39" s="450"/>
      <c r="G39" s="5"/>
      <c r="H39" s="131"/>
      <c r="CJ39" s="3" t="s">
        <v>260</v>
      </c>
      <c r="CK39" s="3" t="s">
        <v>260</v>
      </c>
      <c r="CL39" s="3" t="s">
        <v>260</v>
      </c>
      <c r="CM39" s="3" t="s">
        <v>260</v>
      </c>
      <c r="CN39" s="3" t="s">
        <v>260</v>
      </c>
      <c r="CO39" s="3" t="s">
        <v>260</v>
      </c>
      <c r="CP39" s="3" t="s">
        <v>260</v>
      </c>
      <c r="CQ39" s="3" t="s">
        <v>260</v>
      </c>
    </row>
    <row r="40" spans="6:95" x14ac:dyDescent="0.25">
      <c r="F40" s="450"/>
      <c r="G40" s="5"/>
      <c r="H40" s="131"/>
      <c r="CJ40" s="3" t="s">
        <v>260</v>
      </c>
      <c r="CK40" s="3" t="s">
        <v>260</v>
      </c>
      <c r="CL40" s="3" t="s">
        <v>260</v>
      </c>
      <c r="CM40" s="3" t="s">
        <v>260</v>
      </c>
      <c r="CN40" s="3" t="s">
        <v>260</v>
      </c>
      <c r="CO40" s="3" t="s">
        <v>260</v>
      </c>
      <c r="CP40" s="3" t="s">
        <v>260</v>
      </c>
      <c r="CQ40" s="3" t="s">
        <v>260</v>
      </c>
    </row>
    <row r="41" spans="6:95" x14ac:dyDescent="0.25">
      <c r="F41" s="447"/>
      <c r="G41" s="5"/>
      <c r="H41" s="131"/>
      <c r="CJ41" s="3" t="s">
        <v>260</v>
      </c>
      <c r="CK41" s="3" t="s">
        <v>260</v>
      </c>
      <c r="CL41" s="3" t="s">
        <v>260</v>
      </c>
      <c r="CM41" s="3" t="s">
        <v>260</v>
      </c>
      <c r="CN41" s="3" t="s">
        <v>260</v>
      </c>
      <c r="CO41" s="3" t="s">
        <v>260</v>
      </c>
      <c r="CP41" s="3" t="s">
        <v>260</v>
      </c>
      <c r="CQ41" s="3" t="s">
        <v>260</v>
      </c>
    </row>
    <row r="42" spans="6:95" x14ac:dyDescent="0.25">
      <c r="F42" s="452"/>
      <c r="G42" s="6"/>
      <c r="H42" s="131"/>
      <c r="CJ42" s="3" t="s">
        <v>260</v>
      </c>
      <c r="CK42" s="3" t="s">
        <v>260</v>
      </c>
      <c r="CL42" s="3" t="s">
        <v>260</v>
      </c>
      <c r="CM42" s="3" t="s">
        <v>260</v>
      </c>
      <c r="CN42" s="3" t="s">
        <v>260</v>
      </c>
      <c r="CO42" s="3" t="s">
        <v>260</v>
      </c>
      <c r="CP42" s="3" t="s">
        <v>260</v>
      </c>
      <c r="CQ42" s="3" t="s">
        <v>260</v>
      </c>
    </row>
    <row r="43" spans="6:95" x14ac:dyDescent="0.25">
      <c r="F43" s="450"/>
      <c r="G43" s="6"/>
      <c r="H43" s="131"/>
      <c r="CJ43" s="3" t="s">
        <v>260</v>
      </c>
      <c r="CK43" s="3" t="s">
        <v>260</v>
      </c>
      <c r="CL43" s="3" t="s">
        <v>260</v>
      </c>
      <c r="CM43" s="3" t="s">
        <v>260</v>
      </c>
      <c r="CN43" s="3" t="s">
        <v>260</v>
      </c>
      <c r="CO43" s="3" t="s">
        <v>260</v>
      </c>
      <c r="CP43" s="3" t="s">
        <v>260</v>
      </c>
      <c r="CQ43" s="3" t="s">
        <v>260</v>
      </c>
    </row>
    <row r="44" spans="6:95" x14ac:dyDescent="0.25">
      <c r="F44" s="450"/>
      <c r="G44" s="6"/>
      <c r="H44" s="132"/>
      <c r="CJ44" s="3" t="s">
        <v>260</v>
      </c>
      <c r="CK44" s="3" t="s">
        <v>260</v>
      </c>
      <c r="CL44" s="3" t="s">
        <v>260</v>
      </c>
      <c r="CM44" s="3" t="s">
        <v>260</v>
      </c>
      <c r="CN44" s="3" t="s">
        <v>260</v>
      </c>
      <c r="CO44" s="3" t="s">
        <v>260</v>
      </c>
      <c r="CP44" s="3" t="s">
        <v>260</v>
      </c>
      <c r="CQ44" s="3" t="s">
        <v>260</v>
      </c>
    </row>
    <row r="45" spans="6:95" x14ac:dyDescent="0.25">
      <c r="F45" s="450"/>
      <c r="G45" s="6"/>
      <c r="H45" s="131"/>
      <c r="CJ45" s="3" t="s">
        <v>260</v>
      </c>
      <c r="CK45" s="3" t="s">
        <v>260</v>
      </c>
      <c r="CL45" s="3" t="s">
        <v>260</v>
      </c>
      <c r="CM45" s="3" t="s">
        <v>260</v>
      </c>
      <c r="CN45" s="3" t="s">
        <v>260</v>
      </c>
      <c r="CO45" s="3" t="s">
        <v>260</v>
      </c>
      <c r="CP45" s="3" t="s">
        <v>260</v>
      </c>
      <c r="CQ45" s="3" t="s">
        <v>260</v>
      </c>
    </row>
    <row r="46" spans="6:95" x14ac:dyDescent="0.25">
      <c r="F46" s="450"/>
      <c r="G46" s="6"/>
      <c r="H46" s="131"/>
      <c r="CJ46" s="3" t="s">
        <v>260</v>
      </c>
      <c r="CK46" s="3" t="s">
        <v>260</v>
      </c>
      <c r="CL46" s="3" t="s">
        <v>260</v>
      </c>
      <c r="CM46" s="3" t="s">
        <v>260</v>
      </c>
      <c r="CN46" s="3" t="s">
        <v>260</v>
      </c>
      <c r="CO46" s="3" t="s">
        <v>260</v>
      </c>
      <c r="CP46" s="3" t="s">
        <v>260</v>
      </c>
      <c r="CQ46" s="3" t="s">
        <v>260</v>
      </c>
    </row>
    <row r="47" spans="6:95" x14ac:dyDescent="0.25">
      <c r="F47" s="450"/>
      <c r="G47" s="6"/>
      <c r="H47" s="131"/>
      <c r="CJ47" s="3" t="s">
        <v>260</v>
      </c>
      <c r="CK47" s="3" t="s">
        <v>260</v>
      </c>
      <c r="CL47" s="3" t="s">
        <v>260</v>
      </c>
      <c r="CM47" s="3" t="s">
        <v>260</v>
      </c>
      <c r="CN47" s="3" t="s">
        <v>260</v>
      </c>
      <c r="CO47" s="3" t="s">
        <v>260</v>
      </c>
      <c r="CP47" s="3" t="s">
        <v>260</v>
      </c>
      <c r="CQ47" s="3" t="s">
        <v>260</v>
      </c>
    </row>
    <row r="48" spans="6:95" x14ac:dyDescent="0.25">
      <c r="F48" s="450"/>
      <c r="G48" s="6"/>
      <c r="H48" s="131"/>
      <c r="CJ48" s="3" t="s">
        <v>260</v>
      </c>
      <c r="CK48" s="3" t="s">
        <v>260</v>
      </c>
      <c r="CL48" s="3" t="s">
        <v>260</v>
      </c>
      <c r="CM48" s="3" t="s">
        <v>260</v>
      </c>
      <c r="CN48" s="3" t="s">
        <v>260</v>
      </c>
      <c r="CO48" s="3" t="s">
        <v>260</v>
      </c>
      <c r="CP48" s="3" t="s">
        <v>260</v>
      </c>
      <c r="CQ48" s="3" t="s">
        <v>260</v>
      </c>
    </row>
    <row r="49" spans="6:95" x14ac:dyDescent="0.25">
      <c r="F49" s="452"/>
      <c r="G49" s="6"/>
      <c r="H49" s="131"/>
      <c r="CJ49" s="3" t="s">
        <v>260</v>
      </c>
      <c r="CK49" s="3" t="s">
        <v>260</v>
      </c>
      <c r="CL49" s="3" t="s">
        <v>260</v>
      </c>
      <c r="CM49" s="3" t="s">
        <v>260</v>
      </c>
      <c r="CN49" s="3" t="s">
        <v>260</v>
      </c>
      <c r="CO49" s="3" t="s">
        <v>260</v>
      </c>
      <c r="CP49" s="3" t="s">
        <v>260</v>
      </c>
      <c r="CQ49" s="3" t="s">
        <v>260</v>
      </c>
    </row>
    <row r="50" spans="6:95" x14ac:dyDescent="0.25">
      <c r="F50" s="450"/>
      <c r="G50" s="6"/>
      <c r="H50" s="131"/>
      <c r="CJ50" s="3" t="s">
        <v>260</v>
      </c>
      <c r="CK50" s="3" t="s">
        <v>260</v>
      </c>
      <c r="CL50" s="3" t="s">
        <v>260</v>
      </c>
      <c r="CM50" s="3" t="s">
        <v>260</v>
      </c>
      <c r="CN50" s="3" t="s">
        <v>260</v>
      </c>
      <c r="CO50" s="3" t="s">
        <v>260</v>
      </c>
      <c r="CP50" s="3" t="s">
        <v>260</v>
      </c>
      <c r="CQ50" s="3" t="s">
        <v>260</v>
      </c>
    </row>
    <row r="51" spans="6:95" x14ac:dyDescent="0.25">
      <c r="F51" s="450"/>
      <c r="G51" s="6"/>
      <c r="H51" s="131"/>
      <c r="CJ51" s="3" t="s">
        <v>260</v>
      </c>
      <c r="CK51" s="3" t="s">
        <v>260</v>
      </c>
      <c r="CL51" s="3" t="s">
        <v>260</v>
      </c>
      <c r="CM51" s="3" t="s">
        <v>260</v>
      </c>
      <c r="CN51" s="3" t="s">
        <v>260</v>
      </c>
      <c r="CO51" s="3" t="s">
        <v>260</v>
      </c>
      <c r="CP51" s="3" t="s">
        <v>260</v>
      </c>
      <c r="CQ51" s="3" t="s">
        <v>260</v>
      </c>
    </row>
    <row r="52" spans="6:95" x14ac:dyDescent="0.25">
      <c r="F52" s="450"/>
      <c r="G52" s="6"/>
      <c r="H52" s="131"/>
      <c r="CJ52" s="3" t="s">
        <v>260</v>
      </c>
      <c r="CK52" s="3" t="s">
        <v>260</v>
      </c>
      <c r="CL52" s="3" t="s">
        <v>260</v>
      </c>
      <c r="CM52" s="3" t="s">
        <v>260</v>
      </c>
      <c r="CN52" s="3" t="s">
        <v>260</v>
      </c>
      <c r="CO52" s="3" t="s">
        <v>260</v>
      </c>
      <c r="CP52" s="3" t="s">
        <v>260</v>
      </c>
      <c r="CQ52" s="3" t="s">
        <v>260</v>
      </c>
    </row>
    <row r="53" spans="6:95" x14ac:dyDescent="0.25">
      <c r="F53" s="450"/>
      <c r="G53" s="6"/>
      <c r="H53" s="131"/>
      <c r="CJ53" s="3" t="s">
        <v>260</v>
      </c>
      <c r="CK53" s="3" t="s">
        <v>260</v>
      </c>
      <c r="CL53" s="3" t="s">
        <v>260</v>
      </c>
      <c r="CM53" s="3" t="s">
        <v>260</v>
      </c>
      <c r="CN53" s="3" t="s">
        <v>260</v>
      </c>
      <c r="CO53" s="3" t="s">
        <v>260</v>
      </c>
      <c r="CP53" s="3" t="s">
        <v>260</v>
      </c>
      <c r="CQ53" s="3" t="s">
        <v>260</v>
      </c>
    </row>
    <row r="54" spans="6:95" x14ac:dyDescent="0.25">
      <c r="F54" s="450"/>
      <c r="G54" s="6"/>
      <c r="H54" s="131"/>
      <c r="CJ54" s="3" t="s">
        <v>260</v>
      </c>
      <c r="CK54" s="3" t="s">
        <v>260</v>
      </c>
      <c r="CL54" s="3" t="s">
        <v>260</v>
      </c>
      <c r="CM54" s="3" t="s">
        <v>260</v>
      </c>
      <c r="CN54" s="3" t="s">
        <v>260</v>
      </c>
      <c r="CO54" s="3" t="s">
        <v>260</v>
      </c>
      <c r="CP54" s="3" t="s">
        <v>260</v>
      </c>
      <c r="CQ54" s="3" t="s">
        <v>260</v>
      </c>
    </row>
    <row r="55" spans="6:95" x14ac:dyDescent="0.25">
      <c r="F55" s="450"/>
      <c r="G55" s="6"/>
      <c r="H55" s="131"/>
      <c r="CJ55" s="3" t="s">
        <v>260</v>
      </c>
      <c r="CK55" s="3" t="s">
        <v>260</v>
      </c>
      <c r="CL55" s="3" t="s">
        <v>260</v>
      </c>
      <c r="CM55" s="3" t="s">
        <v>260</v>
      </c>
      <c r="CN55" s="3" t="s">
        <v>260</v>
      </c>
      <c r="CO55" s="3" t="s">
        <v>260</v>
      </c>
      <c r="CP55" s="3" t="s">
        <v>260</v>
      </c>
      <c r="CQ55" s="3" t="s">
        <v>260</v>
      </c>
    </row>
    <row r="56" spans="6:95" x14ac:dyDescent="0.25">
      <c r="F56" s="452"/>
      <c r="G56" s="6"/>
      <c r="H56" s="131"/>
      <c r="CJ56" s="3" t="s">
        <v>260</v>
      </c>
      <c r="CK56" s="3" t="s">
        <v>260</v>
      </c>
      <c r="CL56" s="3" t="s">
        <v>260</v>
      </c>
      <c r="CM56" s="3" t="s">
        <v>260</v>
      </c>
      <c r="CN56" s="3" t="s">
        <v>260</v>
      </c>
      <c r="CO56" s="3" t="s">
        <v>260</v>
      </c>
      <c r="CP56" s="3" t="s">
        <v>260</v>
      </c>
      <c r="CQ56" s="3" t="s">
        <v>260</v>
      </c>
    </row>
    <row r="57" spans="6:95" x14ac:dyDescent="0.25">
      <c r="F57" s="450"/>
      <c r="G57" s="6"/>
      <c r="H57" s="131"/>
      <c r="CJ57" s="3" t="s">
        <v>260</v>
      </c>
      <c r="CK57" s="3" t="s">
        <v>260</v>
      </c>
      <c r="CL57" s="3" t="s">
        <v>260</v>
      </c>
      <c r="CM57" s="3" t="s">
        <v>260</v>
      </c>
      <c r="CN57" s="3" t="s">
        <v>260</v>
      </c>
      <c r="CO57" s="3" t="s">
        <v>260</v>
      </c>
      <c r="CP57" s="3" t="s">
        <v>260</v>
      </c>
      <c r="CQ57" s="3" t="s">
        <v>260</v>
      </c>
    </row>
    <row r="58" spans="6:95" x14ac:dyDescent="0.25">
      <c r="F58" s="450"/>
      <c r="G58" s="6"/>
      <c r="H58" s="131"/>
      <c r="CJ58" s="3" t="s">
        <v>260</v>
      </c>
      <c r="CK58" s="3" t="s">
        <v>260</v>
      </c>
      <c r="CL58" s="3" t="s">
        <v>260</v>
      </c>
      <c r="CM58" s="3" t="s">
        <v>260</v>
      </c>
      <c r="CN58" s="3" t="s">
        <v>260</v>
      </c>
      <c r="CO58" s="3" t="s">
        <v>260</v>
      </c>
      <c r="CP58" s="3" t="s">
        <v>260</v>
      </c>
      <c r="CQ58" s="3" t="s">
        <v>260</v>
      </c>
    </row>
    <row r="59" spans="6:95" x14ac:dyDescent="0.25">
      <c r="F59" s="450"/>
      <c r="G59" s="6"/>
      <c r="H59" s="131"/>
      <c r="CJ59" s="3" t="s">
        <v>260</v>
      </c>
      <c r="CK59" s="3" t="s">
        <v>260</v>
      </c>
      <c r="CL59" s="3" t="s">
        <v>260</v>
      </c>
      <c r="CM59" s="3" t="s">
        <v>260</v>
      </c>
      <c r="CN59" s="3" t="s">
        <v>260</v>
      </c>
      <c r="CO59" s="3" t="s">
        <v>260</v>
      </c>
      <c r="CP59" s="3" t="s">
        <v>260</v>
      </c>
      <c r="CQ59" s="3" t="s">
        <v>260</v>
      </c>
    </row>
    <row r="60" spans="6:95" x14ac:dyDescent="0.25">
      <c r="F60" s="450"/>
      <c r="G60" s="6"/>
      <c r="H60" s="131"/>
      <c r="CJ60" s="3" t="s">
        <v>260</v>
      </c>
      <c r="CK60" s="3" t="s">
        <v>260</v>
      </c>
      <c r="CL60" s="3" t="s">
        <v>260</v>
      </c>
      <c r="CM60" s="3" t="s">
        <v>260</v>
      </c>
      <c r="CN60" s="3" t="s">
        <v>260</v>
      </c>
      <c r="CO60" s="3" t="s">
        <v>260</v>
      </c>
      <c r="CP60" s="3" t="s">
        <v>260</v>
      </c>
      <c r="CQ60" s="3" t="s">
        <v>260</v>
      </c>
    </row>
    <row r="61" spans="6:95" x14ac:dyDescent="0.25">
      <c r="F61" s="450"/>
      <c r="G61" s="6"/>
      <c r="H61" s="131"/>
      <c r="CJ61" s="3" t="s">
        <v>260</v>
      </c>
      <c r="CK61" s="3" t="s">
        <v>260</v>
      </c>
      <c r="CL61" s="3" t="s">
        <v>260</v>
      </c>
      <c r="CM61" s="3" t="s">
        <v>260</v>
      </c>
      <c r="CN61" s="3" t="s">
        <v>260</v>
      </c>
      <c r="CO61" s="3" t="s">
        <v>260</v>
      </c>
      <c r="CP61" s="3" t="s">
        <v>260</v>
      </c>
      <c r="CQ61" s="3" t="s">
        <v>260</v>
      </c>
    </row>
    <row r="62" spans="6:95" x14ac:dyDescent="0.25">
      <c r="F62" s="450"/>
      <c r="G62" s="6"/>
      <c r="H62" s="131"/>
      <c r="CJ62" s="3" t="s">
        <v>260</v>
      </c>
      <c r="CK62" s="3" t="s">
        <v>260</v>
      </c>
      <c r="CL62" s="3" t="s">
        <v>260</v>
      </c>
      <c r="CM62" s="3" t="s">
        <v>260</v>
      </c>
      <c r="CN62" s="3" t="s">
        <v>260</v>
      </c>
      <c r="CO62" s="3" t="s">
        <v>260</v>
      </c>
      <c r="CP62" s="3" t="s">
        <v>260</v>
      </c>
      <c r="CQ62" s="3" t="s">
        <v>260</v>
      </c>
    </row>
    <row r="63" spans="6:95" x14ac:dyDescent="0.25">
      <c r="F63" s="450"/>
      <c r="G63" s="6"/>
      <c r="H63" s="131"/>
      <c r="CJ63" s="3" t="s">
        <v>260</v>
      </c>
      <c r="CK63" s="3" t="s">
        <v>260</v>
      </c>
      <c r="CL63" s="3" t="s">
        <v>260</v>
      </c>
      <c r="CM63" s="3" t="s">
        <v>260</v>
      </c>
      <c r="CN63" s="3" t="s">
        <v>260</v>
      </c>
      <c r="CO63" s="3" t="s">
        <v>260</v>
      </c>
      <c r="CP63" s="3" t="s">
        <v>260</v>
      </c>
      <c r="CQ63" s="3" t="s">
        <v>260</v>
      </c>
    </row>
    <row r="64" spans="6:95" x14ac:dyDescent="0.25">
      <c r="F64" s="452"/>
      <c r="G64" s="6"/>
      <c r="H64" s="131"/>
      <c r="CJ64" s="3" t="s">
        <v>260</v>
      </c>
      <c r="CK64" s="3" t="s">
        <v>260</v>
      </c>
      <c r="CL64" s="3" t="s">
        <v>260</v>
      </c>
      <c r="CM64" s="3" t="s">
        <v>260</v>
      </c>
      <c r="CN64" s="3" t="s">
        <v>260</v>
      </c>
      <c r="CO64" s="3" t="s">
        <v>260</v>
      </c>
      <c r="CP64" s="3" t="s">
        <v>260</v>
      </c>
      <c r="CQ64" s="3" t="s">
        <v>260</v>
      </c>
    </row>
    <row r="65" spans="1:95" x14ac:dyDescent="0.25">
      <c r="F65" s="452"/>
      <c r="G65" s="6"/>
      <c r="H65" s="131"/>
      <c r="CJ65" s="3" t="s">
        <v>260</v>
      </c>
      <c r="CK65" s="3" t="s">
        <v>260</v>
      </c>
      <c r="CL65" s="3" t="s">
        <v>260</v>
      </c>
      <c r="CM65" s="3" t="s">
        <v>260</v>
      </c>
      <c r="CN65" s="3" t="s">
        <v>260</v>
      </c>
      <c r="CO65" s="3" t="s">
        <v>260</v>
      </c>
      <c r="CP65" s="3" t="s">
        <v>260</v>
      </c>
      <c r="CQ65" s="3" t="s">
        <v>260</v>
      </c>
    </row>
    <row r="66" spans="1:95" x14ac:dyDescent="0.25">
      <c r="F66" s="452"/>
      <c r="G66" s="6"/>
      <c r="H66" s="131"/>
      <c r="CJ66" s="3" t="s">
        <v>260</v>
      </c>
      <c r="CK66" s="3" t="s">
        <v>260</v>
      </c>
      <c r="CL66" s="3" t="s">
        <v>260</v>
      </c>
      <c r="CM66" s="3" t="s">
        <v>260</v>
      </c>
      <c r="CN66" s="3" t="s">
        <v>260</v>
      </c>
      <c r="CO66" s="3" t="s">
        <v>260</v>
      </c>
      <c r="CP66" s="3" t="s">
        <v>260</v>
      </c>
      <c r="CQ66" s="3" t="s">
        <v>260</v>
      </c>
    </row>
    <row r="67" spans="1:95" x14ac:dyDescent="0.25">
      <c r="F67" s="450"/>
      <c r="G67" s="5"/>
      <c r="H67" s="131"/>
      <c r="CJ67" s="3" t="s">
        <v>260</v>
      </c>
      <c r="CK67" s="3" t="s">
        <v>260</v>
      </c>
      <c r="CL67" s="3" t="s">
        <v>260</v>
      </c>
      <c r="CM67" s="3" t="s">
        <v>260</v>
      </c>
      <c r="CN67" s="3" t="s">
        <v>260</v>
      </c>
      <c r="CO67" s="3" t="s">
        <v>260</v>
      </c>
      <c r="CP67" s="3" t="s">
        <v>260</v>
      </c>
      <c r="CQ67" s="3" t="s">
        <v>260</v>
      </c>
    </row>
    <row r="68" spans="1:95" x14ac:dyDescent="0.25">
      <c r="A68" s="133"/>
      <c r="D68" s="133"/>
      <c r="F68" s="450"/>
      <c r="G68" s="5"/>
      <c r="H68" s="131"/>
      <c r="CJ68" s="3" t="s">
        <v>260</v>
      </c>
      <c r="CK68" s="3" t="s">
        <v>260</v>
      </c>
      <c r="CL68" s="3" t="s">
        <v>260</v>
      </c>
      <c r="CM68" s="3" t="s">
        <v>260</v>
      </c>
      <c r="CN68" s="3" t="s">
        <v>260</v>
      </c>
      <c r="CO68" s="3" t="s">
        <v>260</v>
      </c>
      <c r="CP68" s="3" t="s">
        <v>260</v>
      </c>
      <c r="CQ68" s="3" t="s">
        <v>260</v>
      </c>
    </row>
    <row r="69" spans="1:95" x14ac:dyDescent="0.25">
      <c r="F69" s="450"/>
      <c r="G69" s="5"/>
      <c r="H69" s="131"/>
      <c r="CJ69" s="3" t="s">
        <v>260</v>
      </c>
      <c r="CK69" s="3" t="s">
        <v>260</v>
      </c>
      <c r="CL69" s="3" t="s">
        <v>260</v>
      </c>
      <c r="CM69" s="3" t="s">
        <v>260</v>
      </c>
      <c r="CN69" s="3" t="s">
        <v>260</v>
      </c>
      <c r="CO69" s="3" t="s">
        <v>260</v>
      </c>
      <c r="CP69" s="3" t="s">
        <v>260</v>
      </c>
      <c r="CQ69" s="3" t="s">
        <v>260</v>
      </c>
    </row>
    <row r="70" spans="1:95" x14ac:dyDescent="0.25">
      <c r="F70" s="450"/>
      <c r="G70" s="5"/>
      <c r="H70" s="131"/>
      <c r="CJ70" s="3" t="s">
        <v>260</v>
      </c>
      <c r="CK70" s="3" t="s">
        <v>260</v>
      </c>
      <c r="CL70" s="3" t="s">
        <v>260</v>
      </c>
      <c r="CM70" s="3" t="s">
        <v>260</v>
      </c>
      <c r="CN70" s="3" t="s">
        <v>260</v>
      </c>
      <c r="CO70" s="3" t="s">
        <v>260</v>
      </c>
      <c r="CP70" s="3" t="s">
        <v>260</v>
      </c>
      <c r="CQ70" s="3" t="s">
        <v>260</v>
      </c>
    </row>
    <row r="71" spans="1:95" x14ac:dyDescent="0.25">
      <c r="F71" s="450"/>
      <c r="G71" s="5"/>
      <c r="H71" s="131"/>
      <c r="CJ71" s="3" t="s">
        <v>260</v>
      </c>
      <c r="CK71" s="3" t="s">
        <v>260</v>
      </c>
      <c r="CL71" s="3" t="s">
        <v>260</v>
      </c>
      <c r="CM71" s="3" t="s">
        <v>260</v>
      </c>
      <c r="CN71" s="3" t="s">
        <v>260</v>
      </c>
      <c r="CO71" s="3" t="s">
        <v>260</v>
      </c>
      <c r="CP71" s="3" t="s">
        <v>260</v>
      </c>
      <c r="CQ71" s="3" t="s">
        <v>260</v>
      </c>
    </row>
    <row r="72" spans="1:95" x14ac:dyDescent="0.25">
      <c r="F72" s="450"/>
      <c r="G72" s="5"/>
      <c r="H72" s="131"/>
      <c r="CJ72" s="3" t="s">
        <v>260</v>
      </c>
      <c r="CK72" s="3" t="s">
        <v>260</v>
      </c>
      <c r="CL72" s="3" t="s">
        <v>260</v>
      </c>
      <c r="CM72" s="3" t="s">
        <v>260</v>
      </c>
      <c r="CN72" s="3" t="s">
        <v>260</v>
      </c>
      <c r="CO72" s="3" t="s">
        <v>260</v>
      </c>
      <c r="CP72" s="3" t="s">
        <v>260</v>
      </c>
      <c r="CQ72" s="3" t="s">
        <v>260</v>
      </c>
    </row>
    <row r="73" spans="1:95" x14ac:dyDescent="0.25">
      <c r="F73" s="450"/>
      <c r="G73" s="5"/>
      <c r="H73" s="131"/>
      <c r="CJ73" s="3" t="s">
        <v>260</v>
      </c>
      <c r="CK73" s="3" t="s">
        <v>260</v>
      </c>
      <c r="CL73" s="3" t="s">
        <v>260</v>
      </c>
      <c r="CM73" s="3" t="s">
        <v>260</v>
      </c>
      <c r="CN73" s="3" t="s">
        <v>260</v>
      </c>
      <c r="CO73" s="3" t="s">
        <v>260</v>
      </c>
      <c r="CP73" s="3" t="s">
        <v>260</v>
      </c>
      <c r="CQ73" s="3" t="s">
        <v>260</v>
      </c>
    </row>
    <row r="74" spans="1:95" x14ac:dyDescent="0.25">
      <c r="F74" s="450"/>
      <c r="G74" s="5"/>
      <c r="H74" s="131"/>
      <c r="CJ74" s="3" t="s">
        <v>260</v>
      </c>
      <c r="CK74" s="3" t="s">
        <v>260</v>
      </c>
      <c r="CL74" s="3" t="s">
        <v>260</v>
      </c>
      <c r="CM74" s="3" t="s">
        <v>260</v>
      </c>
      <c r="CN74" s="3" t="s">
        <v>260</v>
      </c>
      <c r="CO74" s="3" t="s">
        <v>260</v>
      </c>
      <c r="CP74" s="3" t="s">
        <v>260</v>
      </c>
      <c r="CQ74" s="3" t="s">
        <v>260</v>
      </c>
    </row>
    <row r="75" spans="1:95" x14ac:dyDescent="0.25">
      <c r="F75" s="450"/>
      <c r="G75" s="5"/>
      <c r="H75" s="131"/>
      <c r="CJ75" s="3" t="s">
        <v>260</v>
      </c>
      <c r="CK75" s="3" t="s">
        <v>260</v>
      </c>
      <c r="CL75" s="3" t="s">
        <v>260</v>
      </c>
      <c r="CM75" s="3" t="s">
        <v>260</v>
      </c>
      <c r="CN75" s="3" t="s">
        <v>260</v>
      </c>
      <c r="CO75" s="3" t="s">
        <v>260</v>
      </c>
      <c r="CP75" s="3" t="s">
        <v>260</v>
      </c>
      <c r="CQ75" s="3" t="s">
        <v>260</v>
      </c>
    </row>
    <row r="76" spans="1:95" x14ac:dyDescent="0.25">
      <c r="F76" s="450"/>
      <c r="G76" s="5"/>
      <c r="H76" s="131"/>
      <c r="CJ76" s="3" t="s">
        <v>260</v>
      </c>
      <c r="CK76" s="3" t="s">
        <v>260</v>
      </c>
      <c r="CL76" s="3" t="s">
        <v>260</v>
      </c>
      <c r="CM76" s="3" t="s">
        <v>260</v>
      </c>
      <c r="CN76" s="3" t="s">
        <v>260</v>
      </c>
      <c r="CO76" s="3" t="s">
        <v>260</v>
      </c>
      <c r="CP76" s="3" t="s">
        <v>260</v>
      </c>
      <c r="CQ76" s="3" t="s">
        <v>260</v>
      </c>
    </row>
    <row r="77" spans="1:95" x14ac:dyDescent="0.25">
      <c r="A77" s="133"/>
      <c r="F77" s="450"/>
      <c r="G77" s="5"/>
      <c r="H77" s="131"/>
      <c r="CJ77" s="3" t="s">
        <v>260</v>
      </c>
      <c r="CK77" s="3" t="s">
        <v>260</v>
      </c>
      <c r="CL77" s="3" t="s">
        <v>260</v>
      </c>
      <c r="CM77" s="3" t="s">
        <v>260</v>
      </c>
      <c r="CN77" s="3" t="s">
        <v>260</v>
      </c>
      <c r="CO77" s="3" t="s">
        <v>260</v>
      </c>
      <c r="CP77" s="3" t="s">
        <v>260</v>
      </c>
      <c r="CQ77" s="3" t="s">
        <v>260</v>
      </c>
    </row>
    <row r="78" spans="1:95" x14ac:dyDescent="0.25">
      <c r="F78" s="450"/>
      <c r="G78" s="5"/>
      <c r="H78" s="131"/>
      <c r="CJ78" s="3" t="s">
        <v>260</v>
      </c>
      <c r="CK78" s="3" t="s">
        <v>260</v>
      </c>
      <c r="CL78" s="3" t="s">
        <v>260</v>
      </c>
      <c r="CM78" s="3" t="s">
        <v>260</v>
      </c>
      <c r="CN78" s="3" t="s">
        <v>260</v>
      </c>
      <c r="CO78" s="3" t="s">
        <v>260</v>
      </c>
      <c r="CP78" s="3" t="s">
        <v>260</v>
      </c>
      <c r="CQ78" s="3" t="s">
        <v>260</v>
      </c>
    </row>
    <row r="79" spans="1:95" x14ac:dyDescent="0.25">
      <c r="F79" s="450"/>
      <c r="G79" s="5"/>
      <c r="H79" s="131"/>
      <c r="CJ79" s="3" t="s">
        <v>260</v>
      </c>
      <c r="CK79" s="3" t="s">
        <v>260</v>
      </c>
      <c r="CL79" s="3" t="s">
        <v>260</v>
      </c>
      <c r="CM79" s="3" t="s">
        <v>260</v>
      </c>
      <c r="CN79" s="3" t="s">
        <v>260</v>
      </c>
      <c r="CO79" s="3" t="s">
        <v>260</v>
      </c>
      <c r="CP79" s="3" t="s">
        <v>260</v>
      </c>
      <c r="CQ79" s="3" t="s">
        <v>260</v>
      </c>
    </row>
    <row r="80" spans="1:95" x14ac:dyDescent="0.25">
      <c r="F80" s="450"/>
      <c r="G80" s="5"/>
      <c r="H80" s="131"/>
      <c r="CJ80" s="3" t="s">
        <v>260</v>
      </c>
      <c r="CK80" s="3" t="s">
        <v>260</v>
      </c>
      <c r="CL80" s="3" t="s">
        <v>260</v>
      </c>
      <c r="CM80" s="3" t="s">
        <v>260</v>
      </c>
      <c r="CN80" s="3" t="s">
        <v>260</v>
      </c>
      <c r="CO80" s="3" t="s">
        <v>260</v>
      </c>
      <c r="CP80" s="3" t="s">
        <v>260</v>
      </c>
      <c r="CQ80" s="3" t="s">
        <v>260</v>
      </c>
    </row>
    <row r="81" spans="6:95" x14ac:dyDescent="0.25">
      <c r="F81" s="450"/>
      <c r="G81" s="5"/>
      <c r="H81" s="131"/>
      <c r="CJ81" s="3" t="s">
        <v>260</v>
      </c>
      <c r="CK81" s="3" t="s">
        <v>260</v>
      </c>
      <c r="CL81" s="3" t="s">
        <v>260</v>
      </c>
      <c r="CM81" s="3" t="s">
        <v>260</v>
      </c>
      <c r="CN81" s="3" t="s">
        <v>260</v>
      </c>
      <c r="CO81" s="3" t="s">
        <v>260</v>
      </c>
      <c r="CP81" s="3" t="s">
        <v>260</v>
      </c>
      <c r="CQ81" s="3" t="s">
        <v>260</v>
      </c>
    </row>
    <row r="82" spans="6:95" x14ac:dyDescent="0.25">
      <c r="F82" s="450"/>
      <c r="G82" s="5"/>
      <c r="H82" s="131"/>
      <c r="CJ82" s="3" t="s">
        <v>260</v>
      </c>
      <c r="CK82" s="3" t="s">
        <v>260</v>
      </c>
      <c r="CL82" s="3" t="s">
        <v>260</v>
      </c>
      <c r="CM82" s="3" t="s">
        <v>260</v>
      </c>
      <c r="CN82" s="3" t="s">
        <v>260</v>
      </c>
      <c r="CO82" s="3" t="s">
        <v>260</v>
      </c>
      <c r="CP82" s="3" t="s">
        <v>260</v>
      </c>
      <c r="CQ82" s="3" t="s">
        <v>260</v>
      </c>
    </row>
    <row r="83" spans="6:95" x14ac:dyDescent="0.25">
      <c r="F83" s="450"/>
      <c r="G83" s="5"/>
      <c r="H83" s="131"/>
      <c r="CJ83" s="3" t="s">
        <v>260</v>
      </c>
      <c r="CK83" s="3" t="s">
        <v>260</v>
      </c>
      <c r="CL83" s="3" t="s">
        <v>260</v>
      </c>
      <c r="CM83" s="3" t="s">
        <v>260</v>
      </c>
      <c r="CN83" s="3" t="s">
        <v>260</v>
      </c>
      <c r="CO83" s="3" t="s">
        <v>260</v>
      </c>
      <c r="CP83" s="3" t="s">
        <v>260</v>
      </c>
      <c r="CQ83" s="3" t="s">
        <v>260</v>
      </c>
    </row>
    <row r="84" spans="6:95" x14ac:dyDescent="0.25">
      <c r="F84" s="450"/>
      <c r="G84" s="5"/>
      <c r="H84" s="131"/>
      <c r="CJ84" s="3" t="s">
        <v>260</v>
      </c>
      <c r="CK84" s="3" t="s">
        <v>260</v>
      </c>
      <c r="CL84" s="3" t="s">
        <v>260</v>
      </c>
      <c r="CM84" s="3" t="s">
        <v>260</v>
      </c>
      <c r="CN84" s="3" t="s">
        <v>260</v>
      </c>
      <c r="CO84" s="3" t="s">
        <v>260</v>
      </c>
      <c r="CP84" s="3" t="s">
        <v>260</v>
      </c>
      <c r="CQ84" s="3" t="s">
        <v>260</v>
      </c>
    </row>
    <row r="85" spans="6:95" x14ac:dyDescent="0.25">
      <c r="F85" s="450"/>
      <c r="G85" s="5"/>
      <c r="H85" s="131"/>
      <c r="CJ85" s="3" t="s">
        <v>260</v>
      </c>
      <c r="CK85" s="3" t="s">
        <v>260</v>
      </c>
      <c r="CL85" s="3" t="s">
        <v>260</v>
      </c>
      <c r="CM85" s="3" t="s">
        <v>260</v>
      </c>
      <c r="CN85" s="3" t="s">
        <v>260</v>
      </c>
      <c r="CO85" s="3" t="s">
        <v>260</v>
      </c>
      <c r="CP85" s="3" t="s">
        <v>260</v>
      </c>
      <c r="CQ85" s="3" t="s">
        <v>260</v>
      </c>
    </row>
    <row r="86" spans="6:95" x14ac:dyDescent="0.25">
      <c r="F86" s="450"/>
      <c r="G86" s="5"/>
      <c r="H86" s="131"/>
      <c r="CJ86" s="3" t="s">
        <v>260</v>
      </c>
      <c r="CK86" s="3" t="s">
        <v>260</v>
      </c>
      <c r="CL86" s="3" t="s">
        <v>260</v>
      </c>
      <c r="CM86" s="3" t="s">
        <v>260</v>
      </c>
      <c r="CN86" s="3" t="s">
        <v>260</v>
      </c>
      <c r="CO86" s="3" t="s">
        <v>260</v>
      </c>
      <c r="CP86" s="3" t="s">
        <v>260</v>
      </c>
      <c r="CQ86" s="3" t="s">
        <v>260</v>
      </c>
    </row>
    <row r="87" spans="6:95" x14ac:dyDescent="0.25">
      <c r="F87" s="450"/>
      <c r="G87" s="5"/>
      <c r="H87" s="131"/>
      <c r="CJ87" s="3" t="s">
        <v>260</v>
      </c>
      <c r="CK87" s="3" t="s">
        <v>260</v>
      </c>
      <c r="CL87" s="3" t="s">
        <v>260</v>
      </c>
      <c r="CM87" s="3" t="s">
        <v>260</v>
      </c>
      <c r="CN87" s="3" t="s">
        <v>260</v>
      </c>
      <c r="CO87" s="3" t="s">
        <v>260</v>
      </c>
      <c r="CP87" s="3" t="s">
        <v>260</v>
      </c>
      <c r="CQ87" s="3" t="s">
        <v>260</v>
      </c>
    </row>
    <row r="88" spans="6:95" x14ac:dyDescent="0.25">
      <c r="F88" s="450"/>
      <c r="G88" s="5"/>
      <c r="H88" s="131"/>
      <c r="CJ88" s="3" t="s">
        <v>260</v>
      </c>
      <c r="CK88" s="3" t="s">
        <v>260</v>
      </c>
      <c r="CL88" s="3" t="s">
        <v>260</v>
      </c>
      <c r="CM88" s="3" t="s">
        <v>260</v>
      </c>
      <c r="CN88" s="3" t="s">
        <v>260</v>
      </c>
      <c r="CO88" s="3" t="s">
        <v>260</v>
      </c>
      <c r="CP88" s="3" t="s">
        <v>260</v>
      </c>
      <c r="CQ88" s="3" t="s">
        <v>260</v>
      </c>
    </row>
    <row r="89" spans="6:95" x14ac:dyDescent="0.25">
      <c r="F89" s="450"/>
      <c r="G89" s="5"/>
      <c r="H89" s="131"/>
      <c r="CJ89" s="3" t="s">
        <v>260</v>
      </c>
      <c r="CK89" s="3" t="s">
        <v>260</v>
      </c>
      <c r="CL89" s="3" t="s">
        <v>260</v>
      </c>
      <c r="CM89" s="3" t="s">
        <v>260</v>
      </c>
      <c r="CN89" s="3" t="s">
        <v>260</v>
      </c>
      <c r="CO89" s="3" t="s">
        <v>260</v>
      </c>
      <c r="CP89" s="3" t="s">
        <v>260</v>
      </c>
      <c r="CQ89" s="3" t="s">
        <v>260</v>
      </c>
    </row>
    <row r="90" spans="6:95" x14ac:dyDescent="0.25">
      <c r="F90" s="450"/>
      <c r="G90" s="5"/>
      <c r="H90" s="132"/>
      <c r="CJ90" s="3" t="s">
        <v>260</v>
      </c>
      <c r="CK90" s="3" t="s">
        <v>260</v>
      </c>
      <c r="CL90" s="3" t="s">
        <v>260</v>
      </c>
      <c r="CM90" s="3" t="s">
        <v>260</v>
      </c>
      <c r="CN90" s="3" t="s">
        <v>260</v>
      </c>
      <c r="CO90" s="3" t="s">
        <v>260</v>
      </c>
      <c r="CP90" s="3" t="s">
        <v>260</v>
      </c>
      <c r="CQ90" s="3" t="s">
        <v>260</v>
      </c>
    </row>
    <row r="91" spans="6:95" x14ac:dyDescent="0.25">
      <c r="F91" s="450"/>
      <c r="G91" s="5"/>
      <c r="H91" s="132"/>
      <c r="CJ91" s="3" t="s">
        <v>260</v>
      </c>
      <c r="CK91" s="3" t="s">
        <v>260</v>
      </c>
      <c r="CL91" s="3" t="s">
        <v>260</v>
      </c>
      <c r="CM91" s="3" t="s">
        <v>260</v>
      </c>
      <c r="CN91" s="3" t="s">
        <v>260</v>
      </c>
      <c r="CO91" s="3" t="s">
        <v>260</v>
      </c>
      <c r="CP91" s="3" t="s">
        <v>260</v>
      </c>
      <c r="CQ91" s="3" t="s">
        <v>260</v>
      </c>
    </row>
    <row r="92" spans="6:95" x14ac:dyDescent="0.25">
      <c r="F92" s="450"/>
      <c r="G92" s="5"/>
      <c r="H92" s="132"/>
      <c r="CJ92" s="3" t="s">
        <v>260</v>
      </c>
      <c r="CK92" s="3" t="s">
        <v>260</v>
      </c>
      <c r="CL92" s="3" t="s">
        <v>260</v>
      </c>
      <c r="CM92" s="3" t="s">
        <v>260</v>
      </c>
      <c r="CN92" s="3" t="s">
        <v>260</v>
      </c>
      <c r="CO92" s="3" t="s">
        <v>260</v>
      </c>
      <c r="CP92" s="3" t="s">
        <v>260</v>
      </c>
      <c r="CQ92" s="3" t="s">
        <v>260</v>
      </c>
    </row>
    <row r="93" spans="6:95" x14ac:dyDescent="0.25">
      <c r="F93" s="450"/>
      <c r="G93" s="5"/>
      <c r="H93" s="131"/>
      <c r="CJ93" s="3" t="s">
        <v>260</v>
      </c>
      <c r="CK93" s="3" t="s">
        <v>260</v>
      </c>
      <c r="CL93" s="3" t="s">
        <v>260</v>
      </c>
      <c r="CM93" s="3" t="s">
        <v>260</v>
      </c>
      <c r="CN93" s="3" t="s">
        <v>260</v>
      </c>
      <c r="CO93" s="3" t="s">
        <v>260</v>
      </c>
      <c r="CP93" s="3" t="s">
        <v>260</v>
      </c>
      <c r="CQ93" s="3" t="s">
        <v>260</v>
      </c>
    </row>
    <row r="94" spans="6:95" x14ac:dyDescent="0.25">
      <c r="F94" s="450"/>
      <c r="G94" s="5"/>
      <c r="H94" s="131"/>
      <c r="CJ94" s="3" t="s">
        <v>260</v>
      </c>
      <c r="CK94" s="3" t="s">
        <v>260</v>
      </c>
      <c r="CL94" s="3" t="s">
        <v>260</v>
      </c>
      <c r="CM94" s="3" t="s">
        <v>260</v>
      </c>
      <c r="CN94" s="3" t="s">
        <v>260</v>
      </c>
      <c r="CO94" s="3" t="s">
        <v>260</v>
      </c>
      <c r="CP94" s="3" t="s">
        <v>260</v>
      </c>
      <c r="CQ94" s="3" t="s">
        <v>260</v>
      </c>
    </row>
    <row r="95" spans="6:95" x14ac:dyDescent="0.25">
      <c r="F95" s="450"/>
      <c r="G95" s="5"/>
      <c r="H95" s="131"/>
      <c r="CJ95" s="3" t="s">
        <v>260</v>
      </c>
      <c r="CK95" s="3" t="s">
        <v>260</v>
      </c>
      <c r="CL95" s="3" t="s">
        <v>260</v>
      </c>
      <c r="CM95" s="3" t="s">
        <v>260</v>
      </c>
      <c r="CN95" s="3" t="s">
        <v>260</v>
      </c>
      <c r="CO95" s="3" t="s">
        <v>260</v>
      </c>
      <c r="CP95" s="3" t="s">
        <v>260</v>
      </c>
      <c r="CQ95" s="3" t="s">
        <v>260</v>
      </c>
    </row>
    <row r="96" spans="6:95" x14ac:dyDescent="0.25">
      <c r="F96" s="450"/>
      <c r="G96" s="5"/>
      <c r="H96" s="131"/>
      <c r="CJ96" s="3" t="s">
        <v>260</v>
      </c>
      <c r="CK96" s="3" t="s">
        <v>260</v>
      </c>
      <c r="CL96" s="3" t="s">
        <v>260</v>
      </c>
      <c r="CM96" s="3" t="s">
        <v>260</v>
      </c>
      <c r="CN96" s="3" t="s">
        <v>260</v>
      </c>
      <c r="CO96" s="3" t="s">
        <v>260</v>
      </c>
      <c r="CP96" s="3" t="s">
        <v>260</v>
      </c>
      <c r="CQ96" s="3" t="s">
        <v>260</v>
      </c>
    </row>
    <row r="97" spans="6:95" x14ac:dyDescent="0.25">
      <c r="F97" s="450"/>
      <c r="G97" s="5"/>
      <c r="H97" s="131"/>
      <c r="CJ97" s="3" t="s">
        <v>260</v>
      </c>
      <c r="CK97" s="3" t="s">
        <v>260</v>
      </c>
      <c r="CL97" s="3" t="s">
        <v>260</v>
      </c>
      <c r="CM97" s="3" t="s">
        <v>260</v>
      </c>
      <c r="CN97" s="3" t="s">
        <v>260</v>
      </c>
      <c r="CO97" s="3" t="s">
        <v>260</v>
      </c>
      <c r="CP97" s="3" t="s">
        <v>260</v>
      </c>
      <c r="CQ97" s="3" t="s">
        <v>260</v>
      </c>
    </row>
    <row r="98" spans="6:95" x14ac:dyDescent="0.25">
      <c r="F98" s="450"/>
      <c r="G98" s="5"/>
      <c r="H98" s="131"/>
      <c r="CJ98" s="3" t="s">
        <v>260</v>
      </c>
      <c r="CK98" s="3" t="s">
        <v>260</v>
      </c>
      <c r="CL98" s="3" t="s">
        <v>260</v>
      </c>
      <c r="CM98" s="3" t="s">
        <v>260</v>
      </c>
      <c r="CN98" s="3" t="s">
        <v>260</v>
      </c>
      <c r="CO98" s="3" t="s">
        <v>260</v>
      </c>
      <c r="CP98" s="3" t="s">
        <v>260</v>
      </c>
      <c r="CQ98" s="3" t="s">
        <v>260</v>
      </c>
    </row>
    <row r="99" spans="6:95" x14ac:dyDescent="0.25">
      <c r="F99" s="450"/>
      <c r="G99" s="5"/>
      <c r="H99" s="131"/>
      <c r="CJ99" s="3" t="s">
        <v>260</v>
      </c>
      <c r="CK99" s="3" t="s">
        <v>260</v>
      </c>
      <c r="CL99" s="3" t="s">
        <v>260</v>
      </c>
      <c r="CM99" s="3" t="s">
        <v>260</v>
      </c>
      <c r="CN99" s="3" t="s">
        <v>260</v>
      </c>
      <c r="CO99" s="3" t="s">
        <v>260</v>
      </c>
      <c r="CP99" s="3" t="s">
        <v>260</v>
      </c>
      <c r="CQ99" s="3" t="s">
        <v>260</v>
      </c>
    </row>
    <row r="100" spans="6:95" x14ac:dyDescent="0.25">
      <c r="F100" s="450"/>
      <c r="G100" s="5"/>
      <c r="H100" s="131"/>
      <c r="CJ100" s="3" t="s">
        <v>260</v>
      </c>
      <c r="CK100" s="3" t="s">
        <v>260</v>
      </c>
      <c r="CL100" s="3" t="s">
        <v>260</v>
      </c>
      <c r="CM100" s="3" t="s">
        <v>260</v>
      </c>
      <c r="CN100" s="3" t="s">
        <v>260</v>
      </c>
      <c r="CO100" s="3" t="s">
        <v>260</v>
      </c>
      <c r="CP100" s="3" t="s">
        <v>260</v>
      </c>
      <c r="CQ100" s="3" t="s">
        <v>260</v>
      </c>
    </row>
    <row r="101" spans="6:95" x14ac:dyDescent="0.25">
      <c r="F101" s="450"/>
      <c r="G101" s="5"/>
      <c r="H101" s="132"/>
      <c r="CJ101" s="3" t="s">
        <v>260</v>
      </c>
      <c r="CK101" s="3" t="s">
        <v>260</v>
      </c>
      <c r="CL101" s="3" t="s">
        <v>260</v>
      </c>
      <c r="CM101" s="3" t="s">
        <v>260</v>
      </c>
      <c r="CN101" s="3" t="s">
        <v>260</v>
      </c>
      <c r="CO101" s="3" t="s">
        <v>260</v>
      </c>
      <c r="CP101" s="3" t="s">
        <v>260</v>
      </c>
      <c r="CQ101" s="3" t="s">
        <v>260</v>
      </c>
    </row>
    <row r="102" spans="6:95" x14ac:dyDescent="0.25">
      <c r="F102" s="450"/>
      <c r="G102" s="5"/>
      <c r="H102" s="131"/>
      <c r="CJ102" s="3" t="s">
        <v>260</v>
      </c>
      <c r="CK102" s="3" t="s">
        <v>260</v>
      </c>
      <c r="CL102" s="3" t="s">
        <v>260</v>
      </c>
      <c r="CM102" s="3" t="s">
        <v>260</v>
      </c>
      <c r="CN102" s="3" t="s">
        <v>260</v>
      </c>
      <c r="CO102" s="3" t="s">
        <v>260</v>
      </c>
      <c r="CP102" s="3" t="s">
        <v>260</v>
      </c>
      <c r="CQ102" s="3" t="s">
        <v>260</v>
      </c>
    </row>
    <row r="103" spans="6:95" x14ac:dyDescent="0.25">
      <c r="F103" s="450"/>
      <c r="G103" s="5"/>
      <c r="H103" s="131"/>
      <c r="CJ103" s="3" t="s">
        <v>260</v>
      </c>
      <c r="CK103" s="3" t="s">
        <v>260</v>
      </c>
      <c r="CL103" s="3" t="s">
        <v>260</v>
      </c>
      <c r="CM103" s="3" t="s">
        <v>260</v>
      </c>
      <c r="CN103" s="3" t="s">
        <v>260</v>
      </c>
      <c r="CO103" s="3" t="s">
        <v>260</v>
      </c>
      <c r="CP103" s="3" t="s">
        <v>260</v>
      </c>
      <c r="CQ103" s="3" t="s">
        <v>260</v>
      </c>
    </row>
    <row r="104" spans="6:95" x14ac:dyDescent="0.25">
      <c r="F104" s="450"/>
      <c r="G104" s="5"/>
      <c r="H104" s="131"/>
      <c r="CJ104" s="3" t="s">
        <v>260</v>
      </c>
      <c r="CK104" s="3" t="s">
        <v>260</v>
      </c>
      <c r="CL104" s="3" t="s">
        <v>260</v>
      </c>
      <c r="CM104" s="3" t="s">
        <v>260</v>
      </c>
      <c r="CN104" s="3" t="s">
        <v>260</v>
      </c>
      <c r="CO104" s="3" t="s">
        <v>260</v>
      </c>
      <c r="CP104" s="3" t="s">
        <v>260</v>
      </c>
      <c r="CQ104" s="3" t="s">
        <v>260</v>
      </c>
    </row>
    <row r="105" spans="6:95" x14ac:dyDescent="0.25">
      <c r="F105" s="450"/>
      <c r="G105" s="5"/>
      <c r="H105" s="131"/>
    </row>
    <row r="106" spans="6:95" x14ac:dyDescent="0.25">
      <c r="F106" s="450"/>
      <c r="G106" s="5"/>
      <c r="H106" s="131"/>
    </row>
    <row r="107" spans="6:95" x14ac:dyDescent="0.25">
      <c r="F107" s="450"/>
      <c r="G107" s="5"/>
      <c r="H107" s="132"/>
    </row>
    <row r="108" spans="6:95" x14ac:dyDescent="0.25">
      <c r="F108" s="450"/>
      <c r="G108" s="5"/>
      <c r="H108" s="132"/>
    </row>
    <row r="109" spans="6:95" x14ac:dyDescent="0.25">
      <c r="F109" s="450"/>
      <c r="G109" s="5"/>
      <c r="H109" s="132"/>
    </row>
    <row r="110" spans="6:95" x14ac:dyDescent="0.25">
      <c r="F110" s="450"/>
      <c r="G110" s="5"/>
      <c r="H110" s="132"/>
    </row>
    <row r="111" spans="6:95" x14ac:dyDescent="0.25">
      <c r="F111" s="450"/>
      <c r="G111" s="5"/>
      <c r="H111" s="132"/>
    </row>
    <row r="112" spans="6:95" x14ac:dyDescent="0.25">
      <c r="F112" s="450"/>
      <c r="G112" s="5"/>
      <c r="H112" s="132"/>
    </row>
    <row r="113" spans="6:8" x14ac:dyDescent="0.25">
      <c r="F113" s="450"/>
      <c r="G113" s="5"/>
      <c r="H113" s="132"/>
    </row>
    <row r="114" spans="6:8" x14ac:dyDescent="0.25">
      <c r="F114" s="450"/>
      <c r="G114" s="5"/>
      <c r="H114" s="132"/>
    </row>
    <row r="115" spans="6:8" x14ac:dyDescent="0.25">
      <c r="F115" s="450"/>
      <c r="G115" s="5"/>
      <c r="H115" s="132"/>
    </row>
    <row r="116" spans="6:8" x14ac:dyDescent="0.25">
      <c r="F116" s="450"/>
      <c r="G116" s="5"/>
      <c r="H116" s="132"/>
    </row>
    <row r="117" spans="6:8" x14ac:dyDescent="0.25">
      <c r="F117" s="450"/>
      <c r="G117" s="5"/>
      <c r="H117" s="132"/>
    </row>
    <row r="118" spans="6:8" x14ac:dyDescent="0.25">
      <c r="F118" s="450"/>
      <c r="G118" s="5"/>
      <c r="H118" s="132"/>
    </row>
    <row r="119" spans="6:8" x14ac:dyDescent="0.25">
      <c r="F119" s="450"/>
      <c r="G119" s="5"/>
      <c r="H119" s="132"/>
    </row>
    <row r="120" spans="6:8" x14ac:dyDescent="0.25">
      <c r="F120" s="450"/>
      <c r="G120" s="5"/>
      <c r="H120" s="132"/>
    </row>
    <row r="121" spans="6:8" x14ac:dyDescent="0.25">
      <c r="F121" s="450"/>
      <c r="G121" s="5"/>
      <c r="H121" s="131"/>
    </row>
    <row r="122" spans="6:8" x14ac:dyDescent="0.25">
      <c r="F122" s="450"/>
      <c r="G122" s="5"/>
      <c r="H122" s="131"/>
    </row>
    <row r="123" spans="6:8" x14ac:dyDescent="0.25">
      <c r="F123" s="450"/>
      <c r="G123" s="5"/>
      <c r="H123" s="131"/>
    </row>
    <row r="124" spans="6:8" x14ac:dyDescent="0.25">
      <c r="F124" s="452"/>
      <c r="G124" s="5"/>
      <c r="H124" s="131"/>
    </row>
    <row r="125" spans="6:8" x14ac:dyDescent="0.25">
      <c r="F125" s="450"/>
      <c r="G125" s="5"/>
      <c r="H125" s="131"/>
    </row>
    <row r="126" spans="6:8" x14ac:dyDescent="0.25">
      <c r="F126" s="450"/>
      <c r="G126" s="5"/>
      <c r="H126" s="131"/>
    </row>
    <row r="127" spans="6:8" x14ac:dyDescent="0.25">
      <c r="F127" s="450"/>
      <c r="G127" s="5"/>
      <c r="H127" s="131"/>
    </row>
    <row r="128" spans="6:8" x14ac:dyDescent="0.25">
      <c r="F128" s="450"/>
      <c r="G128" s="5"/>
      <c r="H128" s="131"/>
    </row>
    <row r="129" spans="6:8" x14ac:dyDescent="0.25">
      <c r="F129" s="450"/>
      <c r="G129" s="5"/>
      <c r="H129" s="132"/>
    </row>
    <row r="130" spans="6:8" x14ac:dyDescent="0.25">
      <c r="F130" s="450"/>
      <c r="G130" s="5"/>
      <c r="H130" s="131"/>
    </row>
    <row r="131" spans="6:8" x14ac:dyDescent="0.25">
      <c r="F131" s="450"/>
      <c r="G131" s="5"/>
      <c r="H131" s="131"/>
    </row>
    <row r="132" spans="6:8" x14ac:dyDescent="0.25">
      <c r="F132" s="450"/>
      <c r="G132" s="5"/>
      <c r="H132" s="131"/>
    </row>
    <row r="133" spans="6:8" x14ac:dyDescent="0.25">
      <c r="F133" s="450"/>
      <c r="G133" s="5"/>
      <c r="H133" s="132"/>
    </row>
    <row r="134" spans="6:8" x14ac:dyDescent="0.25">
      <c r="F134" s="450"/>
      <c r="G134" s="5"/>
      <c r="H134" s="131"/>
    </row>
    <row r="135" spans="6:8" x14ac:dyDescent="0.25">
      <c r="F135" s="450"/>
      <c r="G135" s="5"/>
      <c r="H135" s="131"/>
    </row>
    <row r="136" spans="6:8" x14ac:dyDescent="0.25">
      <c r="F136" s="450"/>
      <c r="G136" s="5"/>
      <c r="H136" s="131"/>
    </row>
    <row r="137" spans="6:8" x14ac:dyDescent="0.25">
      <c r="F137" s="450"/>
      <c r="G137" s="5"/>
      <c r="H137" s="131"/>
    </row>
    <row r="138" spans="6:8" x14ac:dyDescent="0.25">
      <c r="F138" s="452"/>
      <c r="G138" s="6"/>
      <c r="H138" s="131"/>
    </row>
    <row r="139" spans="6:8" x14ac:dyDescent="0.25">
      <c r="F139" s="450"/>
      <c r="G139" s="6"/>
      <c r="H139" s="131"/>
    </row>
    <row r="140" spans="6:8" x14ac:dyDescent="0.25">
      <c r="F140" s="450"/>
      <c r="G140" s="6"/>
      <c r="H140" s="131"/>
    </row>
    <row r="141" spans="6:8" x14ac:dyDescent="0.25">
      <c r="F141" s="450"/>
      <c r="G141" s="6"/>
      <c r="H141" s="131"/>
    </row>
    <row r="142" spans="6:8" x14ac:dyDescent="0.25">
      <c r="F142" s="450"/>
      <c r="G142" s="6"/>
      <c r="H142" s="131"/>
    </row>
    <row r="143" spans="6:8" x14ac:dyDescent="0.25">
      <c r="F143" s="450"/>
      <c r="G143" s="6"/>
      <c r="H143" s="131"/>
    </row>
    <row r="144" spans="6:8" x14ac:dyDescent="0.25">
      <c r="F144" s="450"/>
      <c r="G144" s="6"/>
      <c r="H144" s="131"/>
    </row>
    <row r="145" spans="6:8" x14ac:dyDescent="0.25">
      <c r="F145" s="452"/>
      <c r="G145" s="6"/>
      <c r="H145" s="131"/>
    </row>
    <row r="146" spans="6:8" x14ac:dyDescent="0.25">
      <c r="F146" s="450"/>
      <c r="G146" s="6"/>
      <c r="H146" s="131"/>
    </row>
    <row r="147" spans="6:8" x14ac:dyDescent="0.25">
      <c r="F147" s="450"/>
      <c r="G147" s="6"/>
      <c r="H147" s="131"/>
    </row>
    <row r="148" spans="6:8" x14ac:dyDescent="0.25">
      <c r="F148" s="450"/>
      <c r="G148" s="6"/>
      <c r="H148" s="131"/>
    </row>
    <row r="149" spans="6:8" x14ac:dyDescent="0.25">
      <c r="F149" s="450"/>
      <c r="G149" s="6"/>
      <c r="H149" s="131"/>
    </row>
    <row r="150" spans="6:8" x14ac:dyDescent="0.25">
      <c r="F150" s="450"/>
      <c r="G150" s="6"/>
      <c r="H150" s="131"/>
    </row>
    <row r="151" spans="6:8" x14ac:dyDescent="0.25">
      <c r="F151" s="450"/>
      <c r="G151" s="6"/>
      <c r="H151" s="131"/>
    </row>
    <row r="152" spans="6:8" x14ac:dyDescent="0.25">
      <c r="F152" s="452"/>
      <c r="G152" s="6"/>
      <c r="H152" s="132"/>
    </row>
    <row r="153" spans="6:8" x14ac:dyDescent="0.25">
      <c r="F153" s="450"/>
      <c r="G153" s="6"/>
      <c r="H153" s="131"/>
    </row>
    <row r="154" spans="6:8" x14ac:dyDescent="0.25">
      <c r="F154" s="450"/>
      <c r="G154" s="6"/>
      <c r="H154" s="131"/>
    </row>
    <row r="155" spans="6:8" x14ac:dyDescent="0.25">
      <c r="F155" s="450"/>
      <c r="G155" s="6"/>
      <c r="H155" s="131"/>
    </row>
    <row r="156" spans="6:8" x14ac:dyDescent="0.25">
      <c r="F156" s="450"/>
      <c r="G156" s="6"/>
      <c r="H156" s="131"/>
    </row>
    <row r="157" spans="6:8" x14ac:dyDescent="0.25">
      <c r="F157" s="450"/>
      <c r="G157" s="6"/>
      <c r="H157" s="131"/>
    </row>
    <row r="158" spans="6:8" x14ac:dyDescent="0.25">
      <c r="F158" s="450"/>
      <c r="G158" s="6"/>
      <c r="H158" s="131"/>
    </row>
    <row r="159" spans="6:8" x14ac:dyDescent="0.25">
      <c r="F159" s="450"/>
      <c r="G159" s="6"/>
      <c r="H159" s="131"/>
    </row>
    <row r="160" spans="6:8" x14ac:dyDescent="0.25">
      <c r="F160" s="452"/>
      <c r="G160" s="6"/>
      <c r="H160" s="131"/>
    </row>
    <row r="161" spans="6:8" x14ac:dyDescent="0.25">
      <c r="F161" s="452"/>
      <c r="G161" s="6"/>
      <c r="H161" s="132"/>
    </row>
    <row r="162" spans="6:8" x14ac:dyDescent="0.25">
      <c r="F162" s="452"/>
      <c r="G162" s="6"/>
      <c r="H162" s="131"/>
    </row>
    <row r="180" spans="8:8" x14ac:dyDescent="0.25">
      <c r="H180" s="132"/>
    </row>
    <row r="212" spans="5:8" x14ac:dyDescent="0.25">
      <c r="H212" s="132"/>
    </row>
    <row r="213" spans="5:8" x14ac:dyDescent="0.25">
      <c r="H213" s="132"/>
    </row>
    <row r="214" spans="5:8" x14ac:dyDescent="0.25">
      <c r="H214" s="132"/>
    </row>
    <row r="221" spans="5:8" x14ac:dyDescent="0.25">
      <c r="E221" s="133"/>
    </row>
  </sheetData>
  <sheetProtection algorithmName="SHA-512" hashValue="QvZ4CO10pYnnGpH8/8k4Q6lmf4w4+RE++G1tYdmj1BmpLfXkJsPNmw9jqzC3pR5E7KfzEBad4h1VXV8FgUeeag==" saltValue="oAnJjCYsiXwMrapvgDcraw==" spinCount="100000" sheet="1" objects="1" scenarios="1"/>
  <conditionalFormatting sqref="G16:G41">
    <cfRule type="cellIs" dxfId="104" priority="39" operator="equal">
      <formula>0</formula>
    </cfRule>
    <cfRule type="cellIs" dxfId="103" priority="40" operator="greaterThanOrEqual">
      <formula>10</formula>
    </cfRule>
  </conditionalFormatting>
  <conditionalFormatting sqref="F67">
    <cfRule type="cellIs" dxfId="102" priority="35" operator="equal">
      <formula>0</formula>
    </cfRule>
    <cfRule type="cellIs" dxfId="101" priority="36" operator="greaterThanOrEqual">
      <formula>10</formula>
    </cfRule>
  </conditionalFormatting>
  <conditionalFormatting sqref="F86">
    <cfRule type="cellIs" dxfId="100" priority="33" operator="equal">
      <formula>0</formula>
    </cfRule>
    <cfRule type="cellIs" dxfId="99" priority="34" operator="greaterThanOrEqual">
      <formula>10</formula>
    </cfRule>
  </conditionalFormatting>
  <conditionalFormatting sqref="F105">
    <cfRule type="cellIs" dxfId="98" priority="31" operator="equal">
      <formula>0</formula>
    </cfRule>
    <cfRule type="cellIs" dxfId="97" priority="32" operator="greaterThanOrEqual">
      <formula>10</formula>
    </cfRule>
  </conditionalFormatting>
  <conditionalFormatting sqref="G15">
    <cfRule type="cellIs" dxfId="96" priority="1" operator="equal">
      <formula>0</formula>
    </cfRule>
    <cfRule type="cellIs" dxfId="95" priority="2" operator="greaterThanOrEqual">
      <formula>10</formula>
    </cfRule>
  </conditionalFormatting>
  <conditionalFormatting sqref="G66:G137">
    <cfRule type="cellIs" dxfId="94" priority="47" operator="equal">
      <formula>0</formula>
    </cfRule>
    <cfRule type="cellIs" dxfId="93" priority="48" operator="greaterThanOrEqual">
      <formula>10</formula>
    </cfRule>
  </conditionalFormatting>
  <conditionalFormatting sqref="G162">
    <cfRule type="cellIs" dxfId="92" priority="29" operator="equal">
      <formula>0</formula>
    </cfRule>
    <cfRule type="cellIs" dxfId="91" priority="30" operator="greaterThanOrEqual">
      <formula>10</formula>
    </cfRule>
  </conditionalFormatting>
  <conditionalFormatting sqref="H19:H162">
    <cfRule type="cellIs" dxfId="90" priority="21" operator="equal">
      <formula>0</formula>
    </cfRule>
    <cfRule type="cellIs" dxfId="89" priority="22" operator="greaterThanOrEqual">
      <formula>10</formula>
    </cfRule>
  </conditionalFormatting>
  <conditionalFormatting sqref="H180">
    <cfRule type="cellIs" dxfId="88" priority="51" operator="equal">
      <formula>0</formula>
    </cfRule>
    <cfRule type="cellIs" dxfId="87" priority="52" operator="greaterThanOrEqual">
      <formula>10</formula>
    </cfRule>
  </conditionalFormatting>
  <conditionalFormatting sqref="H212:H214">
    <cfRule type="cellIs" dxfId="86" priority="23" operator="equal">
      <formula>0</formula>
    </cfRule>
    <cfRule type="cellIs" dxfId="85" priority="24" operator="greaterThanOrEqual">
      <formula>10</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46"/>
  <sheetViews>
    <sheetView zoomScaleNormal="100" workbookViewId="0">
      <pane xSplit="6" ySplit="1" topLeftCell="G2" activePane="bottomRight" state="frozen"/>
      <selection activeCell="J15" sqref="J15"/>
      <selection pane="topRight" activeCell="J15" sqref="J15"/>
      <selection pane="bottomLeft" activeCell="J15" sqref="J15"/>
      <selection pane="bottomRight" activeCell="J15" sqref="J15"/>
    </sheetView>
  </sheetViews>
  <sheetFormatPr defaultColWidth="11.453125" defaultRowHeight="11.5" x14ac:dyDescent="0.25"/>
  <cols>
    <col min="1" max="6" width="11.453125" style="7"/>
    <col min="7" max="7" width="69.1796875" style="7" customWidth="1"/>
    <col min="8" max="8" width="32" style="7" bestFit="1" customWidth="1"/>
    <col min="9" max="9" width="11" style="7" customWidth="1"/>
    <col min="10" max="16384" width="11.453125" style="7"/>
  </cols>
  <sheetData>
    <row r="1" spans="1:30" s="45" customFormat="1" ht="15.5" x14ac:dyDescent="0.35">
      <c r="A1" s="44" t="s">
        <v>192</v>
      </c>
      <c r="B1" s="44" t="s">
        <v>193</v>
      </c>
      <c r="C1" s="44" t="s">
        <v>194</v>
      </c>
      <c r="D1" s="44" t="s">
        <v>195</v>
      </c>
      <c r="E1" s="44" t="s">
        <v>196</v>
      </c>
      <c r="F1" s="44" t="s">
        <v>129</v>
      </c>
      <c r="G1" s="44" t="s">
        <v>197</v>
      </c>
      <c r="H1" s="44" t="s">
        <v>198</v>
      </c>
      <c r="I1" s="44">
        <v>2010</v>
      </c>
      <c r="J1" s="44">
        <v>2014</v>
      </c>
      <c r="K1" s="44">
        <v>2019</v>
      </c>
      <c r="L1" s="44">
        <v>2020</v>
      </c>
      <c r="M1" s="44">
        <v>2025</v>
      </c>
      <c r="N1" s="44">
        <v>2030</v>
      </c>
      <c r="O1" s="44">
        <v>2035</v>
      </c>
      <c r="P1" s="44">
        <v>2040</v>
      </c>
      <c r="Q1" s="44">
        <v>2045</v>
      </c>
      <c r="R1" s="44">
        <v>2050</v>
      </c>
      <c r="S1" s="44">
        <v>2055</v>
      </c>
      <c r="T1" s="44">
        <v>2060</v>
      </c>
      <c r="U1" s="7"/>
      <c r="V1" s="44"/>
      <c r="W1" s="44"/>
      <c r="X1" s="44"/>
      <c r="Y1" s="44"/>
      <c r="Z1" s="44"/>
      <c r="AA1" s="44"/>
      <c r="AB1" s="44"/>
      <c r="AC1" s="44"/>
      <c r="AD1" s="44"/>
    </row>
    <row r="2" spans="1:30" x14ac:dyDescent="0.25">
      <c r="A2" s="7" t="s">
        <v>137</v>
      </c>
      <c r="B2" s="7" t="s">
        <v>248</v>
      </c>
      <c r="C2" s="7" t="s">
        <v>288</v>
      </c>
      <c r="D2" s="7" t="s">
        <v>147</v>
      </c>
      <c r="E2" s="7" t="s">
        <v>254</v>
      </c>
      <c r="F2" s="47" t="s">
        <v>138</v>
      </c>
      <c r="G2" s="47" t="s">
        <v>289</v>
      </c>
      <c r="H2" s="47" t="s">
        <v>247</v>
      </c>
      <c r="I2" s="47"/>
      <c r="J2" s="51">
        <f>+'ETP2017'!C141</f>
        <v>13625.004647</v>
      </c>
      <c r="M2" s="51">
        <f>+'ETP2017'!D141</f>
        <v>9369.4364035276667</v>
      </c>
      <c r="N2" s="51">
        <f>+'ETP2017'!E141</f>
        <v>7083.1994249231311</v>
      </c>
      <c r="O2" s="51">
        <f>+'ETP2017'!F141</f>
        <v>4758.6490241959691</v>
      </c>
      <c r="P2" s="51">
        <f>+'ETP2017'!G141</f>
        <v>2661.9039102911465</v>
      </c>
      <c r="Q2" s="51">
        <f>+'ETP2017'!H141</f>
        <v>823.65980003171899</v>
      </c>
      <c r="R2" s="51">
        <f>+'ETP2017'!I141</f>
        <v>-355.66926433015539</v>
      </c>
      <c r="S2" s="51">
        <f>+'ETP2017'!J141</f>
        <v>-1189.020977350287</v>
      </c>
      <c r="T2" s="51">
        <f>+'ETP2017'!K141</f>
        <v>-1743.8363466395458</v>
      </c>
    </row>
    <row r="3" spans="1:30" x14ac:dyDescent="0.25">
      <c r="A3" s="7" t="s">
        <v>137</v>
      </c>
      <c r="B3" s="7" t="s">
        <v>248</v>
      </c>
      <c r="C3" s="7" t="s">
        <v>246</v>
      </c>
      <c r="D3" s="7" t="s">
        <v>288</v>
      </c>
      <c r="E3" s="7" t="s">
        <v>254</v>
      </c>
      <c r="F3" s="47" t="s">
        <v>138</v>
      </c>
      <c r="G3" s="47" t="s">
        <v>289</v>
      </c>
      <c r="H3" s="7" t="s">
        <v>247</v>
      </c>
      <c r="J3" s="51">
        <f>+'ETP2017'!C298</f>
        <v>4734.122652</v>
      </c>
      <c r="M3" s="51">
        <f>+'ETP2017'!D298</f>
        <v>2564.2861436198455</v>
      </c>
      <c r="N3" s="51">
        <f>+'ETP2017'!E298</f>
        <v>1821.3861589863279</v>
      </c>
      <c r="O3" s="51">
        <f>+'ETP2017'!F298</f>
        <v>1150.8107839438487</v>
      </c>
      <c r="P3" s="51">
        <f>+'ETP2017'!G298</f>
        <v>593.17986449079842</v>
      </c>
      <c r="Q3" s="51">
        <f>+'ETP2017'!H298</f>
        <v>90.347307114415656</v>
      </c>
      <c r="R3" s="51">
        <f>+'ETP2017'!I298</f>
        <v>-261.47838878489404</v>
      </c>
      <c r="S3" s="51">
        <f>+'ETP2017'!J298</f>
        <v>-546.75830919122438</v>
      </c>
      <c r="T3" s="51">
        <f>+'ETP2017'!K298</f>
        <v>-772.11671574694935</v>
      </c>
    </row>
    <row r="4" spans="1:30" x14ac:dyDescent="0.25">
      <c r="A4" s="7" t="s">
        <v>137</v>
      </c>
      <c r="B4" s="7" t="s">
        <v>248</v>
      </c>
      <c r="C4" s="7" t="s">
        <v>290</v>
      </c>
      <c r="D4" s="7" t="s">
        <v>290</v>
      </c>
      <c r="E4" s="7" t="s">
        <v>254</v>
      </c>
      <c r="F4" s="47" t="s">
        <v>138</v>
      </c>
      <c r="G4" s="47" t="s">
        <v>289</v>
      </c>
      <c r="H4" s="47" t="s">
        <v>247</v>
      </c>
      <c r="I4" s="47"/>
      <c r="J4" s="51">
        <f>+'ETP2017'!C454</f>
        <v>8871.2562230000021</v>
      </c>
      <c r="M4" s="51">
        <f>+'ETP2017'!D454</f>
        <v>6805.1502599078231</v>
      </c>
      <c r="N4" s="51">
        <f>+'ETP2017'!E454</f>
        <v>5261.813265936803</v>
      </c>
      <c r="O4" s="51">
        <f>+'ETP2017'!F454</f>
        <v>3607.8382402521197</v>
      </c>
      <c r="P4" s="51">
        <f>+'ETP2017'!G454</f>
        <v>2068.7240458003475</v>
      </c>
      <c r="Q4" s="51">
        <f>+'ETP2017'!H454</f>
        <v>733.31249291730342</v>
      </c>
      <c r="R4" s="51">
        <f>+'ETP2017'!I454</f>
        <v>-94.190875545261335</v>
      </c>
      <c r="S4" s="51">
        <f>+'ETP2017'!J454</f>
        <v>-642.26266815906297</v>
      </c>
      <c r="T4" s="51">
        <f>+'ETP2017'!K454</f>
        <v>-971.7196308925968</v>
      </c>
    </row>
    <row r="5" spans="1:30" x14ac:dyDescent="0.25">
      <c r="A5" s="7" t="s">
        <v>134</v>
      </c>
      <c r="B5" s="7" t="s">
        <v>248</v>
      </c>
      <c r="C5" s="7" t="s">
        <v>246</v>
      </c>
      <c r="D5" s="7" t="s">
        <v>147</v>
      </c>
      <c r="E5" s="7" t="s">
        <v>255</v>
      </c>
      <c r="F5" s="47" t="s">
        <v>136</v>
      </c>
      <c r="G5" s="47" t="s">
        <v>253</v>
      </c>
      <c r="H5" s="47" t="s">
        <v>247</v>
      </c>
      <c r="I5" s="47"/>
      <c r="J5" s="52"/>
      <c r="M5" s="52"/>
      <c r="N5" s="52"/>
      <c r="O5" s="52"/>
      <c r="P5" s="52"/>
      <c r="Q5" s="52"/>
      <c r="R5" s="52"/>
      <c r="S5" s="52"/>
      <c r="T5" s="52"/>
    </row>
    <row r="6" spans="1:30" x14ac:dyDescent="0.25">
      <c r="A6" s="7" t="s">
        <v>132</v>
      </c>
      <c r="B6" s="7" t="s">
        <v>248</v>
      </c>
      <c r="C6" s="7" t="s">
        <v>246</v>
      </c>
      <c r="D6" s="7" t="s">
        <v>147</v>
      </c>
      <c r="E6" s="7" t="s">
        <v>256</v>
      </c>
      <c r="F6" s="47" t="s">
        <v>293</v>
      </c>
      <c r="G6" s="47" t="s">
        <v>292</v>
      </c>
      <c r="H6" s="47" t="s">
        <v>247</v>
      </c>
      <c r="I6" s="47"/>
      <c r="J6" s="51">
        <f>+'ETP2017'!C116</f>
        <v>23818.899236000001</v>
      </c>
      <c r="M6" s="51">
        <f>+'ETP2017'!D116</f>
        <v>28376.859498996477</v>
      </c>
      <c r="N6" s="51">
        <f>+'ETP2017'!E116</f>
        <v>30959.294532562992</v>
      </c>
      <c r="O6" s="51">
        <f>+'ETP2017'!F116</f>
        <v>33824.81659758625</v>
      </c>
      <c r="P6" s="51">
        <f>+'ETP2017'!G116</f>
        <v>37015.335114018257</v>
      </c>
      <c r="Q6" s="51">
        <f>+'ETP2017'!H116</f>
        <v>40481.30248414159</v>
      </c>
      <c r="R6" s="51">
        <f>+'ETP2017'!I116</f>
        <v>44320.722868883975</v>
      </c>
      <c r="S6" s="51">
        <f>+'ETP2017'!J116</f>
        <v>48600.433498031431</v>
      </c>
      <c r="T6" s="51">
        <f>+'ETP2017'!K116</f>
        <v>53122.56668612465</v>
      </c>
    </row>
    <row r="7" spans="1:30" x14ac:dyDescent="0.25">
      <c r="A7" s="7" t="s">
        <v>132</v>
      </c>
      <c r="B7" s="7" t="s">
        <v>248</v>
      </c>
      <c r="C7" s="7" t="s">
        <v>246</v>
      </c>
      <c r="D7" s="7" t="s">
        <v>288</v>
      </c>
      <c r="E7" s="7" t="s">
        <v>256</v>
      </c>
      <c r="F7" s="47" t="s">
        <v>293</v>
      </c>
      <c r="G7" s="47" t="s">
        <v>292</v>
      </c>
      <c r="H7" s="47" t="s">
        <v>247</v>
      </c>
      <c r="I7" s="47"/>
      <c r="J7" s="51">
        <f>+'ETP2017'!C273</f>
        <v>10792.753189999999</v>
      </c>
      <c r="M7" s="51">
        <f>+'ETP2017'!D273</f>
        <v>10679.257287090019</v>
      </c>
      <c r="N7" s="51">
        <f>+'ETP2017'!E273</f>
        <v>10890.500462665597</v>
      </c>
      <c r="O7" s="51">
        <f>+'ETP2017'!F273</f>
        <v>11147.169340431086</v>
      </c>
      <c r="P7" s="51">
        <f>+'ETP2017'!G273</f>
        <v>11596.427499160684</v>
      </c>
      <c r="Q7" s="51">
        <f>+'ETP2017'!H273</f>
        <v>12218.949181369944</v>
      </c>
      <c r="R7" s="51">
        <f>+'ETP2017'!I273</f>
        <v>12886.635349607644</v>
      </c>
      <c r="S7" s="51">
        <f>+'ETP2017'!J273</f>
        <v>13562.815829167135</v>
      </c>
      <c r="T7" s="51">
        <f>+'ETP2017'!K273</f>
        <v>14181.772115613312</v>
      </c>
    </row>
    <row r="8" spans="1:30" x14ac:dyDescent="0.25">
      <c r="A8" s="7" t="s">
        <v>132</v>
      </c>
      <c r="B8" s="7" t="s">
        <v>248</v>
      </c>
      <c r="C8" s="7" t="s">
        <v>246</v>
      </c>
      <c r="D8" s="7" t="s">
        <v>290</v>
      </c>
      <c r="E8" s="7" t="s">
        <v>256</v>
      </c>
      <c r="F8" s="47" t="s">
        <v>293</v>
      </c>
      <c r="G8" s="47" t="s">
        <v>292</v>
      </c>
      <c r="H8" s="47" t="s">
        <v>247</v>
      </c>
      <c r="I8" s="47"/>
      <c r="J8" s="51">
        <f>+'ETP2017'!C429</f>
        <v>13048.41631452</v>
      </c>
      <c r="M8" s="51">
        <f>+'ETP2017'!D429</f>
        <v>17562.362731718247</v>
      </c>
      <c r="N8" s="51">
        <f>+'ETP2017'!E429</f>
        <v>19812.232120311834</v>
      </c>
      <c r="O8" s="51">
        <f>+'ETP2017'!F429</f>
        <v>22251.868904079471</v>
      </c>
      <c r="P8" s="51">
        <f>+'ETP2017'!G429</f>
        <v>24814.51815998547</v>
      </c>
      <c r="Q8" s="51">
        <f>+'ETP2017'!H429</f>
        <v>27472.257317512547</v>
      </c>
      <c r="R8" s="51">
        <f>+'ETP2017'!I429</f>
        <v>30453.456305794436</v>
      </c>
      <c r="S8" s="51">
        <f>+'ETP2017'!J429</f>
        <v>33835.208943224075</v>
      </c>
      <c r="T8" s="51">
        <f>+'ETP2017'!K429</f>
        <v>37485.760306144235</v>
      </c>
    </row>
    <row r="9" spans="1:30" x14ac:dyDescent="0.25">
      <c r="A9" s="7" t="s">
        <v>294</v>
      </c>
      <c r="B9" s="7" t="s">
        <v>248</v>
      </c>
      <c r="C9" s="7" t="s">
        <v>246</v>
      </c>
      <c r="D9" s="7" t="s">
        <v>147</v>
      </c>
      <c r="E9" s="7" t="s">
        <v>295</v>
      </c>
      <c r="F9" s="47" t="s">
        <v>148</v>
      </c>
      <c r="G9" s="47" t="s">
        <v>296</v>
      </c>
      <c r="H9" s="47" t="s">
        <v>247</v>
      </c>
      <c r="I9" s="47"/>
      <c r="J9" s="48"/>
      <c r="M9" s="48"/>
      <c r="N9" s="48"/>
      <c r="O9" s="48"/>
      <c r="P9" s="48"/>
      <c r="Q9" s="48"/>
      <c r="R9" s="48"/>
      <c r="S9" s="48"/>
      <c r="T9" s="48"/>
    </row>
    <row r="10" spans="1:30" x14ac:dyDescent="0.25">
      <c r="A10" s="7" t="s">
        <v>294</v>
      </c>
      <c r="B10" s="7" t="s">
        <v>248</v>
      </c>
      <c r="C10" s="7" t="s">
        <v>288</v>
      </c>
      <c r="D10" s="7" t="s">
        <v>288</v>
      </c>
      <c r="E10" s="7" t="s">
        <v>295</v>
      </c>
      <c r="F10" s="47" t="s">
        <v>148</v>
      </c>
      <c r="G10" s="47" t="s">
        <v>296</v>
      </c>
      <c r="H10" s="47" t="s">
        <v>247</v>
      </c>
      <c r="I10" s="47"/>
      <c r="J10" s="48"/>
      <c r="M10" s="48"/>
      <c r="N10" s="48"/>
      <c r="O10" s="48"/>
      <c r="P10" s="48"/>
      <c r="Q10" s="48"/>
      <c r="R10" s="48"/>
      <c r="S10" s="48"/>
      <c r="T10" s="48"/>
    </row>
    <row r="11" spans="1:30" x14ac:dyDescent="0.25">
      <c r="A11" s="7" t="s">
        <v>294</v>
      </c>
      <c r="B11" s="7" t="s">
        <v>248</v>
      </c>
      <c r="C11" s="7" t="s">
        <v>290</v>
      </c>
      <c r="D11" s="7" t="s">
        <v>290</v>
      </c>
      <c r="E11" s="7" t="s">
        <v>295</v>
      </c>
      <c r="F11" s="47" t="s">
        <v>148</v>
      </c>
      <c r="G11" s="47" t="s">
        <v>296</v>
      </c>
      <c r="H11" s="47" t="s">
        <v>247</v>
      </c>
      <c r="I11" s="47"/>
      <c r="J11" s="48"/>
      <c r="M11" s="48"/>
      <c r="N11" s="48"/>
      <c r="O11" s="48"/>
      <c r="P11" s="48"/>
      <c r="Q11" s="48"/>
      <c r="R11" s="48"/>
      <c r="S11" s="48"/>
      <c r="T11" s="48"/>
    </row>
    <row r="12" spans="1:30" s="457" customFormat="1" x14ac:dyDescent="0.25">
      <c r="A12" s="457" t="s">
        <v>137</v>
      </c>
      <c r="B12" s="460" t="s">
        <v>72</v>
      </c>
      <c r="C12" s="460" t="s">
        <v>246</v>
      </c>
      <c r="D12" s="460" t="s">
        <v>147</v>
      </c>
      <c r="E12" s="460" t="s">
        <v>254</v>
      </c>
      <c r="F12" s="461" t="s">
        <v>138</v>
      </c>
      <c r="G12" s="461" t="s">
        <v>283</v>
      </c>
      <c r="H12" s="460" t="s">
        <v>74</v>
      </c>
      <c r="I12" s="460"/>
      <c r="K12" s="462"/>
      <c r="L12" s="462">
        <v>450</v>
      </c>
      <c r="N12" s="462">
        <v>340</v>
      </c>
      <c r="P12" s="462">
        <v>145</v>
      </c>
      <c r="R12" s="462">
        <v>20</v>
      </c>
    </row>
    <row r="13" spans="1:30" s="457" customFormat="1" x14ac:dyDescent="0.25">
      <c r="A13" s="457" t="s">
        <v>134</v>
      </c>
      <c r="B13" s="460" t="s">
        <v>72</v>
      </c>
      <c r="C13" s="460" t="s">
        <v>246</v>
      </c>
      <c r="D13" s="460" t="s">
        <v>147</v>
      </c>
      <c r="E13" s="460" t="s">
        <v>255</v>
      </c>
      <c r="F13" s="461" t="s">
        <v>136</v>
      </c>
      <c r="G13" s="461" t="s">
        <v>253</v>
      </c>
      <c r="H13" s="460" t="s">
        <v>74</v>
      </c>
      <c r="I13" s="460"/>
      <c r="K13" s="462"/>
      <c r="L13" s="462">
        <v>290</v>
      </c>
      <c r="N13" s="462">
        <v>720</v>
      </c>
      <c r="P13" s="462">
        <v>2520</v>
      </c>
      <c r="R13" s="462">
        <v>4320</v>
      </c>
    </row>
    <row r="14" spans="1:30" s="457" customFormat="1" x14ac:dyDescent="0.25">
      <c r="A14" s="457" t="s">
        <v>132</v>
      </c>
      <c r="B14" s="460" t="s">
        <v>72</v>
      </c>
      <c r="C14" s="460" t="s">
        <v>246</v>
      </c>
      <c r="D14" s="460" t="s">
        <v>147</v>
      </c>
      <c r="E14" s="460" t="s">
        <v>256</v>
      </c>
      <c r="F14" s="461" t="s">
        <v>291</v>
      </c>
      <c r="G14" s="461" t="s">
        <v>292</v>
      </c>
      <c r="H14" s="460" t="s">
        <v>74</v>
      </c>
      <c r="I14" s="460"/>
      <c r="K14" s="462"/>
      <c r="L14" s="462">
        <v>185</v>
      </c>
      <c r="N14" s="462">
        <v>205</v>
      </c>
      <c r="P14" s="462">
        <v>220</v>
      </c>
      <c r="R14" s="462">
        <v>230</v>
      </c>
    </row>
    <row r="15" spans="1:30" s="458" customFormat="1" x14ac:dyDescent="0.25">
      <c r="A15" s="458" t="s">
        <v>137</v>
      </c>
      <c r="B15" s="463" t="s">
        <v>72</v>
      </c>
      <c r="C15" s="463" t="s">
        <v>246</v>
      </c>
      <c r="D15" s="463" t="s">
        <v>147</v>
      </c>
      <c r="E15" s="463" t="s">
        <v>254</v>
      </c>
      <c r="F15" s="464" t="s">
        <v>138</v>
      </c>
      <c r="G15" s="464" t="s">
        <v>283</v>
      </c>
      <c r="H15" s="463" t="s">
        <v>275</v>
      </c>
      <c r="I15" s="463"/>
      <c r="K15" s="465"/>
      <c r="L15" s="465">
        <v>222</v>
      </c>
      <c r="N15" s="465">
        <v>222</v>
      </c>
      <c r="P15" s="465">
        <v>134</v>
      </c>
      <c r="R15" s="465">
        <v>12</v>
      </c>
    </row>
    <row r="16" spans="1:30" s="458" customFormat="1" x14ac:dyDescent="0.25">
      <c r="A16" s="458" t="s">
        <v>134</v>
      </c>
      <c r="B16" s="463" t="s">
        <v>72</v>
      </c>
      <c r="C16" s="463" t="s">
        <v>246</v>
      </c>
      <c r="D16" s="463" t="s">
        <v>147</v>
      </c>
      <c r="E16" s="463" t="s">
        <v>255</v>
      </c>
      <c r="F16" s="464" t="s">
        <v>136</v>
      </c>
      <c r="G16" s="464" t="s">
        <v>253</v>
      </c>
      <c r="H16" s="463" t="s">
        <v>275</v>
      </c>
      <c r="I16" s="463"/>
      <c r="K16" s="465"/>
      <c r="L16" s="465">
        <v>290</v>
      </c>
      <c r="N16" s="465">
        <v>720</v>
      </c>
      <c r="P16" s="465">
        <v>1260</v>
      </c>
      <c r="R16" s="465">
        <v>1800</v>
      </c>
    </row>
    <row r="17" spans="1:58" s="458" customFormat="1" x14ac:dyDescent="0.25">
      <c r="A17" s="458" t="s">
        <v>132</v>
      </c>
      <c r="B17" s="463" t="s">
        <v>72</v>
      </c>
      <c r="C17" s="463" t="s">
        <v>246</v>
      </c>
      <c r="D17" s="463" t="s">
        <v>147</v>
      </c>
      <c r="E17" s="463" t="s">
        <v>256</v>
      </c>
      <c r="F17" s="464" t="s">
        <v>291</v>
      </c>
      <c r="G17" s="464" t="s">
        <v>292</v>
      </c>
      <c r="H17" s="463" t="s">
        <v>275</v>
      </c>
      <c r="I17" s="463"/>
      <c r="K17" s="465"/>
      <c r="L17" s="465">
        <v>99</v>
      </c>
      <c r="N17" s="465">
        <v>127</v>
      </c>
      <c r="P17" s="465">
        <v>136</v>
      </c>
      <c r="R17" s="465">
        <v>133</v>
      </c>
    </row>
    <row r="18" spans="1:58" s="459" customFormat="1" x14ac:dyDescent="0.25">
      <c r="A18" s="459" t="s">
        <v>137</v>
      </c>
      <c r="B18" s="466" t="s">
        <v>72</v>
      </c>
      <c r="C18" s="466" t="s">
        <v>246</v>
      </c>
      <c r="D18" s="466" t="s">
        <v>147</v>
      </c>
      <c r="E18" s="466" t="s">
        <v>254</v>
      </c>
      <c r="F18" s="467" t="s">
        <v>138</v>
      </c>
      <c r="G18" s="467" t="s">
        <v>283</v>
      </c>
      <c r="H18" s="466" t="s">
        <v>278</v>
      </c>
      <c r="I18" s="466"/>
      <c r="K18" s="468"/>
      <c r="L18" s="468">
        <v>251</v>
      </c>
      <c r="N18" s="468">
        <v>251</v>
      </c>
      <c r="P18" s="468">
        <v>151</v>
      </c>
      <c r="R18" s="468">
        <v>14</v>
      </c>
    </row>
    <row r="19" spans="1:58" s="459" customFormat="1" x14ac:dyDescent="0.25">
      <c r="A19" s="459" t="s">
        <v>134</v>
      </c>
      <c r="B19" s="466" t="s">
        <v>72</v>
      </c>
      <c r="C19" s="466" t="s">
        <v>246</v>
      </c>
      <c r="D19" s="466" t="s">
        <v>147</v>
      </c>
      <c r="E19" s="466" t="s">
        <v>255</v>
      </c>
      <c r="F19" s="467" t="s">
        <v>136</v>
      </c>
      <c r="G19" s="467" t="s">
        <v>253</v>
      </c>
      <c r="H19" s="466" t="s">
        <v>278</v>
      </c>
      <c r="I19" s="466"/>
      <c r="K19" s="468"/>
      <c r="L19" s="468">
        <v>80</v>
      </c>
      <c r="N19" s="468">
        <v>160</v>
      </c>
      <c r="P19" s="468">
        <v>300</v>
      </c>
      <c r="R19" s="468">
        <v>580</v>
      </c>
    </row>
    <row r="20" spans="1:58" s="459" customFormat="1" x14ac:dyDescent="0.25">
      <c r="A20" s="459" t="s">
        <v>132</v>
      </c>
      <c r="B20" s="466" t="s">
        <v>72</v>
      </c>
      <c r="C20" s="466" t="s">
        <v>246</v>
      </c>
      <c r="D20" s="466" t="s">
        <v>147</v>
      </c>
      <c r="E20" s="466" t="s">
        <v>256</v>
      </c>
      <c r="F20" s="467" t="s">
        <v>291</v>
      </c>
      <c r="G20" s="467" t="s">
        <v>292</v>
      </c>
      <c r="H20" s="466" t="s">
        <v>278</v>
      </c>
      <c r="I20" s="466"/>
      <c r="K20" s="468"/>
      <c r="L20" s="468">
        <v>245</v>
      </c>
      <c r="N20" s="468">
        <v>309</v>
      </c>
      <c r="P20" s="468">
        <v>330</v>
      </c>
      <c r="R20" s="468">
        <v>325</v>
      </c>
    </row>
    <row r="21" spans="1:58" x14ac:dyDescent="0.25">
      <c r="A21" s="410" t="s">
        <v>294</v>
      </c>
      <c r="B21" s="410" t="s">
        <v>300</v>
      </c>
      <c r="C21" s="410" t="s">
        <v>246</v>
      </c>
      <c r="D21" s="410" t="s">
        <v>147</v>
      </c>
      <c r="E21" s="410" t="s">
        <v>295</v>
      </c>
      <c r="F21" s="410" t="s">
        <v>148</v>
      </c>
      <c r="G21" s="410"/>
      <c r="H21" s="410" t="s">
        <v>247</v>
      </c>
      <c r="J21" s="51"/>
      <c r="K21" s="7">
        <f>'NZE2021'!B182</f>
        <v>0.46800000000000003</v>
      </c>
      <c r="L21" s="7">
        <f>'NZE2021'!C182</f>
        <v>0.438</v>
      </c>
      <c r="M21" s="51"/>
      <c r="N21" s="51">
        <f>'NZE2021'!D182</f>
        <v>0.13800000000000001</v>
      </c>
      <c r="O21" s="51"/>
      <c r="P21" s="51">
        <f>'NZE2021'!E182</f>
        <v>-1E-3</v>
      </c>
      <c r="Q21" s="51"/>
      <c r="R21" s="51">
        <f>'NZE2021'!F182</f>
        <v>-5.0000000000000001E-3</v>
      </c>
      <c r="S21" s="51"/>
      <c r="T21" s="51"/>
    </row>
    <row r="22" spans="1:58" x14ac:dyDescent="0.25">
      <c r="A22" s="410"/>
      <c r="B22" s="410"/>
      <c r="C22" s="410"/>
      <c r="D22" s="410"/>
      <c r="E22" s="410"/>
      <c r="F22" s="410"/>
      <c r="G22" s="410"/>
      <c r="H22" s="410"/>
      <c r="J22" s="51"/>
      <c r="M22" s="51"/>
      <c r="N22" s="51"/>
      <c r="O22" s="51"/>
      <c r="P22" s="51"/>
      <c r="Q22" s="51"/>
      <c r="R22" s="51"/>
      <c r="S22" s="51"/>
      <c r="T22" s="51"/>
    </row>
    <row r="23" spans="1:58" ht="15.5" x14ac:dyDescent="0.35">
      <c r="J23" s="55" t="s">
        <v>297</v>
      </c>
      <c r="BE23" s="7" t="s">
        <v>298</v>
      </c>
    </row>
    <row r="24" spans="1:58" s="45" customFormat="1" ht="15.5" x14ac:dyDescent="0.35">
      <c r="A24" s="44" t="s">
        <v>192</v>
      </c>
      <c r="B24" s="44" t="s">
        <v>193</v>
      </c>
      <c r="C24" s="44" t="s">
        <v>194</v>
      </c>
      <c r="D24" s="44" t="s">
        <v>195</v>
      </c>
      <c r="E24" s="44" t="s">
        <v>196</v>
      </c>
      <c r="F24" s="44" t="s">
        <v>129</v>
      </c>
      <c r="G24" s="44" t="s">
        <v>197</v>
      </c>
      <c r="H24" s="44" t="s">
        <v>198</v>
      </c>
      <c r="I24" s="46">
        <v>2010</v>
      </c>
      <c r="J24" s="46">
        <v>2014</v>
      </c>
      <c r="K24" s="46">
        <v>2015</v>
      </c>
      <c r="L24" s="46">
        <v>2016</v>
      </c>
      <c r="M24" s="46">
        <v>2017</v>
      </c>
      <c r="N24" s="46">
        <v>2018</v>
      </c>
      <c r="O24" s="46">
        <v>2019</v>
      </c>
      <c r="P24" s="46">
        <v>2020</v>
      </c>
      <c r="Q24" s="46">
        <v>2021</v>
      </c>
      <c r="R24" s="46">
        <v>2022</v>
      </c>
      <c r="S24" s="46">
        <v>2023</v>
      </c>
      <c r="T24" s="46">
        <v>2024</v>
      </c>
      <c r="U24" s="46">
        <v>2025</v>
      </c>
      <c r="V24" s="46">
        <v>2026</v>
      </c>
      <c r="W24" s="46">
        <v>2027</v>
      </c>
      <c r="X24" s="46">
        <v>2028</v>
      </c>
      <c r="Y24" s="46">
        <v>2029</v>
      </c>
      <c r="Z24" s="46">
        <v>2030</v>
      </c>
      <c r="AA24" s="46">
        <v>2031</v>
      </c>
      <c r="AB24" s="46">
        <v>2032</v>
      </c>
      <c r="AC24" s="46">
        <v>2033</v>
      </c>
      <c r="AD24" s="46">
        <v>2034</v>
      </c>
      <c r="AE24" s="46">
        <v>2035</v>
      </c>
      <c r="AF24" s="46">
        <v>2036</v>
      </c>
      <c r="AG24" s="46">
        <v>2037</v>
      </c>
      <c r="AH24" s="46">
        <v>2038</v>
      </c>
      <c r="AI24" s="46">
        <v>2039</v>
      </c>
      <c r="AJ24" s="46">
        <v>2040</v>
      </c>
      <c r="AK24" s="46">
        <v>2041</v>
      </c>
      <c r="AL24" s="46">
        <v>2042</v>
      </c>
      <c r="AM24" s="46">
        <v>2043</v>
      </c>
      <c r="AN24" s="46">
        <v>2044</v>
      </c>
      <c r="AO24" s="46">
        <v>2045</v>
      </c>
      <c r="AP24" s="46">
        <v>2046</v>
      </c>
      <c r="AQ24" s="46">
        <v>2047</v>
      </c>
      <c r="AR24" s="46">
        <v>2048</v>
      </c>
      <c r="AS24" s="46">
        <v>2049</v>
      </c>
      <c r="AT24" s="46">
        <v>2050</v>
      </c>
      <c r="AU24" s="46">
        <v>2051</v>
      </c>
      <c r="AV24" s="46">
        <v>2052</v>
      </c>
      <c r="AW24" s="46">
        <v>2053</v>
      </c>
      <c r="AX24" s="46">
        <v>2054</v>
      </c>
      <c r="AY24" s="46">
        <v>2055</v>
      </c>
      <c r="AZ24" s="46">
        <v>2056</v>
      </c>
      <c r="BA24" s="46">
        <v>2057</v>
      </c>
      <c r="BB24" s="46">
        <v>2058</v>
      </c>
      <c r="BC24" s="46">
        <v>2059</v>
      </c>
      <c r="BD24" s="46">
        <v>2060</v>
      </c>
      <c r="BE24" s="45" t="s">
        <v>259</v>
      </c>
      <c r="BF24" s="45" t="s">
        <v>299</v>
      </c>
    </row>
    <row r="25" spans="1:58" x14ac:dyDescent="0.25">
      <c r="A25" s="7" t="s">
        <v>137</v>
      </c>
      <c r="B25" s="7" t="s">
        <v>248</v>
      </c>
      <c r="C25" s="7" t="s">
        <v>288</v>
      </c>
      <c r="D25" s="7" t="s">
        <v>147</v>
      </c>
      <c r="E25" s="7" t="s">
        <v>254</v>
      </c>
      <c r="F25" s="47" t="str">
        <f t="shared" ref="F25:F34" si="0">+F2</f>
        <v>MtCO2</v>
      </c>
      <c r="G25" s="47" t="s">
        <v>289</v>
      </c>
      <c r="H25" s="47" t="s">
        <v>247</v>
      </c>
      <c r="I25" s="47"/>
      <c r="J25" s="49">
        <f t="shared" ref="J25:J31" si="1">+J2</f>
        <v>13625.004647</v>
      </c>
      <c r="K25" s="50">
        <f t="shared" ref="K25:T27" si="2">$J25-(($J25-$U25)/(11)*(K$24-$J$24))</f>
        <v>13238.134806684333</v>
      </c>
      <c r="L25" s="50">
        <f t="shared" si="2"/>
        <v>12851.264966368666</v>
      </c>
      <c r="M25" s="50">
        <f t="shared" si="2"/>
        <v>12464.395126052999</v>
      </c>
      <c r="N25" s="50">
        <f t="shared" si="2"/>
        <v>12077.525285737333</v>
      </c>
      <c r="O25" s="50">
        <f t="shared" si="2"/>
        <v>11690.655445421668</v>
      </c>
      <c r="P25" s="50">
        <f t="shared" si="2"/>
        <v>11303.785605106001</v>
      </c>
      <c r="Q25" s="50">
        <f t="shared" si="2"/>
        <v>10916.915764790334</v>
      </c>
      <c r="R25" s="50">
        <f t="shared" si="2"/>
        <v>10530.045924474667</v>
      </c>
      <c r="S25" s="50">
        <f t="shared" si="2"/>
        <v>10143.176084159</v>
      </c>
      <c r="T25" s="50">
        <f t="shared" si="2"/>
        <v>9756.3062438433335</v>
      </c>
      <c r="U25" s="49">
        <f t="shared" ref="U25:U31" si="3">+M2</f>
        <v>9369.4364035276667</v>
      </c>
      <c r="V25" s="50">
        <f t="shared" ref="V25:Y31" si="4">$U25-(($U25-$Z25)/(5)*(V$24-$U$24))</f>
        <v>8912.189007806759</v>
      </c>
      <c r="W25" s="50">
        <f t="shared" si="4"/>
        <v>8454.9416120858532</v>
      </c>
      <c r="X25" s="50">
        <f t="shared" si="4"/>
        <v>7997.6942163649455</v>
      </c>
      <c r="Y25" s="50">
        <f t="shared" si="4"/>
        <v>7540.4468206440379</v>
      </c>
      <c r="Z25" s="49">
        <f t="shared" ref="Z25:Z31" si="5">+N2</f>
        <v>7083.1994249231311</v>
      </c>
      <c r="AA25" s="50">
        <f t="shared" ref="AA25:AD31" si="6">$Z25-(($Z25-$AE25)/(5)*(AA$24-$Z$24))</f>
        <v>6618.2893447776987</v>
      </c>
      <c r="AB25" s="50">
        <f t="shared" si="6"/>
        <v>6153.3792646322663</v>
      </c>
      <c r="AC25" s="50">
        <f t="shared" si="6"/>
        <v>5688.4691844868339</v>
      </c>
      <c r="AD25" s="50">
        <f t="shared" si="6"/>
        <v>5223.5591043414015</v>
      </c>
      <c r="AE25" s="49">
        <f t="shared" ref="AE25:AE31" si="7">+O2</f>
        <v>4758.6490241959691</v>
      </c>
      <c r="AF25" s="50">
        <f t="shared" ref="AF25:AI31" si="8">$AE25-(($AE25-$AJ25)/(5)*(AF$24-$AE$24))</f>
        <v>4339.3000014150048</v>
      </c>
      <c r="AG25" s="50">
        <f t="shared" si="8"/>
        <v>3919.95097863404</v>
      </c>
      <c r="AH25" s="50">
        <f t="shared" si="8"/>
        <v>3500.6019558530757</v>
      </c>
      <c r="AI25" s="50">
        <f t="shared" si="8"/>
        <v>3081.2529330721109</v>
      </c>
      <c r="AJ25" s="49">
        <f t="shared" ref="AJ25:AJ31" si="9">+P2</f>
        <v>2661.9039102911465</v>
      </c>
      <c r="AK25" s="50">
        <f t="shared" ref="AK25:AN31" si="10">$AJ25-(($AJ25-$AO25)/(5)*(AK$24-$AJ$24))</f>
        <v>2294.2550882392611</v>
      </c>
      <c r="AL25" s="50">
        <f t="shared" si="10"/>
        <v>1926.6062661873755</v>
      </c>
      <c r="AM25" s="50">
        <f t="shared" si="10"/>
        <v>1558.9574441354898</v>
      </c>
      <c r="AN25" s="50">
        <f t="shared" si="10"/>
        <v>1191.3086220836044</v>
      </c>
      <c r="AO25" s="49">
        <f t="shared" ref="AO25:AO31" si="11">+Q2</f>
        <v>823.65980003171899</v>
      </c>
      <c r="AP25" s="50">
        <f t="shared" ref="AP25:AS31" si="12">$AO25-(($AO25-$AT25)/(5)*(AP$24-$AO$24))</f>
        <v>587.79398715934417</v>
      </c>
      <c r="AQ25" s="50">
        <f t="shared" si="12"/>
        <v>351.92817428696924</v>
      </c>
      <c r="AR25" s="50">
        <f t="shared" si="12"/>
        <v>116.06236141459431</v>
      </c>
      <c r="AS25" s="50">
        <f t="shared" si="12"/>
        <v>-119.80345145778051</v>
      </c>
      <c r="AT25" s="49">
        <f t="shared" ref="AT25:AT31" si="13">+R2</f>
        <v>-355.66926433015539</v>
      </c>
      <c r="AU25" s="50">
        <f t="shared" ref="AU25:AX28" si="14">$AT25-(($AT25-$AY25)/(5)*(AU$24-$AT$24))</f>
        <v>-522.33960693418169</v>
      </c>
      <c r="AV25" s="50">
        <f t="shared" si="14"/>
        <v>-689.00994953820805</v>
      </c>
      <c r="AW25" s="50">
        <f t="shared" si="14"/>
        <v>-855.68029214223429</v>
      </c>
      <c r="AX25" s="50">
        <f t="shared" si="14"/>
        <v>-1022.3506347462608</v>
      </c>
      <c r="AY25" s="49">
        <f t="shared" ref="AY25:AY31" si="15">+S2</f>
        <v>-1189.020977350287</v>
      </c>
      <c r="AZ25" s="50">
        <f t="shared" ref="AZ25:BC28" si="16">$AY25-(($AY25-$BD25)/(5)*(AZ$24-$AY$24))</f>
        <v>-1299.9840512081387</v>
      </c>
      <c r="BA25" s="50">
        <f t="shared" si="16"/>
        <v>-1410.9471250659906</v>
      </c>
      <c r="BB25" s="50">
        <f t="shared" si="16"/>
        <v>-1521.9101989238422</v>
      </c>
      <c r="BC25" s="50">
        <f t="shared" si="16"/>
        <v>-1632.8732727816941</v>
      </c>
      <c r="BD25" s="49">
        <f t="shared" ref="BD25:BD31" si="17">+T2</f>
        <v>-1743.8363466395458</v>
      </c>
      <c r="BF25" s="409">
        <f t="shared" ref="BF25:BF27" si="18">($U$24-$P$24)*(0.5*(P25-U25)+U25)+($Z$24-$U$24)*(0.5*(U25-Z25)+Z25)+($AE$24-$Z$24)*(0.5*(Z25-AE25)+AE25)+($AJ$24-$AE$24)*(0.5*(AE25-AJ25)+AJ25)+($AO$24-$AJ$24)*(0.5*(AJ25-AO25)+AO25)+($AT$24-$AO$24)*(0.5*(AO25-AT25)+AT25)</f>
        <v>150854.53366678781</v>
      </c>
    </row>
    <row r="26" spans="1:58" x14ac:dyDescent="0.25">
      <c r="A26" s="7" t="s">
        <v>137</v>
      </c>
      <c r="B26" s="7" t="s">
        <v>248</v>
      </c>
      <c r="C26" s="7" t="s">
        <v>246</v>
      </c>
      <c r="D26" s="7" t="s">
        <v>288</v>
      </c>
      <c r="E26" s="7" t="s">
        <v>254</v>
      </c>
      <c r="F26" s="47" t="str">
        <f t="shared" si="0"/>
        <v>MtCO2</v>
      </c>
      <c r="G26" s="47" t="s">
        <v>289</v>
      </c>
      <c r="H26" s="7" t="s">
        <v>247</v>
      </c>
      <c r="J26" s="49">
        <f t="shared" si="1"/>
        <v>4734.122652</v>
      </c>
      <c r="K26" s="50">
        <f t="shared" si="2"/>
        <v>4536.864787601804</v>
      </c>
      <c r="L26" s="50">
        <f t="shared" si="2"/>
        <v>4339.6069232036079</v>
      </c>
      <c r="M26" s="50">
        <f t="shared" si="2"/>
        <v>4142.3490588054119</v>
      </c>
      <c r="N26" s="50">
        <f t="shared" si="2"/>
        <v>3945.0911944072168</v>
      </c>
      <c r="O26" s="50">
        <f t="shared" si="2"/>
        <v>3747.8333300090208</v>
      </c>
      <c r="P26" s="50">
        <f t="shared" si="2"/>
        <v>3550.5754656108247</v>
      </c>
      <c r="Q26" s="50">
        <f t="shared" si="2"/>
        <v>3353.3176012126287</v>
      </c>
      <c r="R26" s="50">
        <f t="shared" si="2"/>
        <v>3156.0597368144331</v>
      </c>
      <c r="S26" s="50">
        <f t="shared" si="2"/>
        <v>2958.8018724162375</v>
      </c>
      <c r="T26" s="50">
        <f t="shared" si="2"/>
        <v>2761.5440080180415</v>
      </c>
      <c r="U26" s="49">
        <f t="shared" si="3"/>
        <v>2564.2861436198455</v>
      </c>
      <c r="V26" s="50">
        <f t="shared" si="4"/>
        <v>2415.7061466931418</v>
      </c>
      <c r="W26" s="50">
        <f t="shared" si="4"/>
        <v>2267.1261497664386</v>
      </c>
      <c r="X26" s="50">
        <f t="shared" si="4"/>
        <v>2118.546152839735</v>
      </c>
      <c r="Y26" s="50">
        <f t="shared" si="4"/>
        <v>1969.9661559130313</v>
      </c>
      <c r="Z26" s="49">
        <f t="shared" si="5"/>
        <v>1821.3861589863279</v>
      </c>
      <c r="AA26" s="50">
        <f t="shared" si="6"/>
        <v>1687.2710839778322</v>
      </c>
      <c r="AB26" s="50">
        <f t="shared" si="6"/>
        <v>1553.1560089693362</v>
      </c>
      <c r="AC26" s="50">
        <f t="shared" si="6"/>
        <v>1419.0409339608404</v>
      </c>
      <c r="AD26" s="50">
        <f t="shared" si="6"/>
        <v>1284.9258589523447</v>
      </c>
      <c r="AE26" s="49">
        <f t="shared" si="7"/>
        <v>1150.8107839438487</v>
      </c>
      <c r="AF26" s="50">
        <f t="shared" si="8"/>
        <v>1039.2846000532386</v>
      </c>
      <c r="AG26" s="50">
        <f t="shared" si="8"/>
        <v>927.75841616262858</v>
      </c>
      <c r="AH26" s="50">
        <f t="shared" si="8"/>
        <v>816.23223227201856</v>
      </c>
      <c r="AI26" s="50">
        <f t="shared" si="8"/>
        <v>704.70604838140844</v>
      </c>
      <c r="AJ26" s="49">
        <f t="shared" si="9"/>
        <v>593.17986449079842</v>
      </c>
      <c r="AK26" s="50">
        <f t="shared" si="10"/>
        <v>492.61335301552185</v>
      </c>
      <c r="AL26" s="50">
        <f t="shared" si="10"/>
        <v>392.04684154024534</v>
      </c>
      <c r="AM26" s="50">
        <f t="shared" si="10"/>
        <v>291.48033006496883</v>
      </c>
      <c r="AN26" s="50">
        <f t="shared" si="10"/>
        <v>190.91381858969226</v>
      </c>
      <c r="AO26" s="49">
        <f t="shared" si="11"/>
        <v>90.347307114415656</v>
      </c>
      <c r="AP26" s="50">
        <f t="shared" si="12"/>
        <v>19.982167934553715</v>
      </c>
      <c r="AQ26" s="50">
        <f t="shared" si="12"/>
        <v>-50.382971245308227</v>
      </c>
      <c r="AR26" s="50">
        <f t="shared" si="12"/>
        <v>-120.74811042517015</v>
      </c>
      <c r="AS26" s="50">
        <f t="shared" si="12"/>
        <v>-191.11324960503211</v>
      </c>
      <c r="AT26" s="49">
        <f t="shared" si="13"/>
        <v>-261.47838878489404</v>
      </c>
      <c r="AU26" s="50">
        <f t="shared" si="14"/>
        <v>-318.53437286616008</v>
      </c>
      <c r="AV26" s="50">
        <f t="shared" si="14"/>
        <v>-375.59035694742619</v>
      </c>
      <c r="AW26" s="50">
        <f t="shared" si="14"/>
        <v>-432.64634102869223</v>
      </c>
      <c r="AX26" s="50">
        <f t="shared" si="14"/>
        <v>-489.70232510995834</v>
      </c>
      <c r="AY26" s="49">
        <f t="shared" si="15"/>
        <v>-546.75830919122438</v>
      </c>
      <c r="AZ26" s="50">
        <f t="shared" si="16"/>
        <v>-591.82999050236936</v>
      </c>
      <c r="BA26" s="50">
        <f t="shared" si="16"/>
        <v>-636.90167181351433</v>
      </c>
      <c r="BB26" s="50">
        <f t="shared" si="16"/>
        <v>-681.9733531246593</v>
      </c>
      <c r="BC26" s="50">
        <f t="shared" si="16"/>
        <v>-727.04503443580438</v>
      </c>
      <c r="BD26" s="49">
        <f t="shared" si="17"/>
        <v>-772.11671574694935</v>
      </c>
      <c r="BF26" s="409">
        <f t="shared" si="18"/>
        <v>39322.793982841002</v>
      </c>
    </row>
    <row r="27" spans="1:58" x14ac:dyDescent="0.25">
      <c r="A27" s="7" t="s">
        <v>137</v>
      </c>
      <c r="B27" s="7" t="s">
        <v>248</v>
      </c>
      <c r="C27" s="7" t="s">
        <v>290</v>
      </c>
      <c r="D27" s="7" t="s">
        <v>290</v>
      </c>
      <c r="E27" s="7" t="s">
        <v>254</v>
      </c>
      <c r="F27" s="47" t="str">
        <f t="shared" si="0"/>
        <v>MtCO2</v>
      </c>
      <c r="G27" s="47" t="s">
        <v>289</v>
      </c>
      <c r="H27" s="47" t="s">
        <v>247</v>
      </c>
      <c r="I27" s="47"/>
      <c r="J27" s="49">
        <f t="shared" si="1"/>
        <v>8871.2562230000021</v>
      </c>
      <c r="K27" s="50">
        <f t="shared" si="2"/>
        <v>8683.4284081734404</v>
      </c>
      <c r="L27" s="50">
        <f t="shared" si="2"/>
        <v>8495.6005933468787</v>
      </c>
      <c r="M27" s="50">
        <f t="shared" si="2"/>
        <v>8307.7727785203169</v>
      </c>
      <c r="N27" s="50">
        <f t="shared" si="2"/>
        <v>8119.9449636937552</v>
      </c>
      <c r="O27" s="50">
        <f t="shared" si="2"/>
        <v>7932.1171488671935</v>
      </c>
      <c r="P27" s="50">
        <f t="shared" si="2"/>
        <v>7744.2893340406317</v>
      </c>
      <c r="Q27" s="50">
        <f t="shared" si="2"/>
        <v>7556.46151921407</v>
      </c>
      <c r="R27" s="50">
        <f t="shared" si="2"/>
        <v>7368.6337043875083</v>
      </c>
      <c r="S27" s="50">
        <f t="shared" si="2"/>
        <v>7180.8058895609465</v>
      </c>
      <c r="T27" s="50">
        <f t="shared" si="2"/>
        <v>6992.9780747343848</v>
      </c>
      <c r="U27" s="49">
        <f t="shared" si="3"/>
        <v>6805.1502599078231</v>
      </c>
      <c r="V27" s="50">
        <f t="shared" si="4"/>
        <v>6496.482861113619</v>
      </c>
      <c r="W27" s="50">
        <f t="shared" si="4"/>
        <v>6187.815462319415</v>
      </c>
      <c r="X27" s="50">
        <f t="shared" si="4"/>
        <v>5879.148063525211</v>
      </c>
      <c r="Y27" s="50">
        <f t="shared" si="4"/>
        <v>5570.480664731007</v>
      </c>
      <c r="Z27" s="49">
        <f t="shared" si="5"/>
        <v>5261.813265936803</v>
      </c>
      <c r="AA27" s="50">
        <f t="shared" si="6"/>
        <v>4931.0182607998668</v>
      </c>
      <c r="AB27" s="50">
        <f t="shared" si="6"/>
        <v>4600.2232556629297</v>
      </c>
      <c r="AC27" s="50">
        <f t="shared" si="6"/>
        <v>4269.4282505259926</v>
      </c>
      <c r="AD27" s="50">
        <f t="shared" si="6"/>
        <v>3938.6332453890564</v>
      </c>
      <c r="AE27" s="49">
        <f t="shared" si="7"/>
        <v>3607.8382402521197</v>
      </c>
      <c r="AF27" s="50">
        <f t="shared" si="8"/>
        <v>3300.0154013617653</v>
      </c>
      <c r="AG27" s="50">
        <f t="shared" si="8"/>
        <v>2992.1925624714108</v>
      </c>
      <c r="AH27" s="50">
        <f t="shared" si="8"/>
        <v>2684.3697235810564</v>
      </c>
      <c r="AI27" s="50">
        <f t="shared" si="8"/>
        <v>2376.546884690702</v>
      </c>
      <c r="AJ27" s="49">
        <f t="shared" si="9"/>
        <v>2068.7240458003475</v>
      </c>
      <c r="AK27" s="50">
        <f t="shared" si="10"/>
        <v>1801.6417352237386</v>
      </c>
      <c r="AL27" s="50">
        <f t="shared" si="10"/>
        <v>1534.5594246471298</v>
      </c>
      <c r="AM27" s="50">
        <f t="shared" si="10"/>
        <v>1267.4771140705211</v>
      </c>
      <c r="AN27" s="50">
        <f t="shared" si="10"/>
        <v>1000.3948034939121</v>
      </c>
      <c r="AO27" s="49">
        <f t="shared" si="11"/>
        <v>733.31249291730342</v>
      </c>
      <c r="AP27" s="50">
        <f t="shared" si="12"/>
        <v>567.8118192247905</v>
      </c>
      <c r="AQ27" s="50">
        <f t="shared" si="12"/>
        <v>402.31114553227752</v>
      </c>
      <c r="AR27" s="50">
        <f t="shared" si="12"/>
        <v>236.81047183976455</v>
      </c>
      <c r="AS27" s="50">
        <f t="shared" si="12"/>
        <v>71.309798147251627</v>
      </c>
      <c r="AT27" s="49">
        <f t="shared" si="13"/>
        <v>-94.190875545261335</v>
      </c>
      <c r="AU27" s="50">
        <f t="shared" si="14"/>
        <v>-203.80523406802166</v>
      </c>
      <c r="AV27" s="50">
        <f t="shared" si="14"/>
        <v>-313.41959259078203</v>
      </c>
      <c r="AW27" s="50">
        <f t="shared" si="14"/>
        <v>-423.0339511135424</v>
      </c>
      <c r="AX27" s="50">
        <f t="shared" si="14"/>
        <v>-532.64830963630266</v>
      </c>
      <c r="AY27" s="49">
        <f t="shared" si="15"/>
        <v>-642.26266815906297</v>
      </c>
      <c r="AZ27" s="50">
        <f t="shared" si="16"/>
        <v>-708.15406070576978</v>
      </c>
      <c r="BA27" s="50">
        <f t="shared" si="16"/>
        <v>-774.04545325247648</v>
      </c>
      <c r="BB27" s="50">
        <f t="shared" si="16"/>
        <v>-839.93684579918329</v>
      </c>
      <c r="BC27" s="50">
        <f t="shared" si="16"/>
        <v>-905.82823834588999</v>
      </c>
      <c r="BD27" s="49">
        <f t="shared" si="17"/>
        <v>-971.7196308925968</v>
      </c>
      <c r="BF27" s="409">
        <f t="shared" si="18"/>
        <v>111509.43767031041</v>
      </c>
    </row>
    <row r="28" spans="1:58" x14ac:dyDescent="0.25">
      <c r="A28" s="7" t="s">
        <v>134</v>
      </c>
      <c r="B28" s="7" t="s">
        <v>248</v>
      </c>
      <c r="C28" s="7" t="s">
        <v>246</v>
      </c>
      <c r="D28" s="7" t="s">
        <v>147</v>
      </c>
      <c r="E28" s="7" t="s">
        <v>255</v>
      </c>
      <c r="F28" s="47" t="str">
        <f t="shared" si="0"/>
        <v>PJ</v>
      </c>
      <c r="G28" s="47" t="s">
        <v>253</v>
      </c>
      <c r="H28" s="47" t="s">
        <v>247</v>
      </c>
      <c r="I28" s="47"/>
      <c r="J28" s="49">
        <f t="shared" si="1"/>
        <v>0</v>
      </c>
      <c r="K28" s="50">
        <f t="shared" ref="K28:T28" si="19">$J28-(($J28-$U28)/(11)*(K$24-$J$24))</f>
        <v>0</v>
      </c>
      <c r="L28" s="50">
        <f t="shared" si="19"/>
        <v>0</v>
      </c>
      <c r="M28" s="50">
        <f t="shared" si="19"/>
        <v>0</v>
      </c>
      <c r="N28" s="50">
        <f t="shared" si="19"/>
        <v>0</v>
      </c>
      <c r="O28" s="50">
        <f t="shared" si="19"/>
        <v>0</v>
      </c>
      <c r="P28" s="50">
        <f t="shared" si="19"/>
        <v>0</v>
      </c>
      <c r="Q28" s="50">
        <f t="shared" si="19"/>
        <v>0</v>
      </c>
      <c r="R28" s="50">
        <f t="shared" si="19"/>
        <v>0</v>
      </c>
      <c r="S28" s="50">
        <f t="shared" si="19"/>
        <v>0</v>
      </c>
      <c r="T28" s="50">
        <f t="shared" si="19"/>
        <v>0</v>
      </c>
      <c r="U28" s="49">
        <f t="shared" si="3"/>
        <v>0</v>
      </c>
      <c r="V28" s="50">
        <f t="shared" si="4"/>
        <v>0</v>
      </c>
      <c r="W28" s="50">
        <f t="shared" si="4"/>
        <v>0</v>
      </c>
      <c r="X28" s="50">
        <f t="shared" si="4"/>
        <v>0</v>
      </c>
      <c r="Y28" s="50">
        <f t="shared" si="4"/>
        <v>0</v>
      </c>
      <c r="Z28" s="49">
        <f t="shared" si="5"/>
        <v>0</v>
      </c>
      <c r="AA28" s="50">
        <f t="shared" si="6"/>
        <v>0</v>
      </c>
      <c r="AB28" s="50">
        <f t="shared" si="6"/>
        <v>0</v>
      </c>
      <c r="AC28" s="50">
        <f t="shared" si="6"/>
        <v>0</v>
      </c>
      <c r="AD28" s="50">
        <f t="shared" si="6"/>
        <v>0</v>
      </c>
      <c r="AE28" s="49">
        <f t="shared" si="7"/>
        <v>0</v>
      </c>
      <c r="AF28" s="50">
        <f t="shared" si="8"/>
        <v>0</v>
      </c>
      <c r="AG28" s="50">
        <f t="shared" si="8"/>
        <v>0</v>
      </c>
      <c r="AH28" s="50">
        <f t="shared" si="8"/>
        <v>0</v>
      </c>
      <c r="AI28" s="50">
        <f t="shared" si="8"/>
        <v>0</v>
      </c>
      <c r="AJ28" s="49">
        <f t="shared" si="9"/>
        <v>0</v>
      </c>
      <c r="AK28" s="50">
        <f t="shared" si="10"/>
        <v>0</v>
      </c>
      <c r="AL28" s="50">
        <f t="shared" si="10"/>
        <v>0</v>
      </c>
      <c r="AM28" s="50">
        <f t="shared" si="10"/>
        <v>0</v>
      </c>
      <c r="AN28" s="50">
        <f t="shared" si="10"/>
        <v>0</v>
      </c>
      <c r="AO28" s="49">
        <f t="shared" si="11"/>
        <v>0</v>
      </c>
      <c r="AP28" s="50">
        <f t="shared" si="12"/>
        <v>0</v>
      </c>
      <c r="AQ28" s="50">
        <f t="shared" si="12"/>
        <v>0</v>
      </c>
      <c r="AR28" s="50">
        <f t="shared" si="12"/>
        <v>0</v>
      </c>
      <c r="AS28" s="50">
        <f t="shared" si="12"/>
        <v>0</v>
      </c>
      <c r="AT28" s="49">
        <f t="shared" si="13"/>
        <v>0</v>
      </c>
      <c r="AU28" s="50">
        <f t="shared" si="14"/>
        <v>0</v>
      </c>
      <c r="AV28" s="50">
        <f t="shared" si="14"/>
        <v>0</v>
      </c>
      <c r="AW28" s="50">
        <f t="shared" si="14"/>
        <v>0</v>
      </c>
      <c r="AX28" s="50">
        <f t="shared" si="14"/>
        <v>0</v>
      </c>
      <c r="AY28" s="49">
        <f t="shared" si="15"/>
        <v>0</v>
      </c>
      <c r="AZ28" s="50">
        <f t="shared" si="16"/>
        <v>0</v>
      </c>
      <c r="BA28" s="50">
        <f t="shared" si="16"/>
        <v>0</v>
      </c>
      <c r="BB28" s="50">
        <f t="shared" si="16"/>
        <v>0</v>
      </c>
      <c r="BC28" s="50">
        <f t="shared" si="16"/>
        <v>0</v>
      </c>
      <c r="BD28" s="49">
        <f t="shared" si="17"/>
        <v>0</v>
      </c>
      <c r="BF28" s="409"/>
    </row>
    <row r="29" spans="1:58" x14ac:dyDescent="0.25">
      <c r="A29" s="7" t="s">
        <v>132</v>
      </c>
      <c r="B29" s="7" t="s">
        <v>248</v>
      </c>
      <c r="C29" s="7" t="s">
        <v>246</v>
      </c>
      <c r="D29" s="7" t="s">
        <v>147</v>
      </c>
      <c r="E29" s="7" t="s">
        <v>256</v>
      </c>
      <c r="F29" s="47" t="str">
        <f t="shared" si="0"/>
        <v>TWh</v>
      </c>
      <c r="G29" s="47" t="s">
        <v>292</v>
      </c>
      <c r="H29" s="47" t="s">
        <v>247</v>
      </c>
      <c r="I29" s="47"/>
      <c r="J29" s="49">
        <f t="shared" si="1"/>
        <v>23818.899236000001</v>
      </c>
      <c r="K29" s="50">
        <f t="shared" ref="K29:T31" si="20">$J29-(($J29-$U29)/(11)*(K$24-$J$24))</f>
        <v>24233.259259908773</v>
      </c>
      <c r="L29" s="50">
        <f t="shared" si="20"/>
        <v>24647.619283817541</v>
      </c>
      <c r="M29" s="50">
        <f t="shared" si="20"/>
        <v>25061.979307726313</v>
      </c>
      <c r="N29" s="50">
        <f t="shared" si="20"/>
        <v>25476.339331635085</v>
      </c>
      <c r="O29" s="50">
        <f t="shared" si="20"/>
        <v>25890.699355543853</v>
      </c>
      <c r="P29" s="50">
        <f t="shared" si="20"/>
        <v>26305.059379452625</v>
      </c>
      <c r="Q29" s="50">
        <f t="shared" si="20"/>
        <v>26719.419403361397</v>
      </c>
      <c r="R29" s="50">
        <f t="shared" si="20"/>
        <v>27133.779427270165</v>
      </c>
      <c r="S29" s="50">
        <f t="shared" si="20"/>
        <v>27548.139451178937</v>
      </c>
      <c r="T29" s="50">
        <f t="shared" si="20"/>
        <v>27962.499475087709</v>
      </c>
      <c r="U29" s="49">
        <f t="shared" si="3"/>
        <v>28376.859498996477</v>
      </c>
      <c r="V29" s="50">
        <f t="shared" si="4"/>
        <v>28893.346505709778</v>
      </c>
      <c r="W29" s="50">
        <f t="shared" si="4"/>
        <v>29409.833512423083</v>
      </c>
      <c r="X29" s="50">
        <f t="shared" si="4"/>
        <v>29926.320519136385</v>
      </c>
      <c r="Y29" s="50">
        <f t="shared" si="4"/>
        <v>30442.80752584969</v>
      </c>
      <c r="Z29" s="49">
        <f t="shared" si="5"/>
        <v>30959.294532562992</v>
      </c>
      <c r="AA29" s="50">
        <f t="shared" si="6"/>
        <v>31532.398945567642</v>
      </c>
      <c r="AB29" s="50">
        <f t="shared" si="6"/>
        <v>32105.503358572296</v>
      </c>
      <c r="AC29" s="50">
        <f t="shared" si="6"/>
        <v>32678.607771576946</v>
      </c>
      <c r="AD29" s="50">
        <f t="shared" si="6"/>
        <v>33251.7121845816</v>
      </c>
      <c r="AE29" s="49">
        <f t="shared" si="7"/>
        <v>33824.81659758625</v>
      </c>
      <c r="AF29" s="50">
        <f t="shared" si="8"/>
        <v>34462.920300872654</v>
      </c>
      <c r="AG29" s="50">
        <f t="shared" si="8"/>
        <v>35101.024004159051</v>
      </c>
      <c r="AH29" s="50">
        <f t="shared" si="8"/>
        <v>35739.127707445456</v>
      </c>
      <c r="AI29" s="50">
        <f t="shared" si="8"/>
        <v>36377.231410731853</v>
      </c>
      <c r="AJ29" s="49">
        <f t="shared" si="9"/>
        <v>37015.335114018257</v>
      </c>
      <c r="AK29" s="50">
        <f t="shared" si="10"/>
        <v>37708.528588042922</v>
      </c>
      <c r="AL29" s="50">
        <f t="shared" si="10"/>
        <v>38401.722062067587</v>
      </c>
      <c r="AM29" s="50">
        <f t="shared" si="10"/>
        <v>39094.91553609226</v>
      </c>
      <c r="AN29" s="50">
        <f t="shared" si="10"/>
        <v>39788.109010116925</v>
      </c>
      <c r="AO29" s="49">
        <f t="shared" si="11"/>
        <v>40481.30248414159</v>
      </c>
      <c r="AP29" s="50">
        <f t="shared" si="12"/>
        <v>41249.186561090064</v>
      </c>
      <c r="AQ29" s="50">
        <f t="shared" si="12"/>
        <v>42017.070638038545</v>
      </c>
      <c r="AR29" s="50">
        <f t="shared" si="12"/>
        <v>42784.95471498702</v>
      </c>
      <c r="AS29" s="50">
        <f t="shared" si="12"/>
        <v>43552.838791935501</v>
      </c>
      <c r="AT29" s="49">
        <f t="shared" si="13"/>
        <v>44320.722868883975</v>
      </c>
      <c r="AU29" s="50">
        <f t="shared" ref="AU29:AX31" si="21">$AT29-(($AT29-$AY29)/(5)*(AU$24-$AT$24))</f>
        <v>45176.664994713465</v>
      </c>
      <c r="AV29" s="50">
        <f t="shared" si="21"/>
        <v>46032.607120542954</v>
      </c>
      <c r="AW29" s="50">
        <f t="shared" si="21"/>
        <v>46888.549246372451</v>
      </c>
      <c r="AX29" s="50">
        <f t="shared" si="21"/>
        <v>47744.491372201941</v>
      </c>
      <c r="AY29" s="49">
        <f t="shared" si="15"/>
        <v>48600.433498031431</v>
      </c>
      <c r="AZ29" s="50">
        <f t="shared" ref="AZ29:BC31" si="22">$AY29-(($AY29-$BD29)/(5)*(AZ$24-$AY$24))</f>
        <v>49504.860135650073</v>
      </c>
      <c r="BA29" s="50">
        <f t="shared" si="22"/>
        <v>50409.286773268715</v>
      </c>
      <c r="BB29" s="50">
        <f t="shared" si="22"/>
        <v>51313.713410887365</v>
      </c>
      <c r="BC29" s="50">
        <f t="shared" si="22"/>
        <v>52218.140048506008</v>
      </c>
      <c r="BD29" s="49">
        <f t="shared" si="17"/>
        <v>53122.56668612465</v>
      </c>
      <c r="BF29" s="409"/>
    </row>
    <row r="30" spans="1:58" x14ac:dyDescent="0.25">
      <c r="A30" s="7" t="s">
        <v>132</v>
      </c>
      <c r="B30" s="7" t="s">
        <v>248</v>
      </c>
      <c r="C30" s="7" t="s">
        <v>246</v>
      </c>
      <c r="D30" s="7" t="s">
        <v>288</v>
      </c>
      <c r="E30" s="7" t="s">
        <v>256</v>
      </c>
      <c r="F30" s="47" t="str">
        <f t="shared" si="0"/>
        <v>TWh</v>
      </c>
      <c r="G30" s="47" t="s">
        <v>292</v>
      </c>
      <c r="H30" s="47" t="s">
        <v>247</v>
      </c>
      <c r="I30" s="47"/>
      <c r="J30" s="49">
        <f t="shared" si="1"/>
        <v>10792.753189999999</v>
      </c>
      <c r="K30" s="50">
        <f t="shared" si="20"/>
        <v>10782.435380644547</v>
      </c>
      <c r="L30" s="50">
        <f t="shared" si="20"/>
        <v>10772.117571289094</v>
      </c>
      <c r="M30" s="50">
        <f t="shared" si="20"/>
        <v>10761.79976193364</v>
      </c>
      <c r="N30" s="50">
        <f t="shared" si="20"/>
        <v>10751.481952578188</v>
      </c>
      <c r="O30" s="50">
        <f t="shared" si="20"/>
        <v>10741.164143222735</v>
      </c>
      <c r="P30" s="50">
        <f t="shared" si="20"/>
        <v>10730.846333867283</v>
      </c>
      <c r="Q30" s="50">
        <f t="shared" si="20"/>
        <v>10720.52852451183</v>
      </c>
      <c r="R30" s="50">
        <f t="shared" si="20"/>
        <v>10710.210715156378</v>
      </c>
      <c r="S30" s="50">
        <f t="shared" si="20"/>
        <v>10699.892905800923</v>
      </c>
      <c r="T30" s="50">
        <f t="shared" si="20"/>
        <v>10689.575096445471</v>
      </c>
      <c r="U30" s="49">
        <f t="shared" si="3"/>
        <v>10679.257287090019</v>
      </c>
      <c r="V30" s="50">
        <f t="shared" si="4"/>
        <v>10721.505922205135</v>
      </c>
      <c r="W30" s="50">
        <f t="shared" si="4"/>
        <v>10763.75455732025</v>
      </c>
      <c r="X30" s="50">
        <f t="shared" si="4"/>
        <v>10806.003192435366</v>
      </c>
      <c r="Y30" s="50">
        <f t="shared" si="4"/>
        <v>10848.251827550481</v>
      </c>
      <c r="Z30" s="49">
        <f t="shared" si="5"/>
        <v>10890.500462665597</v>
      </c>
      <c r="AA30" s="50">
        <f t="shared" si="6"/>
        <v>10941.834238218695</v>
      </c>
      <c r="AB30" s="50">
        <f t="shared" si="6"/>
        <v>10993.168013771792</v>
      </c>
      <c r="AC30" s="50">
        <f t="shared" si="6"/>
        <v>11044.501789324891</v>
      </c>
      <c r="AD30" s="50">
        <f t="shared" si="6"/>
        <v>11095.835564877989</v>
      </c>
      <c r="AE30" s="49">
        <f t="shared" si="7"/>
        <v>11147.169340431086</v>
      </c>
      <c r="AF30" s="50">
        <f t="shared" si="8"/>
        <v>11237.020972177006</v>
      </c>
      <c r="AG30" s="50">
        <f t="shared" si="8"/>
        <v>11326.872603922926</v>
      </c>
      <c r="AH30" s="50">
        <f t="shared" si="8"/>
        <v>11416.724235668844</v>
      </c>
      <c r="AI30" s="50">
        <f t="shared" si="8"/>
        <v>11506.575867414764</v>
      </c>
      <c r="AJ30" s="49">
        <f t="shared" si="9"/>
        <v>11596.427499160684</v>
      </c>
      <c r="AK30" s="50">
        <f>$AJ30-(($AJ30-$AO30)/(5)*(AK$24-$AJ$24))</f>
        <v>11720.931835602536</v>
      </c>
      <c r="AL30" s="50">
        <f t="shared" si="10"/>
        <v>11845.436172044389</v>
      </c>
      <c r="AM30" s="50">
        <f t="shared" si="10"/>
        <v>11969.940508486239</v>
      </c>
      <c r="AN30" s="50">
        <f t="shared" si="10"/>
        <v>12094.444844928092</v>
      </c>
      <c r="AO30" s="49">
        <f t="shared" si="11"/>
        <v>12218.949181369944</v>
      </c>
      <c r="AP30" s="50">
        <f t="shared" si="12"/>
        <v>12352.486415017484</v>
      </c>
      <c r="AQ30" s="50">
        <f t="shared" si="12"/>
        <v>12486.023648665025</v>
      </c>
      <c r="AR30" s="50">
        <f t="shared" si="12"/>
        <v>12619.560882312564</v>
      </c>
      <c r="AS30" s="50">
        <f t="shared" si="12"/>
        <v>12753.098115960105</v>
      </c>
      <c r="AT30" s="49">
        <f t="shared" si="13"/>
        <v>12886.635349607644</v>
      </c>
      <c r="AU30" s="50">
        <f t="shared" si="21"/>
        <v>13021.871445519542</v>
      </c>
      <c r="AV30" s="50">
        <f t="shared" si="21"/>
        <v>13157.10754143144</v>
      </c>
      <c r="AW30" s="50">
        <f t="shared" si="21"/>
        <v>13292.34363734334</v>
      </c>
      <c r="AX30" s="50">
        <f t="shared" si="21"/>
        <v>13427.579733255237</v>
      </c>
      <c r="AY30" s="49">
        <f t="shared" si="15"/>
        <v>13562.815829167135</v>
      </c>
      <c r="AZ30" s="50">
        <f t="shared" si="22"/>
        <v>13686.60708645637</v>
      </c>
      <c r="BA30" s="50">
        <f t="shared" si="22"/>
        <v>13810.398343745606</v>
      </c>
      <c r="BB30" s="50">
        <f t="shared" si="22"/>
        <v>13934.189601034841</v>
      </c>
      <c r="BC30" s="50">
        <f t="shared" si="22"/>
        <v>14057.980858324077</v>
      </c>
      <c r="BD30" s="49">
        <f t="shared" si="17"/>
        <v>14181.772115613312</v>
      </c>
      <c r="BF30" s="409"/>
    </row>
    <row r="31" spans="1:58" x14ac:dyDescent="0.25">
      <c r="A31" s="7" t="s">
        <v>132</v>
      </c>
      <c r="B31" s="7" t="s">
        <v>248</v>
      </c>
      <c r="C31" s="7" t="s">
        <v>246</v>
      </c>
      <c r="D31" s="7" t="s">
        <v>290</v>
      </c>
      <c r="E31" s="7" t="s">
        <v>256</v>
      </c>
      <c r="F31" s="47" t="str">
        <f t="shared" si="0"/>
        <v>TWh</v>
      </c>
      <c r="G31" s="47" t="s">
        <v>292</v>
      </c>
      <c r="H31" s="47" t="s">
        <v>247</v>
      </c>
      <c r="I31" s="47"/>
      <c r="J31" s="49">
        <f t="shared" si="1"/>
        <v>13048.41631452</v>
      </c>
      <c r="K31" s="50">
        <f t="shared" si="20"/>
        <v>13458.775079719841</v>
      </c>
      <c r="L31" s="50">
        <f t="shared" si="20"/>
        <v>13869.133844919681</v>
      </c>
      <c r="M31" s="50">
        <f t="shared" si="20"/>
        <v>14279.492610119521</v>
      </c>
      <c r="N31" s="50">
        <f t="shared" si="20"/>
        <v>14689.851375319362</v>
      </c>
      <c r="O31" s="50">
        <f t="shared" si="20"/>
        <v>15100.210140519204</v>
      </c>
      <c r="P31" s="50">
        <f t="shared" si="20"/>
        <v>15510.568905719043</v>
      </c>
      <c r="Q31" s="50">
        <f t="shared" si="20"/>
        <v>15920.927670918885</v>
      </c>
      <c r="R31" s="50">
        <f t="shared" si="20"/>
        <v>16331.286436118726</v>
      </c>
      <c r="S31" s="50">
        <f t="shared" si="20"/>
        <v>16741.645201318566</v>
      </c>
      <c r="T31" s="50">
        <f t="shared" si="20"/>
        <v>17152.003966518409</v>
      </c>
      <c r="U31" s="49">
        <f t="shared" si="3"/>
        <v>17562.362731718247</v>
      </c>
      <c r="V31" s="50">
        <f t="shared" si="4"/>
        <v>18012.336609436963</v>
      </c>
      <c r="W31" s="50">
        <f t="shared" si="4"/>
        <v>18462.310487155682</v>
      </c>
      <c r="X31" s="50">
        <f t="shared" si="4"/>
        <v>18912.284364874398</v>
      </c>
      <c r="Y31" s="50">
        <f t="shared" si="4"/>
        <v>19362.258242593118</v>
      </c>
      <c r="Z31" s="49">
        <f t="shared" si="5"/>
        <v>19812.232120311834</v>
      </c>
      <c r="AA31" s="50">
        <f t="shared" si="6"/>
        <v>20300.159477065361</v>
      </c>
      <c r="AB31" s="50">
        <f t="shared" si="6"/>
        <v>20788.086833818888</v>
      </c>
      <c r="AC31" s="50">
        <f t="shared" si="6"/>
        <v>21276.014190572416</v>
      </c>
      <c r="AD31" s="50">
        <f t="shared" si="6"/>
        <v>21763.941547325943</v>
      </c>
      <c r="AE31" s="49">
        <f t="shared" si="7"/>
        <v>22251.868904079471</v>
      </c>
      <c r="AF31" s="50">
        <f t="shared" si="8"/>
        <v>22764.39875526067</v>
      </c>
      <c r="AG31" s="50">
        <f t="shared" si="8"/>
        <v>23276.92860644187</v>
      </c>
      <c r="AH31" s="50">
        <f t="shared" si="8"/>
        <v>23789.45845762307</v>
      </c>
      <c r="AI31" s="50">
        <f t="shared" si="8"/>
        <v>24301.98830880427</v>
      </c>
      <c r="AJ31" s="49">
        <f t="shared" si="9"/>
        <v>24814.51815998547</v>
      </c>
      <c r="AK31" s="50">
        <f t="shared" si="10"/>
        <v>25346.065991490887</v>
      </c>
      <c r="AL31" s="50">
        <f t="shared" si="10"/>
        <v>25877.6138229963</v>
      </c>
      <c r="AM31" s="50">
        <f t="shared" si="10"/>
        <v>26409.161654501717</v>
      </c>
      <c r="AN31" s="50">
        <f t="shared" si="10"/>
        <v>26940.70948600713</v>
      </c>
      <c r="AO31" s="49">
        <f t="shared" si="11"/>
        <v>27472.257317512547</v>
      </c>
      <c r="AP31" s="50">
        <f t="shared" si="12"/>
        <v>28068.497115168924</v>
      </c>
      <c r="AQ31" s="50">
        <f t="shared" si="12"/>
        <v>28664.736912825301</v>
      </c>
      <c r="AR31" s="50">
        <f t="shared" si="12"/>
        <v>29260.976710481682</v>
      </c>
      <c r="AS31" s="50">
        <f t="shared" si="12"/>
        <v>29857.216508138059</v>
      </c>
      <c r="AT31" s="49">
        <f t="shared" si="13"/>
        <v>30453.456305794436</v>
      </c>
      <c r="AU31" s="50">
        <f t="shared" si="21"/>
        <v>31129.806833280363</v>
      </c>
      <c r="AV31" s="50">
        <f t="shared" si="21"/>
        <v>31806.15736076629</v>
      </c>
      <c r="AW31" s="50">
        <f t="shared" si="21"/>
        <v>32482.507888252221</v>
      </c>
      <c r="AX31" s="50">
        <f t="shared" si="21"/>
        <v>33158.858415738148</v>
      </c>
      <c r="AY31" s="49">
        <f t="shared" si="15"/>
        <v>33835.208943224075</v>
      </c>
      <c r="AZ31" s="50">
        <f t="shared" si="22"/>
        <v>34565.319215808107</v>
      </c>
      <c r="BA31" s="50">
        <f t="shared" si="22"/>
        <v>35295.429488392139</v>
      </c>
      <c r="BB31" s="50">
        <f t="shared" si="22"/>
        <v>36025.539760976171</v>
      </c>
      <c r="BC31" s="50">
        <f t="shared" si="22"/>
        <v>36755.650033560203</v>
      </c>
      <c r="BD31" s="49">
        <f t="shared" si="17"/>
        <v>37485.760306144235</v>
      </c>
      <c r="BF31" s="409"/>
    </row>
    <row r="32" spans="1:58" x14ac:dyDescent="0.25">
      <c r="A32" s="7" t="s">
        <v>294</v>
      </c>
      <c r="B32" s="7" t="s">
        <v>248</v>
      </c>
      <c r="C32" s="7" t="s">
        <v>246</v>
      </c>
      <c r="D32" s="7" t="s">
        <v>147</v>
      </c>
      <c r="E32" s="7" t="s">
        <v>295</v>
      </c>
      <c r="F32" s="47" t="str">
        <f t="shared" si="0"/>
        <v>tCO2/MWh</v>
      </c>
      <c r="G32" s="47" t="s">
        <v>296</v>
      </c>
      <c r="H32" s="47" t="s">
        <v>247</v>
      </c>
      <c r="I32" s="47"/>
      <c r="J32" s="50">
        <f t="shared" ref="J32:BD32" si="23">+J25/J29</f>
        <v>0.57202495010378573</v>
      </c>
      <c r="K32" s="50">
        <f t="shared" si="23"/>
        <v>0.5462795847930102</v>
      </c>
      <c r="L32" s="50">
        <f t="shared" si="23"/>
        <v>0.52139984873939516</v>
      </c>
      <c r="M32" s="50">
        <f t="shared" si="23"/>
        <v>0.49734280652806911</v>
      </c>
      <c r="N32" s="50">
        <f t="shared" si="23"/>
        <v>0.4740683160370745</v>
      </c>
      <c r="O32" s="50">
        <f t="shared" si="23"/>
        <v>0.45153880491522541</v>
      </c>
      <c r="P32" s="50">
        <f t="shared" si="23"/>
        <v>0.42971906818562816</v>
      </c>
      <c r="Q32" s="50">
        <f t="shared" si="23"/>
        <v>0.40857608468157613</v>
      </c>
      <c r="R32" s="50">
        <f t="shared" si="23"/>
        <v>0.38807885030169048</v>
      </c>
      <c r="S32" s="50">
        <f t="shared" si="23"/>
        <v>0.36819822631342597</v>
      </c>
      <c r="T32" s="50">
        <f t="shared" si="23"/>
        <v>0.34890680114398936</v>
      </c>
      <c r="U32" s="50">
        <f t="shared" si="23"/>
        <v>0.33017876428006449</v>
      </c>
      <c r="V32" s="50">
        <f t="shared" si="23"/>
        <v>0.30845125558735714</v>
      </c>
      <c r="W32" s="50">
        <f t="shared" si="23"/>
        <v>0.28748689136626293</v>
      </c>
      <c r="X32" s="50">
        <f t="shared" si="23"/>
        <v>0.26724615915447475</v>
      </c>
      <c r="Y32" s="50">
        <f t="shared" si="23"/>
        <v>0.24769222793401269</v>
      </c>
      <c r="Z32" s="50">
        <f t="shared" si="23"/>
        <v>0.22879072446153514</v>
      </c>
      <c r="AA32" s="50">
        <f t="shared" si="23"/>
        <v>0.20988854530866577</v>
      </c>
      <c r="AB32" s="50">
        <f t="shared" si="23"/>
        <v>0.19166119888879704</v>
      </c>
      <c r="AC32" s="50">
        <f t="shared" si="23"/>
        <v>0.17407318035851346</v>
      </c>
      <c r="AD32" s="50">
        <f t="shared" si="23"/>
        <v>0.15709143262594158</v>
      </c>
      <c r="AE32" s="50">
        <f t="shared" si="23"/>
        <v>0.14068513898566262</v>
      </c>
      <c r="AF32" s="50">
        <f t="shared" si="23"/>
        <v>0.12591213871405804</v>
      </c>
      <c r="AG32" s="50">
        <f t="shared" si="23"/>
        <v>0.11167625702798792</v>
      </c>
      <c r="AH32" s="50">
        <f t="shared" si="23"/>
        <v>9.7948724001000242E-2</v>
      </c>
      <c r="AI32" s="50">
        <f t="shared" si="23"/>
        <v>8.4702788353571437E-2</v>
      </c>
      <c r="AJ32" s="50">
        <f t="shared" si="23"/>
        <v>7.1913543456831874E-2</v>
      </c>
      <c r="AK32" s="50">
        <f t="shared" si="23"/>
        <v>6.0841808846573538E-2</v>
      </c>
      <c r="AL32" s="50">
        <f t="shared" si="23"/>
        <v>5.0169788299427247E-2</v>
      </c>
      <c r="AM32" s="50">
        <f t="shared" si="23"/>
        <v>3.9876219778407426E-2</v>
      </c>
      <c r="AN32" s="50">
        <f t="shared" si="23"/>
        <v>2.9941322966132677E-2</v>
      </c>
      <c r="AO32" s="50">
        <f t="shared" si="23"/>
        <v>2.0346672401521292E-2</v>
      </c>
      <c r="AP32" s="50">
        <f t="shared" si="23"/>
        <v>1.4249832206722938E-2</v>
      </c>
      <c r="AQ32" s="50">
        <f t="shared" si="23"/>
        <v>8.3758379378395913E-3</v>
      </c>
      <c r="AR32" s="50">
        <f t="shared" si="23"/>
        <v>2.7126909958826986E-3</v>
      </c>
      <c r="AS32" s="50">
        <f t="shared" si="23"/>
        <v>-2.7507610245595293E-3</v>
      </c>
      <c r="AT32" s="50">
        <f t="shared" si="23"/>
        <v>-8.024897639471E-3</v>
      </c>
      <c r="AU32" s="50">
        <f t="shared" si="23"/>
        <v>-1.1562155085934419E-2</v>
      </c>
      <c r="AV32" s="50">
        <f t="shared" si="23"/>
        <v>-1.4967867184535891E-2</v>
      </c>
      <c r="AW32" s="50">
        <f t="shared" si="23"/>
        <v>-1.8249237946052134E-2</v>
      </c>
      <c r="AX32" s="50">
        <f t="shared" si="23"/>
        <v>-2.1412954779983253E-2</v>
      </c>
      <c r="AY32" s="50">
        <f t="shared" si="23"/>
        <v>-2.4465233985998262E-2</v>
      </c>
      <c r="AZ32" s="50">
        <f t="shared" si="23"/>
        <v>-2.6259725765228E-2</v>
      </c>
      <c r="BA32" s="50">
        <f t="shared" si="23"/>
        <v>-2.7989825196538875E-2</v>
      </c>
      <c r="BB32" s="50">
        <f t="shared" si="23"/>
        <v>-2.9658937109800644E-2</v>
      </c>
      <c r="BC32" s="50">
        <f t="shared" si="23"/>
        <v>-3.1270230446065299E-2</v>
      </c>
      <c r="BD32" s="50">
        <f t="shared" si="23"/>
        <v>-3.2826658337934321E-2</v>
      </c>
      <c r="BF32" s="409"/>
    </row>
    <row r="33" spans="1:58" x14ac:dyDescent="0.25">
      <c r="A33" s="7" t="s">
        <v>294</v>
      </c>
      <c r="B33" s="7" t="s">
        <v>248</v>
      </c>
      <c r="C33" s="7" t="s">
        <v>288</v>
      </c>
      <c r="D33" s="7" t="s">
        <v>288</v>
      </c>
      <c r="E33" s="7" t="s">
        <v>295</v>
      </c>
      <c r="F33" s="47" t="str">
        <f t="shared" si="0"/>
        <v>tCO2/MWh</v>
      </c>
      <c r="G33" s="47" t="s">
        <v>296</v>
      </c>
      <c r="H33" s="47" t="s">
        <v>247</v>
      </c>
      <c r="I33" s="47"/>
      <c r="J33" s="50">
        <f t="shared" ref="J33:BD33" si="24">+J26/J30</f>
        <v>0.43863901718667953</v>
      </c>
      <c r="K33" s="50">
        <f t="shared" si="24"/>
        <v>0.42076438461628896</v>
      </c>
      <c r="L33" s="50">
        <f t="shared" si="24"/>
        <v>0.40285551048662471</v>
      </c>
      <c r="M33" s="50">
        <f t="shared" si="24"/>
        <v>0.38491229631103357</v>
      </c>
      <c r="N33" s="50">
        <f t="shared" si="24"/>
        <v>0.3669346432248059</v>
      </c>
      <c r="O33" s="50">
        <f t="shared" si="24"/>
        <v>0.3489224519833598</v>
      </c>
      <c r="P33" s="50">
        <f t="shared" si="24"/>
        <v>0.33087562296041517</v>
      </c>
      <c r="Q33" s="50">
        <f t="shared" si="24"/>
        <v>0.3127940561461568</v>
      </c>
      <c r="R33" s="50">
        <f t="shared" si="24"/>
        <v>0.29467765114538663</v>
      </c>
      <c r="S33" s="50">
        <f t="shared" si="24"/>
        <v>0.27652630717566618</v>
      </c>
      <c r="T33" s="50">
        <f t="shared" si="24"/>
        <v>0.25833992306544701</v>
      </c>
      <c r="U33" s="50">
        <f t="shared" si="24"/>
        <v>0.24011839725219183</v>
      </c>
      <c r="V33" s="50">
        <f t="shared" si="24"/>
        <v>0.22531407101030579</v>
      </c>
      <c r="W33" s="50">
        <f t="shared" si="24"/>
        <v>0.21062596120092725</v>
      </c>
      <c r="X33" s="50">
        <f t="shared" si="24"/>
        <v>0.19605270469684868</v>
      </c>
      <c r="Y33" s="50">
        <f t="shared" si="24"/>
        <v>0.18159295960571803</v>
      </c>
      <c r="Z33" s="50">
        <f t="shared" si="24"/>
        <v>0.16724540485814543</v>
      </c>
      <c r="AA33" s="50">
        <f t="shared" si="24"/>
        <v>0.15420367803456289</v>
      </c>
      <c r="AB33" s="50">
        <f t="shared" si="24"/>
        <v>0.14128375069166649</v>
      </c>
      <c r="AC33" s="50">
        <f t="shared" si="24"/>
        <v>0.12848392449285673</v>
      </c>
      <c r="AD33" s="50">
        <f t="shared" si="24"/>
        <v>0.11580253253027312</v>
      </c>
      <c r="AE33" s="50">
        <f t="shared" si="24"/>
        <v>0.10323793860113228</v>
      </c>
      <c r="AF33" s="50">
        <f t="shared" si="24"/>
        <v>9.2487555431863946E-2</v>
      </c>
      <c r="AG33" s="50">
        <f t="shared" si="24"/>
        <v>8.1907729397548854E-2</v>
      </c>
      <c r="AH33" s="50">
        <f t="shared" si="24"/>
        <v>7.1494433554057019E-2</v>
      </c>
      <c r="AI33" s="50">
        <f t="shared" si="24"/>
        <v>6.1243766738378794E-2</v>
      </c>
      <c r="AJ33" s="50">
        <f t="shared" si="24"/>
        <v>5.1151948695728151E-2</v>
      </c>
      <c r="AK33" s="50">
        <f t="shared" si="24"/>
        <v>4.2028514449610581E-2</v>
      </c>
      <c r="AL33" s="50">
        <f t="shared" si="24"/>
        <v>3.309686835048662E-2</v>
      </c>
      <c r="AM33" s="50">
        <f t="shared" si="24"/>
        <v>2.4351025793179187E-2</v>
      </c>
      <c r="AN33" s="50">
        <f t="shared" si="24"/>
        <v>1.5785248602771015E-2</v>
      </c>
      <c r="AO33" s="50">
        <f t="shared" si="24"/>
        <v>7.3940324796641999E-3</v>
      </c>
      <c r="AP33" s="50">
        <f t="shared" si="24"/>
        <v>1.6176636235973089E-3</v>
      </c>
      <c r="AQ33" s="50">
        <f t="shared" si="24"/>
        <v>-4.0351494329177451E-3</v>
      </c>
      <c r="AR33" s="50">
        <f t="shared" si="24"/>
        <v>-9.5683290053625684E-3</v>
      </c>
      <c r="AS33" s="50">
        <f t="shared" si="24"/>
        <v>-1.4985633127519016E-2</v>
      </c>
      <c r="AT33" s="50">
        <f t="shared" si="24"/>
        <v>-2.0290664063281279E-2</v>
      </c>
      <c r="AU33" s="50">
        <f t="shared" si="24"/>
        <v>-2.4461489594551231E-2</v>
      </c>
      <c r="AV33" s="50">
        <f t="shared" si="24"/>
        <v>-2.8546574979698272E-2</v>
      </c>
      <c r="AW33" s="50">
        <f t="shared" si="24"/>
        <v>-3.2548537175432414E-2</v>
      </c>
      <c r="AX33" s="50">
        <f t="shared" si="24"/>
        <v>-3.6469887711569018E-2</v>
      </c>
      <c r="AY33" s="50">
        <f t="shared" si="24"/>
        <v>-4.031303794713547E-2</v>
      </c>
      <c r="AZ33" s="50">
        <f t="shared" si="24"/>
        <v>-4.3241541659219312E-2</v>
      </c>
      <c r="BA33" s="50">
        <f t="shared" si="24"/>
        <v>-4.6117545342343552E-2</v>
      </c>
      <c r="BB33" s="50">
        <f t="shared" si="24"/>
        <v>-4.894244822634046E-2</v>
      </c>
      <c r="BC33" s="50">
        <f t="shared" si="24"/>
        <v>-5.1717600255893295E-2</v>
      </c>
      <c r="BD33" s="50">
        <f t="shared" si="24"/>
        <v>-5.4444304241561846E-2</v>
      </c>
      <c r="BE33" s="49"/>
      <c r="BF33" s="409"/>
    </row>
    <row r="34" spans="1:58" x14ac:dyDescent="0.25">
      <c r="A34" s="7" t="s">
        <v>294</v>
      </c>
      <c r="B34" s="7" t="s">
        <v>248</v>
      </c>
      <c r="C34" s="7" t="s">
        <v>290</v>
      </c>
      <c r="D34" s="7" t="s">
        <v>290</v>
      </c>
      <c r="E34" s="7" t="s">
        <v>295</v>
      </c>
      <c r="F34" s="47" t="str">
        <f t="shared" si="0"/>
        <v>tCO2/MWh</v>
      </c>
      <c r="G34" s="47" t="s">
        <v>296</v>
      </c>
      <c r="H34" s="47" t="s">
        <v>247</v>
      </c>
      <c r="I34" s="47"/>
      <c r="J34" s="50">
        <f t="shared" ref="J34:BD34" si="25">+J27/J31</f>
        <v>0.67987225492861203</v>
      </c>
      <c r="K34" s="50">
        <f t="shared" si="25"/>
        <v>0.64518712562913239</v>
      </c>
      <c r="L34" s="50">
        <f t="shared" si="25"/>
        <v>0.61255451770399139</v>
      </c>
      <c r="M34" s="50">
        <f t="shared" si="25"/>
        <v>0.58179747735804033</v>
      </c>
      <c r="N34" s="50">
        <f t="shared" si="25"/>
        <v>0.55275882350560712</v>
      </c>
      <c r="O34" s="50">
        <f t="shared" si="25"/>
        <v>0.52529846108449296</v>
      </c>
      <c r="P34" s="50">
        <f t="shared" si="25"/>
        <v>0.49929112085535199</v>
      </c>
      <c r="Q34" s="50">
        <f t="shared" si="25"/>
        <v>0.47462444873841603</v>
      </c>
      <c r="R34" s="50">
        <f t="shared" si="25"/>
        <v>0.45119738320741432</v>
      </c>
      <c r="S34" s="50">
        <f t="shared" si="25"/>
        <v>0.42891877131617795</v>
      </c>
      <c r="T34" s="50">
        <f t="shared" si="25"/>
        <v>0.40770618339320797</v>
      </c>
      <c r="U34" s="50">
        <f t="shared" si="25"/>
        <v>0.38748489390994534</v>
      </c>
      <c r="V34" s="50">
        <f t="shared" si="25"/>
        <v>0.36066852413306577</v>
      </c>
      <c r="W34" s="50">
        <f t="shared" si="25"/>
        <v>0.33515932183159347</v>
      </c>
      <c r="X34" s="50">
        <f t="shared" si="25"/>
        <v>0.31086398396401521</v>
      </c>
      <c r="Y34" s="50">
        <f t="shared" si="25"/>
        <v>0.28769788084310627</v>
      </c>
      <c r="Z34" s="50">
        <f t="shared" si="25"/>
        <v>0.26558407119318489</v>
      </c>
      <c r="AA34" s="50">
        <f t="shared" si="25"/>
        <v>0.24290539521971807</v>
      </c>
      <c r="AB34" s="50">
        <f t="shared" si="25"/>
        <v>0.22129132384511224</v>
      </c>
      <c r="AC34" s="50">
        <f t="shared" si="25"/>
        <v>0.20066861265855956</v>
      </c>
      <c r="AD34" s="50">
        <f t="shared" si="25"/>
        <v>0.18097058553591741</v>
      </c>
      <c r="AE34" s="50">
        <f t="shared" si="25"/>
        <v>0.16213641450991512</v>
      </c>
      <c r="AF34" s="50">
        <f t="shared" si="25"/>
        <v>0.1449638726170687</v>
      </c>
      <c r="AG34" s="50">
        <f t="shared" si="25"/>
        <v>0.12854756798297368</v>
      </c>
      <c r="AH34" s="50">
        <f t="shared" si="25"/>
        <v>0.11283862255052216</v>
      </c>
      <c r="AI34" s="50">
        <f t="shared" si="25"/>
        <v>9.7792281622887306E-2</v>
      </c>
      <c r="AJ34" s="50">
        <f t="shared" si="25"/>
        <v>8.3367488035139783E-2</v>
      </c>
      <c r="AK34" s="50">
        <f t="shared" si="25"/>
        <v>7.1081710898589973E-2</v>
      </c>
      <c r="AL34" s="50">
        <f t="shared" si="25"/>
        <v>5.9300654038025494E-2</v>
      </c>
      <c r="AM34" s="50">
        <f t="shared" si="25"/>
        <v>4.7993841328714287E-2</v>
      </c>
      <c r="AN34" s="50">
        <f t="shared" si="25"/>
        <v>3.7133201856228482E-2</v>
      </c>
      <c r="AO34" s="50">
        <f t="shared" si="25"/>
        <v>2.669283723000963E-2</v>
      </c>
      <c r="AP34" s="50">
        <f t="shared" si="25"/>
        <v>2.0229505587526831E-2</v>
      </c>
      <c r="AQ34" s="50">
        <f t="shared" si="25"/>
        <v>1.4035054525557976E-2</v>
      </c>
      <c r="AR34" s="50">
        <f t="shared" si="25"/>
        <v>8.0930474120139602E-3</v>
      </c>
      <c r="AS34" s="50">
        <f t="shared" si="25"/>
        <v>2.3883605535638263E-3</v>
      </c>
      <c r="AT34" s="50">
        <f t="shared" si="25"/>
        <v>-3.0929453326891984E-3</v>
      </c>
      <c r="AU34" s="50">
        <f t="shared" si="25"/>
        <v>-6.5469482402999313E-3</v>
      </c>
      <c r="AV34" s="50">
        <f t="shared" si="25"/>
        <v>-9.8540540133714213E-3</v>
      </c>
      <c r="AW34" s="50">
        <f t="shared" si="25"/>
        <v>-1.302343872489411E-2</v>
      </c>
      <c r="AX34" s="50">
        <f t="shared" si="25"/>
        <v>-1.6063529780129357E-2</v>
      </c>
      <c r="AY34" s="50">
        <f t="shared" si="25"/>
        <v>-1.8982080744256322E-2</v>
      </c>
      <c r="AZ34" s="50">
        <f t="shared" si="25"/>
        <v>-2.0487415616919937E-2</v>
      </c>
      <c r="BA34" s="50">
        <f t="shared" si="25"/>
        <v>-2.1930472711970891E-2</v>
      </c>
      <c r="BB34" s="50">
        <f t="shared" si="25"/>
        <v>-2.3315038480256869E-2</v>
      </c>
      <c r="BC34" s="50">
        <f t="shared" si="25"/>
        <v>-2.4644598518018652E-2</v>
      </c>
      <c r="BD34" s="50">
        <f t="shared" si="25"/>
        <v>-2.5922366865620803E-2</v>
      </c>
      <c r="BE34" s="49"/>
      <c r="BF34" s="409"/>
    </row>
    <row r="35" spans="1:58" x14ac:dyDescent="0.25">
      <c r="A35" s="410" t="s">
        <v>294</v>
      </c>
      <c r="B35" s="410" t="s">
        <v>300</v>
      </c>
      <c r="C35" s="410" t="s">
        <v>246</v>
      </c>
      <c r="D35" s="410" t="s">
        <v>147</v>
      </c>
      <c r="E35" s="410" t="s">
        <v>295</v>
      </c>
      <c r="F35" s="410" t="s">
        <v>148</v>
      </c>
      <c r="G35" s="410"/>
      <c r="H35" s="410" t="s">
        <v>247</v>
      </c>
      <c r="J35" s="419">
        <f>J32</f>
        <v>0.57202495010378573</v>
      </c>
      <c r="K35" s="419">
        <f>K32</f>
        <v>0.5462795847930102</v>
      </c>
      <c r="L35" s="419">
        <f>L32</f>
        <v>0.52139984873939516</v>
      </c>
      <c r="M35" s="419">
        <f>M32</f>
        <v>0.49734280652806911</v>
      </c>
      <c r="N35" s="419">
        <f>N32</f>
        <v>0.4740683160370745</v>
      </c>
      <c r="O35" s="410">
        <f>K21</f>
        <v>0.46800000000000003</v>
      </c>
      <c r="P35" s="410">
        <f>L21</f>
        <v>0.438</v>
      </c>
      <c r="Q35" s="410">
        <f t="shared" ref="Q35:Y35" si="26">$O35-((Q$24-$O$24)*($O35-$Z35)/11)</f>
        <v>0.40800000000000003</v>
      </c>
      <c r="R35" s="410">
        <f t="shared" si="26"/>
        <v>0.378</v>
      </c>
      <c r="S35" s="410">
        <f t="shared" si="26"/>
        <v>0.34800000000000003</v>
      </c>
      <c r="T35" s="410">
        <f t="shared" si="26"/>
        <v>0.318</v>
      </c>
      <c r="U35" s="410">
        <f t="shared" si="26"/>
        <v>0.28800000000000003</v>
      </c>
      <c r="V35" s="410">
        <f t="shared" si="26"/>
        <v>0.25800000000000001</v>
      </c>
      <c r="W35" s="410">
        <f t="shared" si="26"/>
        <v>0.22800000000000001</v>
      </c>
      <c r="X35" s="410">
        <f t="shared" si="26"/>
        <v>0.19800000000000001</v>
      </c>
      <c r="Y35" s="410">
        <f t="shared" si="26"/>
        <v>0.16799999999999998</v>
      </c>
      <c r="Z35" s="419">
        <f>N21</f>
        <v>0.13800000000000001</v>
      </c>
      <c r="AA35" s="53">
        <f t="shared" ref="AA35:AI35" si="27">$Z35-(($Z35-$AJ35)/(10)*(AA$24-$Z$24))</f>
        <v>0.12410000000000002</v>
      </c>
      <c r="AB35" s="53">
        <f t="shared" si="27"/>
        <v>0.11020000000000001</v>
      </c>
      <c r="AC35" s="53">
        <f t="shared" si="27"/>
        <v>9.6300000000000011E-2</v>
      </c>
      <c r="AD35" s="53">
        <f t="shared" si="27"/>
        <v>8.2400000000000001E-2</v>
      </c>
      <c r="AE35" s="53">
        <f t="shared" si="27"/>
        <v>6.8500000000000005E-2</v>
      </c>
      <c r="AF35" s="53">
        <f t="shared" si="27"/>
        <v>5.460000000000001E-2</v>
      </c>
      <c r="AG35" s="53">
        <f t="shared" si="27"/>
        <v>4.07E-2</v>
      </c>
      <c r="AH35" s="53">
        <f t="shared" si="27"/>
        <v>2.6800000000000004E-2</v>
      </c>
      <c r="AI35" s="53">
        <f t="shared" si="27"/>
        <v>1.2899999999999995E-2</v>
      </c>
      <c r="AJ35" s="419">
        <f>P21</f>
        <v>-1E-3</v>
      </c>
      <c r="AK35" s="424">
        <f t="shared" ref="AK35:AS35" si="28">$AJ35-(($AJ35-$AT35)/(10)*(AK$24-$AJ$24))</f>
        <v>-1.4E-3</v>
      </c>
      <c r="AL35" s="424">
        <f t="shared" si="28"/>
        <v>-1.8E-3</v>
      </c>
      <c r="AM35" s="424">
        <f t="shared" si="28"/>
        <v>-2.2000000000000001E-3</v>
      </c>
      <c r="AN35" s="424">
        <f t="shared" si="28"/>
        <v>-2.5999999999999999E-3</v>
      </c>
      <c r="AO35" s="424">
        <f t="shared" si="28"/>
        <v>-3.0000000000000001E-3</v>
      </c>
      <c r="AP35" s="424">
        <f t="shared" si="28"/>
        <v>-3.4000000000000002E-3</v>
      </c>
      <c r="AQ35" s="424">
        <f t="shared" si="28"/>
        <v>-3.8E-3</v>
      </c>
      <c r="AR35" s="424">
        <f t="shared" si="28"/>
        <v>-4.2000000000000006E-3</v>
      </c>
      <c r="AS35" s="424">
        <f t="shared" si="28"/>
        <v>-4.5999999999999999E-3</v>
      </c>
      <c r="AT35" s="419">
        <f>R21</f>
        <v>-5.0000000000000001E-3</v>
      </c>
      <c r="BF35" s="409">
        <f>($U$24-$P$24)*(0.5*(P35-U35)+U35)+($Z$24-$U$24)*(0.5*(U35-Z35)+Z35)+($AE$24-$Z$24)*(0.5*(Z35-AE35)+AE35)+($AJ$24-$AE$24)*(0.5*(AE35-AJ35)+AJ35)+($AO$24-$AJ$24)*(0.5*(AJ35-AO35)+AO35)+($AT$24-$AO$24)*(0.5*(AO35-AT35)+AT35)</f>
        <v>3.5350000000000006</v>
      </c>
    </row>
    <row r="36" spans="1:58" s="457" customFormat="1" x14ac:dyDescent="0.25">
      <c r="A36" s="457" t="s">
        <v>137</v>
      </c>
      <c r="B36" s="460" t="s">
        <v>72</v>
      </c>
      <c r="C36" s="460" t="s">
        <v>246</v>
      </c>
      <c r="D36" s="460" t="s">
        <v>147</v>
      </c>
      <c r="E36" s="460" t="s">
        <v>254</v>
      </c>
      <c r="F36" s="461" t="s">
        <v>138</v>
      </c>
      <c r="G36" s="461"/>
      <c r="H36" s="460" t="s">
        <v>74</v>
      </c>
      <c r="I36" s="460"/>
      <c r="J36" s="478">
        <f t="shared" ref="J36:O36" si="29">$P$36</f>
        <v>450</v>
      </c>
      <c r="K36" s="478">
        <f t="shared" si="29"/>
        <v>450</v>
      </c>
      <c r="L36" s="478">
        <f t="shared" si="29"/>
        <v>450</v>
      </c>
      <c r="M36" s="478">
        <f t="shared" si="29"/>
        <v>450</v>
      </c>
      <c r="N36" s="478">
        <f t="shared" si="29"/>
        <v>450</v>
      </c>
      <c r="O36" s="478">
        <f t="shared" si="29"/>
        <v>450</v>
      </c>
      <c r="P36" s="469">
        <f t="shared" ref="P36:P44" si="30">L12</f>
        <v>450</v>
      </c>
      <c r="Q36" s="475">
        <f>$P36-((Q$24-$P$24)*($P36-$Z36)/10)</f>
        <v>439</v>
      </c>
      <c r="R36" s="475">
        <f t="shared" ref="R36:Y36" si="31">$P36-((R$24-$P$24)*($P36-$Z36)/10)</f>
        <v>428</v>
      </c>
      <c r="S36" s="475">
        <f t="shared" si="31"/>
        <v>417</v>
      </c>
      <c r="T36" s="475">
        <f t="shared" si="31"/>
        <v>406</v>
      </c>
      <c r="U36" s="475">
        <f t="shared" si="31"/>
        <v>395</v>
      </c>
      <c r="V36" s="475">
        <f t="shared" si="31"/>
        <v>384</v>
      </c>
      <c r="W36" s="475">
        <f t="shared" si="31"/>
        <v>373</v>
      </c>
      <c r="X36" s="475">
        <f t="shared" si="31"/>
        <v>362</v>
      </c>
      <c r="Y36" s="475">
        <f t="shared" si="31"/>
        <v>351</v>
      </c>
      <c r="Z36" s="469">
        <f t="shared" ref="Z36:Z44" si="32">N12</f>
        <v>340</v>
      </c>
      <c r="AA36" s="475">
        <f>$Z36-((AA$24-$Z$24)*($Z36-$AJ36)/10)</f>
        <v>320.5</v>
      </c>
      <c r="AB36" s="475">
        <f t="shared" ref="AB36:AI36" si="33">$Z36-((AB$24-$Z$24)*($Z36-$AJ36)/10)</f>
        <v>301</v>
      </c>
      <c r="AC36" s="475">
        <f t="shared" si="33"/>
        <v>281.5</v>
      </c>
      <c r="AD36" s="475">
        <f t="shared" si="33"/>
        <v>262</v>
      </c>
      <c r="AE36" s="475">
        <f t="shared" si="33"/>
        <v>242.5</v>
      </c>
      <c r="AF36" s="475">
        <f t="shared" si="33"/>
        <v>223</v>
      </c>
      <c r="AG36" s="475">
        <f t="shared" si="33"/>
        <v>203.5</v>
      </c>
      <c r="AH36" s="475">
        <f t="shared" si="33"/>
        <v>184</v>
      </c>
      <c r="AI36" s="475">
        <f t="shared" si="33"/>
        <v>164.5</v>
      </c>
      <c r="AJ36" s="469">
        <f t="shared" ref="AJ36:AJ44" si="34">P12</f>
        <v>145</v>
      </c>
      <c r="AK36" s="475">
        <f>$AJ36-((AK$24-$AJ$24)*($AJ36-$AT36)/10)</f>
        <v>132.5</v>
      </c>
      <c r="AL36" s="475">
        <f t="shared" ref="AL36:AS36" si="35">$AJ36-((AL$24-$AJ$24)*($AJ36-$AT36)/10)</f>
        <v>120</v>
      </c>
      <c r="AM36" s="475">
        <f t="shared" si="35"/>
        <v>107.5</v>
      </c>
      <c r="AN36" s="475">
        <f t="shared" si="35"/>
        <v>95</v>
      </c>
      <c r="AO36" s="475">
        <f t="shared" si="35"/>
        <v>82.5</v>
      </c>
      <c r="AP36" s="475">
        <f t="shared" si="35"/>
        <v>70</v>
      </c>
      <c r="AQ36" s="475">
        <f t="shared" si="35"/>
        <v>57.5</v>
      </c>
      <c r="AR36" s="475">
        <f t="shared" si="35"/>
        <v>45</v>
      </c>
      <c r="AS36" s="475">
        <f t="shared" si="35"/>
        <v>32.5</v>
      </c>
      <c r="AT36" s="469">
        <f t="shared" ref="AT36:AT44" si="36">R12</f>
        <v>20</v>
      </c>
      <c r="AU36" s="485">
        <f>SUM(P36:AT36)</f>
        <v>7435</v>
      </c>
    </row>
    <row r="37" spans="1:58" s="457" customFormat="1" x14ac:dyDescent="0.25">
      <c r="A37" s="457" t="s">
        <v>134</v>
      </c>
      <c r="B37" s="460" t="s">
        <v>72</v>
      </c>
      <c r="C37" s="460" t="s">
        <v>246</v>
      </c>
      <c r="D37" s="460" t="s">
        <v>147</v>
      </c>
      <c r="E37" s="460" t="s">
        <v>255</v>
      </c>
      <c r="F37" s="461" t="s">
        <v>136</v>
      </c>
      <c r="G37" s="461"/>
      <c r="H37" s="460" t="s">
        <v>74</v>
      </c>
      <c r="I37" s="460"/>
      <c r="J37" s="478">
        <f t="shared" ref="J37:O37" si="37">$P37</f>
        <v>290</v>
      </c>
      <c r="K37" s="478">
        <f t="shared" si="37"/>
        <v>290</v>
      </c>
      <c r="L37" s="478">
        <f t="shared" si="37"/>
        <v>290</v>
      </c>
      <c r="M37" s="478">
        <f t="shared" si="37"/>
        <v>290</v>
      </c>
      <c r="N37" s="478">
        <f t="shared" si="37"/>
        <v>290</v>
      </c>
      <c r="O37" s="478">
        <f t="shared" si="37"/>
        <v>290</v>
      </c>
      <c r="P37" s="469">
        <f t="shared" si="30"/>
        <v>290</v>
      </c>
      <c r="Q37" s="475">
        <f t="shared" ref="Q37:Y44" si="38">$P37-((Q$24-$P$24)*($P37-$Z37)/10)</f>
        <v>333</v>
      </c>
      <c r="R37" s="475">
        <f t="shared" si="38"/>
        <v>376</v>
      </c>
      <c r="S37" s="475">
        <f t="shared" si="38"/>
        <v>419</v>
      </c>
      <c r="T37" s="475">
        <f t="shared" si="38"/>
        <v>462</v>
      </c>
      <c r="U37" s="475">
        <f t="shared" si="38"/>
        <v>505</v>
      </c>
      <c r="V37" s="475">
        <f t="shared" si="38"/>
        <v>548</v>
      </c>
      <c r="W37" s="475">
        <f t="shared" si="38"/>
        <v>591</v>
      </c>
      <c r="X37" s="475">
        <f t="shared" si="38"/>
        <v>634</v>
      </c>
      <c r="Y37" s="475">
        <f t="shared" si="38"/>
        <v>677</v>
      </c>
      <c r="Z37" s="470">
        <f t="shared" si="32"/>
        <v>720</v>
      </c>
      <c r="AA37" s="475">
        <f t="shared" ref="AA37:AI44" si="39">$Z37-((AA$24-$Z$24)*($Z37-$AJ37)/10)</f>
        <v>900</v>
      </c>
      <c r="AB37" s="475">
        <f t="shared" si="39"/>
        <v>1080</v>
      </c>
      <c r="AC37" s="475">
        <f t="shared" si="39"/>
        <v>1260</v>
      </c>
      <c r="AD37" s="475">
        <f t="shared" si="39"/>
        <v>1440</v>
      </c>
      <c r="AE37" s="475">
        <f t="shared" si="39"/>
        <v>1620</v>
      </c>
      <c r="AF37" s="475">
        <f t="shared" si="39"/>
        <v>1800</v>
      </c>
      <c r="AG37" s="475">
        <f t="shared" si="39"/>
        <v>1980</v>
      </c>
      <c r="AH37" s="475">
        <f t="shared" si="39"/>
        <v>2160</v>
      </c>
      <c r="AI37" s="475">
        <f t="shared" si="39"/>
        <v>2340</v>
      </c>
      <c r="AJ37" s="470">
        <f t="shared" si="34"/>
        <v>2520</v>
      </c>
      <c r="AK37" s="475">
        <f t="shared" ref="AK37:AS44" si="40">$AJ37-((AK$24-$AJ$24)*($AJ37-$AT37)/10)</f>
        <v>2700</v>
      </c>
      <c r="AL37" s="475">
        <f t="shared" si="40"/>
        <v>2880</v>
      </c>
      <c r="AM37" s="475">
        <f t="shared" si="40"/>
        <v>3060</v>
      </c>
      <c r="AN37" s="475">
        <f t="shared" si="40"/>
        <v>3240</v>
      </c>
      <c r="AO37" s="475">
        <f t="shared" si="40"/>
        <v>3420</v>
      </c>
      <c r="AP37" s="475">
        <f t="shared" si="40"/>
        <v>3600</v>
      </c>
      <c r="AQ37" s="475">
        <f t="shared" si="40"/>
        <v>3780</v>
      </c>
      <c r="AR37" s="475">
        <f t="shared" si="40"/>
        <v>3960</v>
      </c>
      <c r="AS37" s="475">
        <f t="shared" si="40"/>
        <v>4140</v>
      </c>
      <c r="AT37" s="470">
        <f t="shared" si="36"/>
        <v>4320</v>
      </c>
      <c r="AU37" s="485">
        <f t="shared" ref="AU37:AU44" si="41">SUM(P37:AT37)</f>
        <v>57755</v>
      </c>
    </row>
    <row r="38" spans="1:58" s="457" customFormat="1" x14ac:dyDescent="0.25">
      <c r="A38" s="457" t="s">
        <v>132</v>
      </c>
      <c r="B38" s="460" t="s">
        <v>72</v>
      </c>
      <c r="C38" s="460" t="s">
        <v>246</v>
      </c>
      <c r="D38" s="460" t="s">
        <v>147</v>
      </c>
      <c r="E38" s="460" t="s">
        <v>256</v>
      </c>
      <c r="F38" s="461" t="s">
        <v>291</v>
      </c>
      <c r="G38" s="461"/>
      <c r="H38" s="460" t="s">
        <v>74</v>
      </c>
      <c r="I38" s="460"/>
      <c r="J38" s="479">
        <f t="shared" ref="J38:O44" si="42">$P38</f>
        <v>185</v>
      </c>
      <c r="K38" s="479">
        <f t="shared" si="42"/>
        <v>185</v>
      </c>
      <c r="L38" s="479">
        <f t="shared" si="42"/>
        <v>185</v>
      </c>
      <c r="M38" s="479">
        <f t="shared" si="42"/>
        <v>185</v>
      </c>
      <c r="N38" s="479">
        <f t="shared" si="42"/>
        <v>185</v>
      </c>
      <c r="O38" s="479">
        <f t="shared" si="42"/>
        <v>185</v>
      </c>
      <c r="P38" s="469">
        <f t="shared" si="30"/>
        <v>185</v>
      </c>
      <c r="Q38" s="475">
        <f t="shared" si="38"/>
        <v>187</v>
      </c>
      <c r="R38" s="475">
        <f t="shared" si="38"/>
        <v>189</v>
      </c>
      <c r="S38" s="475">
        <f t="shared" si="38"/>
        <v>191</v>
      </c>
      <c r="T38" s="475">
        <f t="shared" si="38"/>
        <v>193</v>
      </c>
      <c r="U38" s="475">
        <f t="shared" si="38"/>
        <v>195</v>
      </c>
      <c r="V38" s="475">
        <f t="shared" si="38"/>
        <v>197</v>
      </c>
      <c r="W38" s="475">
        <f t="shared" si="38"/>
        <v>199</v>
      </c>
      <c r="X38" s="475">
        <f t="shared" si="38"/>
        <v>201</v>
      </c>
      <c r="Y38" s="475">
        <f t="shared" si="38"/>
        <v>203</v>
      </c>
      <c r="Z38" s="470">
        <f t="shared" si="32"/>
        <v>205</v>
      </c>
      <c r="AA38" s="475">
        <f t="shared" si="39"/>
        <v>206.5</v>
      </c>
      <c r="AB38" s="475">
        <f t="shared" si="39"/>
        <v>208</v>
      </c>
      <c r="AC38" s="475">
        <f t="shared" si="39"/>
        <v>209.5</v>
      </c>
      <c r="AD38" s="475">
        <f t="shared" si="39"/>
        <v>211</v>
      </c>
      <c r="AE38" s="475">
        <f t="shared" si="39"/>
        <v>212.5</v>
      </c>
      <c r="AF38" s="475">
        <f t="shared" si="39"/>
        <v>214</v>
      </c>
      <c r="AG38" s="475">
        <f t="shared" si="39"/>
        <v>215.5</v>
      </c>
      <c r="AH38" s="475">
        <f t="shared" si="39"/>
        <v>217</v>
      </c>
      <c r="AI38" s="475">
        <f t="shared" si="39"/>
        <v>218.5</v>
      </c>
      <c r="AJ38" s="470">
        <f t="shared" si="34"/>
        <v>220</v>
      </c>
      <c r="AK38" s="475">
        <f t="shared" si="40"/>
        <v>221</v>
      </c>
      <c r="AL38" s="475">
        <f t="shared" si="40"/>
        <v>222</v>
      </c>
      <c r="AM38" s="475">
        <f t="shared" si="40"/>
        <v>223</v>
      </c>
      <c r="AN38" s="475">
        <f t="shared" si="40"/>
        <v>224</v>
      </c>
      <c r="AO38" s="475">
        <f t="shared" si="40"/>
        <v>225</v>
      </c>
      <c r="AP38" s="475">
        <f t="shared" si="40"/>
        <v>226</v>
      </c>
      <c r="AQ38" s="475">
        <f t="shared" si="40"/>
        <v>227</v>
      </c>
      <c r="AR38" s="475">
        <f t="shared" si="40"/>
        <v>228</v>
      </c>
      <c r="AS38" s="475">
        <f t="shared" si="40"/>
        <v>229</v>
      </c>
      <c r="AT38" s="470">
        <f t="shared" si="36"/>
        <v>230</v>
      </c>
      <c r="AU38" s="485">
        <f t="shared" si="41"/>
        <v>6532.5</v>
      </c>
    </row>
    <row r="39" spans="1:58" s="458" customFormat="1" x14ac:dyDescent="0.25">
      <c r="A39" s="458" t="s">
        <v>137</v>
      </c>
      <c r="B39" s="463" t="s">
        <v>72</v>
      </c>
      <c r="C39" s="463" t="s">
        <v>246</v>
      </c>
      <c r="D39" s="463" t="s">
        <v>147</v>
      </c>
      <c r="E39" s="463" t="s">
        <v>254</v>
      </c>
      <c r="F39" s="464" t="s">
        <v>138</v>
      </c>
      <c r="G39" s="464"/>
      <c r="H39" s="463" t="s">
        <v>275</v>
      </c>
      <c r="I39" s="463"/>
      <c r="J39" s="480">
        <f t="shared" si="42"/>
        <v>222</v>
      </c>
      <c r="K39" s="480">
        <f t="shared" si="42"/>
        <v>222</v>
      </c>
      <c r="L39" s="480">
        <f t="shared" si="42"/>
        <v>222</v>
      </c>
      <c r="M39" s="480">
        <f t="shared" si="42"/>
        <v>222</v>
      </c>
      <c r="N39" s="480">
        <f t="shared" si="42"/>
        <v>222</v>
      </c>
      <c r="O39" s="480">
        <f t="shared" si="42"/>
        <v>222</v>
      </c>
      <c r="P39" s="473">
        <f t="shared" si="30"/>
        <v>222</v>
      </c>
      <c r="Q39" s="476">
        <f t="shared" si="38"/>
        <v>222</v>
      </c>
      <c r="R39" s="476">
        <f t="shared" si="38"/>
        <v>222</v>
      </c>
      <c r="S39" s="476">
        <f t="shared" si="38"/>
        <v>222</v>
      </c>
      <c r="T39" s="476">
        <f t="shared" si="38"/>
        <v>222</v>
      </c>
      <c r="U39" s="476">
        <f t="shared" si="38"/>
        <v>222</v>
      </c>
      <c r="V39" s="476">
        <f t="shared" si="38"/>
        <v>222</v>
      </c>
      <c r="W39" s="476">
        <f t="shared" si="38"/>
        <v>222</v>
      </c>
      <c r="X39" s="476">
        <f t="shared" si="38"/>
        <v>222</v>
      </c>
      <c r="Y39" s="476">
        <f t="shared" si="38"/>
        <v>222</v>
      </c>
      <c r="Z39" s="471">
        <f t="shared" si="32"/>
        <v>222</v>
      </c>
      <c r="AA39" s="476">
        <f t="shared" si="39"/>
        <v>213.2</v>
      </c>
      <c r="AB39" s="476">
        <f t="shared" si="39"/>
        <v>204.4</v>
      </c>
      <c r="AC39" s="476">
        <f t="shared" si="39"/>
        <v>195.6</v>
      </c>
      <c r="AD39" s="476">
        <f t="shared" si="39"/>
        <v>186.8</v>
      </c>
      <c r="AE39" s="476">
        <f t="shared" si="39"/>
        <v>178</v>
      </c>
      <c r="AF39" s="476">
        <f t="shared" si="39"/>
        <v>169.2</v>
      </c>
      <c r="AG39" s="476">
        <f t="shared" si="39"/>
        <v>160.4</v>
      </c>
      <c r="AH39" s="476">
        <f t="shared" si="39"/>
        <v>151.6</v>
      </c>
      <c r="AI39" s="476">
        <f t="shared" si="39"/>
        <v>142.80000000000001</v>
      </c>
      <c r="AJ39" s="471">
        <f t="shared" si="34"/>
        <v>134</v>
      </c>
      <c r="AK39" s="476">
        <f t="shared" si="40"/>
        <v>121.8</v>
      </c>
      <c r="AL39" s="476">
        <f t="shared" si="40"/>
        <v>109.6</v>
      </c>
      <c r="AM39" s="476">
        <f t="shared" si="40"/>
        <v>97.4</v>
      </c>
      <c r="AN39" s="476">
        <f t="shared" si="40"/>
        <v>85.2</v>
      </c>
      <c r="AO39" s="476">
        <f t="shared" si="40"/>
        <v>73</v>
      </c>
      <c r="AP39" s="476">
        <f t="shared" si="40"/>
        <v>60.8</v>
      </c>
      <c r="AQ39" s="476">
        <f t="shared" si="40"/>
        <v>48.599999999999994</v>
      </c>
      <c r="AR39" s="476">
        <f t="shared" si="40"/>
        <v>36.400000000000006</v>
      </c>
      <c r="AS39" s="476">
        <f t="shared" si="40"/>
        <v>24.200000000000003</v>
      </c>
      <c r="AT39" s="471">
        <f t="shared" si="36"/>
        <v>12</v>
      </c>
      <c r="AU39" s="485">
        <f t="shared" si="41"/>
        <v>4847</v>
      </c>
    </row>
    <row r="40" spans="1:58" s="458" customFormat="1" x14ac:dyDescent="0.25">
      <c r="A40" s="458" t="s">
        <v>134</v>
      </c>
      <c r="B40" s="463" t="s">
        <v>72</v>
      </c>
      <c r="C40" s="463" t="s">
        <v>246</v>
      </c>
      <c r="D40" s="463" t="s">
        <v>147</v>
      </c>
      <c r="E40" s="463" t="s">
        <v>255</v>
      </c>
      <c r="F40" s="464" t="s">
        <v>136</v>
      </c>
      <c r="G40" s="464"/>
      <c r="H40" s="463" t="s">
        <v>275</v>
      </c>
      <c r="I40" s="463"/>
      <c r="J40" s="480">
        <f t="shared" si="42"/>
        <v>290</v>
      </c>
      <c r="K40" s="480">
        <f t="shared" si="42"/>
        <v>290</v>
      </c>
      <c r="L40" s="480">
        <f t="shared" si="42"/>
        <v>290</v>
      </c>
      <c r="M40" s="480">
        <f t="shared" si="42"/>
        <v>290</v>
      </c>
      <c r="N40" s="480">
        <f t="shared" si="42"/>
        <v>290</v>
      </c>
      <c r="O40" s="480">
        <f t="shared" si="42"/>
        <v>290</v>
      </c>
      <c r="P40" s="473">
        <f t="shared" si="30"/>
        <v>290</v>
      </c>
      <c r="Q40" s="476">
        <f t="shared" si="38"/>
        <v>333</v>
      </c>
      <c r="R40" s="476">
        <f t="shared" si="38"/>
        <v>376</v>
      </c>
      <c r="S40" s="476">
        <f t="shared" si="38"/>
        <v>419</v>
      </c>
      <c r="T40" s="476">
        <f t="shared" si="38"/>
        <v>462</v>
      </c>
      <c r="U40" s="476">
        <f t="shared" si="38"/>
        <v>505</v>
      </c>
      <c r="V40" s="476">
        <f t="shared" si="38"/>
        <v>548</v>
      </c>
      <c r="W40" s="476">
        <f t="shared" si="38"/>
        <v>591</v>
      </c>
      <c r="X40" s="476">
        <f t="shared" si="38"/>
        <v>634</v>
      </c>
      <c r="Y40" s="476">
        <f t="shared" si="38"/>
        <v>677</v>
      </c>
      <c r="Z40" s="471">
        <f t="shared" si="32"/>
        <v>720</v>
      </c>
      <c r="AA40" s="476">
        <f t="shared" si="39"/>
        <v>774</v>
      </c>
      <c r="AB40" s="476">
        <f t="shared" si="39"/>
        <v>828</v>
      </c>
      <c r="AC40" s="476">
        <f t="shared" si="39"/>
        <v>882</v>
      </c>
      <c r="AD40" s="476">
        <f t="shared" si="39"/>
        <v>936</v>
      </c>
      <c r="AE40" s="476">
        <f t="shared" si="39"/>
        <v>990</v>
      </c>
      <c r="AF40" s="476">
        <f t="shared" si="39"/>
        <v>1044</v>
      </c>
      <c r="AG40" s="476">
        <f t="shared" si="39"/>
        <v>1098</v>
      </c>
      <c r="AH40" s="476">
        <f t="shared" si="39"/>
        <v>1152</v>
      </c>
      <c r="AI40" s="476">
        <f t="shared" si="39"/>
        <v>1206</v>
      </c>
      <c r="AJ40" s="471">
        <f t="shared" si="34"/>
        <v>1260</v>
      </c>
      <c r="AK40" s="476">
        <f t="shared" si="40"/>
        <v>1314</v>
      </c>
      <c r="AL40" s="476">
        <f t="shared" si="40"/>
        <v>1368</v>
      </c>
      <c r="AM40" s="476">
        <f t="shared" si="40"/>
        <v>1422</v>
      </c>
      <c r="AN40" s="476">
        <f t="shared" si="40"/>
        <v>1476</v>
      </c>
      <c r="AO40" s="476">
        <f t="shared" si="40"/>
        <v>1530</v>
      </c>
      <c r="AP40" s="476">
        <f t="shared" si="40"/>
        <v>1584</v>
      </c>
      <c r="AQ40" s="476">
        <f t="shared" si="40"/>
        <v>1638</v>
      </c>
      <c r="AR40" s="476">
        <f t="shared" si="40"/>
        <v>1692</v>
      </c>
      <c r="AS40" s="476">
        <f t="shared" si="40"/>
        <v>1746</v>
      </c>
      <c r="AT40" s="471">
        <f t="shared" si="36"/>
        <v>1800</v>
      </c>
      <c r="AU40" s="485">
        <f t="shared" si="41"/>
        <v>31295</v>
      </c>
    </row>
    <row r="41" spans="1:58" s="458" customFormat="1" x14ac:dyDescent="0.25">
      <c r="A41" s="458" t="s">
        <v>132</v>
      </c>
      <c r="B41" s="463" t="s">
        <v>72</v>
      </c>
      <c r="C41" s="463" t="s">
        <v>246</v>
      </c>
      <c r="D41" s="463" t="s">
        <v>147</v>
      </c>
      <c r="E41" s="463" t="s">
        <v>256</v>
      </c>
      <c r="F41" s="464" t="s">
        <v>291</v>
      </c>
      <c r="G41" s="464"/>
      <c r="H41" s="463" t="s">
        <v>275</v>
      </c>
      <c r="I41" s="463"/>
      <c r="J41" s="480">
        <f t="shared" si="42"/>
        <v>99</v>
      </c>
      <c r="K41" s="480">
        <f t="shared" si="42"/>
        <v>99</v>
      </c>
      <c r="L41" s="480">
        <f t="shared" si="42"/>
        <v>99</v>
      </c>
      <c r="M41" s="480">
        <f t="shared" si="42"/>
        <v>99</v>
      </c>
      <c r="N41" s="480">
        <f t="shared" si="42"/>
        <v>99</v>
      </c>
      <c r="O41" s="480">
        <f t="shared" si="42"/>
        <v>99</v>
      </c>
      <c r="P41" s="473">
        <f t="shared" si="30"/>
        <v>99</v>
      </c>
      <c r="Q41" s="476">
        <f t="shared" si="38"/>
        <v>101.8</v>
      </c>
      <c r="R41" s="476">
        <f t="shared" si="38"/>
        <v>104.6</v>
      </c>
      <c r="S41" s="476">
        <f t="shared" si="38"/>
        <v>107.4</v>
      </c>
      <c r="T41" s="476">
        <f t="shared" si="38"/>
        <v>110.2</v>
      </c>
      <c r="U41" s="476">
        <f t="shared" si="38"/>
        <v>113</v>
      </c>
      <c r="V41" s="476">
        <f t="shared" si="38"/>
        <v>115.8</v>
      </c>
      <c r="W41" s="476">
        <f t="shared" si="38"/>
        <v>118.6</v>
      </c>
      <c r="X41" s="476">
        <f t="shared" si="38"/>
        <v>121.4</v>
      </c>
      <c r="Y41" s="476">
        <f t="shared" si="38"/>
        <v>124.2</v>
      </c>
      <c r="Z41" s="471">
        <f t="shared" si="32"/>
        <v>127</v>
      </c>
      <c r="AA41" s="476">
        <f t="shared" si="39"/>
        <v>127.9</v>
      </c>
      <c r="AB41" s="476">
        <f t="shared" si="39"/>
        <v>128.80000000000001</v>
      </c>
      <c r="AC41" s="476">
        <f t="shared" si="39"/>
        <v>129.69999999999999</v>
      </c>
      <c r="AD41" s="476">
        <f t="shared" si="39"/>
        <v>130.6</v>
      </c>
      <c r="AE41" s="476">
        <f t="shared" si="39"/>
        <v>131.5</v>
      </c>
      <c r="AF41" s="476">
        <f t="shared" si="39"/>
        <v>132.4</v>
      </c>
      <c r="AG41" s="476">
        <f t="shared" si="39"/>
        <v>133.30000000000001</v>
      </c>
      <c r="AH41" s="476">
        <f t="shared" si="39"/>
        <v>134.19999999999999</v>
      </c>
      <c r="AI41" s="476">
        <f t="shared" si="39"/>
        <v>135.1</v>
      </c>
      <c r="AJ41" s="471">
        <f t="shared" si="34"/>
        <v>136</v>
      </c>
      <c r="AK41" s="476">
        <f t="shared" si="40"/>
        <v>135.69999999999999</v>
      </c>
      <c r="AL41" s="476">
        <f t="shared" si="40"/>
        <v>135.4</v>
      </c>
      <c r="AM41" s="476">
        <f t="shared" si="40"/>
        <v>135.1</v>
      </c>
      <c r="AN41" s="476">
        <f t="shared" si="40"/>
        <v>134.80000000000001</v>
      </c>
      <c r="AO41" s="476">
        <f t="shared" si="40"/>
        <v>134.5</v>
      </c>
      <c r="AP41" s="476">
        <f t="shared" si="40"/>
        <v>134.19999999999999</v>
      </c>
      <c r="AQ41" s="476">
        <f t="shared" si="40"/>
        <v>133.9</v>
      </c>
      <c r="AR41" s="476">
        <f t="shared" si="40"/>
        <v>133.6</v>
      </c>
      <c r="AS41" s="476">
        <f t="shared" si="40"/>
        <v>133.30000000000001</v>
      </c>
      <c r="AT41" s="471">
        <f t="shared" si="36"/>
        <v>133</v>
      </c>
      <c r="AU41" s="485">
        <f t="shared" si="41"/>
        <v>3906</v>
      </c>
    </row>
    <row r="42" spans="1:58" s="459" customFormat="1" x14ac:dyDescent="0.25">
      <c r="A42" s="459" t="s">
        <v>137</v>
      </c>
      <c r="B42" s="466" t="s">
        <v>72</v>
      </c>
      <c r="C42" s="466" t="s">
        <v>246</v>
      </c>
      <c r="D42" s="466" t="s">
        <v>147</v>
      </c>
      <c r="E42" s="466" t="s">
        <v>254</v>
      </c>
      <c r="F42" s="467" t="s">
        <v>138</v>
      </c>
      <c r="G42" s="467"/>
      <c r="H42" s="466" t="s">
        <v>278</v>
      </c>
      <c r="I42" s="466"/>
      <c r="J42" s="481">
        <f t="shared" si="42"/>
        <v>251</v>
      </c>
      <c r="K42" s="481">
        <f t="shared" si="42"/>
        <v>251</v>
      </c>
      <c r="L42" s="481">
        <f t="shared" si="42"/>
        <v>251</v>
      </c>
      <c r="M42" s="481">
        <f t="shared" si="42"/>
        <v>251</v>
      </c>
      <c r="N42" s="481">
        <f t="shared" si="42"/>
        <v>251</v>
      </c>
      <c r="O42" s="481">
        <f t="shared" si="42"/>
        <v>251</v>
      </c>
      <c r="P42" s="474">
        <f t="shared" si="30"/>
        <v>251</v>
      </c>
      <c r="Q42" s="477">
        <f t="shared" si="38"/>
        <v>251</v>
      </c>
      <c r="R42" s="477">
        <f t="shared" si="38"/>
        <v>251</v>
      </c>
      <c r="S42" s="477">
        <f t="shared" si="38"/>
        <v>251</v>
      </c>
      <c r="T42" s="477">
        <f t="shared" si="38"/>
        <v>251</v>
      </c>
      <c r="U42" s="477">
        <f t="shared" si="38"/>
        <v>251</v>
      </c>
      <c r="V42" s="477">
        <f t="shared" si="38"/>
        <v>251</v>
      </c>
      <c r="W42" s="477">
        <f t="shared" si="38"/>
        <v>251</v>
      </c>
      <c r="X42" s="477">
        <f t="shared" si="38"/>
        <v>251</v>
      </c>
      <c r="Y42" s="477">
        <f t="shared" si="38"/>
        <v>251</v>
      </c>
      <c r="Z42" s="472">
        <f t="shared" si="32"/>
        <v>251</v>
      </c>
      <c r="AA42" s="477">
        <f t="shared" si="39"/>
        <v>241</v>
      </c>
      <c r="AB42" s="477">
        <f t="shared" si="39"/>
        <v>231</v>
      </c>
      <c r="AC42" s="477">
        <f t="shared" si="39"/>
        <v>221</v>
      </c>
      <c r="AD42" s="477">
        <f t="shared" si="39"/>
        <v>211</v>
      </c>
      <c r="AE42" s="477">
        <f t="shared" si="39"/>
        <v>201</v>
      </c>
      <c r="AF42" s="477">
        <f t="shared" si="39"/>
        <v>191</v>
      </c>
      <c r="AG42" s="477">
        <f t="shared" si="39"/>
        <v>181</v>
      </c>
      <c r="AH42" s="477">
        <f t="shared" si="39"/>
        <v>171</v>
      </c>
      <c r="AI42" s="477">
        <f t="shared" si="39"/>
        <v>161</v>
      </c>
      <c r="AJ42" s="472">
        <f t="shared" si="34"/>
        <v>151</v>
      </c>
      <c r="AK42" s="477">
        <f t="shared" si="40"/>
        <v>137.30000000000001</v>
      </c>
      <c r="AL42" s="477">
        <f t="shared" si="40"/>
        <v>123.6</v>
      </c>
      <c r="AM42" s="477">
        <f t="shared" si="40"/>
        <v>109.9</v>
      </c>
      <c r="AN42" s="477">
        <f t="shared" si="40"/>
        <v>96.2</v>
      </c>
      <c r="AO42" s="477">
        <f t="shared" si="40"/>
        <v>82.5</v>
      </c>
      <c r="AP42" s="477">
        <f t="shared" si="40"/>
        <v>68.8</v>
      </c>
      <c r="AQ42" s="477">
        <f t="shared" si="40"/>
        <v>55.099999999999994</v>
      </c>
      <c r="AR42" s="477">
        <f t="shared" si="40"/>
        <v>41.400000000000006</v>
      </c>
      <c r="AS42" s="477">
        <f t="shared" si="40"/>
        <v>27.700000000000003</v>
      </c>
      <c r="AT42" s="472">
        <f t="shared" si="36"/>
        <v>14</v>
      </c>
      <c r="AU42" s="485">
        <f t="shared" si="41"/>
        <v>5477.5</v>
      </c>
    </row>
    <row r="43" spans="1:58" s="459" customFormat="1" x14ac:dyDescent="0.25">
      <c r="A43" s="459" t="s">
        <v>134</v>
      </c>
      <c r="B43" s="466" t="s">
        <v>72</v>
      </c>
      <c r="C43" s="466" t="s">
        <v>246</v>
      </c>
      <c r="D43" s="466" t="s">
        <v>147</v>
      </c>
      <c r="E43" s="466" t="s">
        <v>255</v>
      </c>
      <c r="F43" s="467" t="s">
        <v>136</v>
      </c>
      <c r="G43" s="467"/>
      <c r="H43" s="466" t="s">
        <v>278</v>
      </c>
      <c r="I43" s="466"/>
      <c r="J43" s="481">
        <f t="shared" si="42"/>
        <v>80</v>
      </c>
      <c r="K43" s="481">
        <f t="shared" si="42"/>
        <v>80</v>
      </c>
      <c r="L43" s="481">
        <f t="shared" si="42"/>
        <v>80</v>
      </c>
      <c r="M43" s="481">
        <f t="shared" si="42"/>
        <v>80</v>
      </c>
      <c r="N43" s="481">
        <f t="shared" si="42"/>
        <v>80</v>
      </c>
      <c r="O43" s="481">
        <f t="shared" si="42"/>
        <v>80</v>
      </c>
      <c r="P43" s="474">
        <f t="shared" si="30"/>
        <v>80</v>
      </c>
      <c r="Q43" s="477">
        <f t="shared" si="38"/>
        <v>88</v>
      </c>
      <c r="R43" s="477">
        <f t="shared" si="38"/>
        <v>96</v>
      </c>
      <c r="S43" s="477">
        <f t="shared" si="38"/>
        <v>104</v>
      </c>
      <c r="T43" s="477">
        <f t="shared" si="38"/>
        <v>112</v>
      </c>
      <c r="U43" s="477">
        <f t="shared" si="38"/>
        <v>120</v>
      </c>
      <c r="V43" s="477">
        <f t="shared" si="38"/>
        <v>128</v>
      </c>
      <c r="W43" s="477">
        <f t="shared" si="38"/>
        <v>136</v>
      </c>
      <c r="X43" s="477">
        <f t="shared" si="38"/>
        <v>144</v>
      </c>
      <c r="Y43" s="477">
        <f t="shared" si="38"/>
        <v>152</v>
      </c>
      <c r="Z43" s="472">
        <f t="shared" si="32"/>
        <v>160</v>
      </c>
      <c r="AA43" s="477">
        <f t="shared" si="39"/>
        <v>174</v>
      </c>
      <c r="AB43" s="477">
        <f t="shared" si="39"/>
        <v>188</v>
      </c>
      <c r="AC43" s="477">
        <f t="shared" si="39"/>
        <v>202</v>
      </c>
      <c r="AD43" s="477">
        <f t="shared" si="39"/>
        <v>216</v>
      </c>
      <c r="AE43" s="477">
        <f t="shared" si="39"/>
        <v>230</v>
      </c>
      <c r="AF43" s="477">
        <f t="shared" si="39"/>
        <v>244</v>
      </c>
      <c r="AG43" s="477">
        <f t="shared" si="39"/>
        <v>258</v>
      </c>
      <c r="AH43" s="477">
        <f t="shared" si="39"/>
        <v>272</v>
      </c>
      <c r="AI43" s="477">
        <f t="shared" si="39"/>
        <v>286</v>
      </c>
      <c r="AJ43" s="472">
        <f t="shared" si="34"/>
        <v>300</v>
      </c>
      <c r="AK43" s="477">
        <f t="shared" si="40"/>
        <v>328</v>
      </c>
      <c r="AL43" s="477">
        <f t="shared" si="40"/>
        <v>356</v>
      </c>
      <c r="AM43" s="477">
        <f t="shared" si="40"/>
        <v>384</v>
      </c>
      <c r="AN43" s="477">
        <f t="shared" si="40"/>
        <v>412</v>
      </c>
      <c r="AO43" s="477">
        <f t="shared" si="40"/>
        <v>440</v>
      </c>
      <c r="AP43" s="477">
        <f t="shared" si="40"/>
        <v>468</v>
      </c>
      <c r="AQ43" s="477">
        <f t="shared" si="40"/>
        <v>496</v>
      </c>
      <c r="AR43" s="477">
        <f t="shared" si="40"/>
        <v>524</v>
      </c>
      <c r="AS43" s="477">
        <f t="shared" si="40"/>
        <v>552</v>
      </c>
      <c r="AT43" s="472">
        <f t="shared" si="36"/>
        <v>580</v>
      </c>
      <c r="AU43" s="485">
        <f t="shared" si="41"/>
        <v>8230</v>
      </c>
    </row>
    <row r="44" spans="1:58" s="459" customFormat="1" x14ac:dyDescent="0.25">
      <c r="A44" s="459" t="s">
        <v>132</v>
      </c>
      <c r="B44" s="466" t="s">
        <v>72</v>
      </c>
      <c r="C44" s="466" t="s">
        <v>246</v>
      </c>
      <c r="D44" s="466" t="s">
        <v>147</v>
      </c>
      <c r="E44" s="466" t="s">
        <v>256</v>
      </c>
      <c r="F44" s="467" t="s">
        <v>291</v>
      </c>
      <c r="G44" s="467"/>
      <c r="H44" s="466" t="s">
        <v>278</v>
      </c>
      <c r="I44" s="466"/>
      <c r="J44" s="481">
        <f t="shared" si="42"/>
        <v>245</v>
      </c>
      <c r="K44" s="481">
        <f t="shared" si="42"/>
        <v>245</v>
      </c>
      <c r="L44" s="481">
        <f t="shared" si="42"/>
        <v>245</v>
      </c>
      <c r="M44" s="481">
        <f t="shared" si="42"/>
        <v>245</v>
      </c>
      <c r="N44" s="481">
        <f t="shared" si="42"/>
        <v>245</v>
      </c>
      <c r="O44" s="481">
        <f t="shared" si="42"/>
        <v>245</v>
      </c>
      <c r="P44" s="474">
        <f t="shared" si="30"/>
        <v>245</v>
      </c>
      <c r="Q44" s="477">
        <f t="shared" si="38"/>
        <v>251.4</v>
      </c>
      <c r="R44" s="477">
        <f t="shared" si="38"/>
        <v>257.8</v>
      </c>
      <c r="S44" s="477">
        <f t="shared" si="38"/>
        <v>264.2</v>
      </c>
      <c r="T44" s="477">
        <f t="shared" si="38"/>
        <v>270.60000000000002</v>
      </c>
      <c r="U44" s="477">
        <f t="shared" si="38"/>
        <v>277</v>
      </c>
      <c r="V44" s="477">
        <f t="shared" si="38"/>
        <v>283.39999999999998</v>
      </c>
      <c r="W44" s="477">
        <f t="shared" si="38"/>
        <v>289.8</v>
      </c>
      <c r="X44" s="477">
        <f t="shared" si="38"/>
        <v>296.2</v>
      </c>
      <c r="Y44" s="477">
        <f t="shared" si="38"/>
        <v>302.60000000000002</v>
      </c>
      <c r="Z44" s="472">
        <f t="shared" si="32"/>
        <v>309</v>
      </c>
      <c r="AA44" s="477">
        <f t="shared" si="39"/>
        <v>311.10000000000002</v>
      </c>
      <c r="AB44" s="477">
        <f t="shared" si="39"/>
        <v>313.2</v>
      </c>
      <c r="AC44" s="477">
        <f t="shared" si="39"/>
        <v>315.3</v>
      </c>
      <c r="AD44" s="477">
        <f t="shared" si="39"/>
        <v>317.39999999999998</v>
      </c>
      <c r="AE44" s="477">
        <f t="shared" si="39"/>
        <v>319.5</v>
      </c>
      <c r="AF44" s="477">
        <f t="shared" si="39"/>
        <v>321.60000000000002</v>
      </c>
      <c r="AG44" s="477">
        <f t="shared" si="39"/>
        <v>323.7</v>
      </c>
      <c r="AH44" s="477">
        <f t="shared" si="39"/>
        <v>325.8</v>
      </c>
      <c r="AI44" s="477">
        <f t="shared" si="39"/>
        <v>327.9</v>
      </c>
      <c r="AJ44" s="472">
        <f t="shared" si="34"/>
        <v>330</v>
      </c>
      <c r="AK44" s="477">
        <f t="shared" si="40"/>
        <v>329.5</v>
      </c>
      <c r="AL44" s="477">
        <f t="shared" si="40"/>
        <v>329</v>
      </c>
      <c r="AM44" s="477">
        <f t="shared" si="40"/>
        <v>328.5</v>
      </c>
      <c r="AN44" s="477">
        <f t="shared" si="40"/>
        <v>328</v>
      </c>
      <c r="AO44" s="477">
        <f t="shared" si="40"/>
        <v>327.5</v>
      </c>
      <c r="AP44" s="477">
        <f t="shared" si="40"/>
        <v>327</v>
      </c>
      <c r="AQ44" s="477">
        <f t="shared" si="40"/>
        <v>326.5</v>
      </c>
      <c r="AR44" s="477">
        <f t="shared" si="40"/>
        <v>326</v>
      </c>
      <c r="AS44" s="477">
        <f t="shared" si="40"/>
        <v>325.5</v>
      </c>
      <c r="AT44" s="472">
        <f t="shared" si="36"/>
        <v>325</v>
      </c>
      <c r="AU44" s="485">
        <f t="shared" si="41"/>
        <v>9525</v>
      </c>
    </row>
    <row r="45" spans="1:58" x14ac:dyDescent="0.25">
      <c r="O45" s="523"/>
      <c r="P45" s="523"/>
      <c r="Q45" s="411"/>
      <c r="R45" s="411"/>
      <c r="S45" s="411"/>
      <c r="T45" s="411"/>
      <c r="U45" s="411"/>
      <c r="V45" s="411"/>
      <c r="W45" s="411"/>
      <c r="X45" s="411"/>
      <c r="Y45" s="411"/>
      <c r="Z45" s="521"/>
      <c r="AA45" s="409"/>
      <c r="AB45" s="409"/>
      <c r="AC45" s="409"/>
      <c r="AD45" s="409"/>
      <c r="AE45" s="409"/>
      <c r="AF45" s="409"/>
      <c r="AG45" s="409"/>
      <c r="AH45" s="409"/>
      <c r="AI45" s="409"/>
      <c r="AJ45" s="521"/>
      <c r="AK45" s="409"/>
      <c r="AL45" s="409"/>
      <c r="AM45" s="409"/>
      <c r="AN45" s="409"/>
      <c r="AO45" s="409"/>
      <c r="AP45" s="409"/>
      <c r="AQ45" s="409"/>
      <c r="AR45" s="409"/>
      <c r="AS45" s="409"/>
      <c r="AT45" s="521"/>
      <c r="AU45" s="485"/>
      <c r="AV45" s="409"/>
    </row>
    <row r="46" spans="1:58" x14ac:dyDescent="0.25">
      <c r="Q46" s="522"/>
      <c r="R46" s="522"/>
      <c r="S46" s="522"/>
      <c r="T46" s="522"/>
      <c r="U46" s="522"/>
      <c r="V46" s="522"/>
      <c r="W46" s="522"/>
      <c r="X46" s="522"/>
      <c r="Y46" s="522"/>
    </row>
  </sheetData>
  <sheetProtection algorithmName="SHA-512" hashValue="0i/DfJXwVnY05FuANWtY+2OVbTARKOeHO7NMhzGn5xjGCcZi1B8LJ0nNiUCd4Tg0B9wRw0vU8AAEsIPfVJ/FeQ==" saltValue="D8o/OJEJGWw9HlajBg6E4w==" spinCount="100000" sheet="1" objects="1" scenarios="1"/>
  <conditionalFormatting sqref="F2:F4 G5:G8 G12:G20 F25:F35 G28:G44">
    <cfRule type="cellIs" dxfId="27" priority="139" operator="equal">
      <formula>0</formula>
    </cfRule>
    <cfRule type="cellIs" dxfId="26" priority="140" operator="greaterThanOrEqual">
      <formula>10</formula>
    </cfRule>
  </conditionalFormatting>
  <conditionalFormatting sqref="G3">
    <cfRule type="cellIs" dxfId="25" priority="113" operator="equal">
      <formula>0</formula>
    </cfRule>
    <cfRule type="cellIs" dxfId="24" priority="114" operator="greaterThanOrEqual">
      <formula>10</formula>
    </cfRule>
  </conditionalFormatting>
  <conditionalFormatting sqref="G26">
    <cfRule type="cellIs" dxfId="23" priority="85" operator="equal">
      <formula>0</formula>
    </cfRule>
    <cfRule type="cellIs" dxfId="22" priority="86" operator="greaterThanOrEqual">
      <formula>10</formula>
    </cfRule>
  </conditionalFormatting>
  <conditionalFormatting sqref="G2:I2">
    <cfRule type="cellIs" dxfId="21" priority="133" operator="equal">
      <formula>0</formula>
    </cfRule>
    <cfRule type="cellIs" dxfId="20" priority="134" operator="greaterThanOrEqual">
      <formula>10</formula>
    </cfRule>
  </conditionalFormatting>
  <conditionalFormatting sqref="G4:I4">
    <cfRule type="cellIs" dxfId="19" priority="131" operator="equal">
      <formula>0</formula>
    </cfRule>
    <cfRule type="cellIs" dxfId="18" priority="132" operator="greaterThanOrEqual">
      <formula>10</formula>
    </cfRule>
  </conditionalFormatting>
  <conditionalFormatting sqref="G25:I25">
    <cfRule type="cellIs" dxfId="17" priority="99" operator="equal">
      <formula>0</formula>
    </cfRule>
    <cfRule type="cellIs" dxfId="16" priority="100" operator="greaterThanOrEqual">
      <formula>10</formula>
    </cfRule>
  </conditionalFormatting>
  <conditionalFormatting sqref="G27:I27">
    <cfRule type="cellIs" dxfId="15" priority="97" operator="equal">
      <formula>0</formula>
    </cfRule>
    <cfRule type="cellIs" dxfId="14" priority="98" operator="greaterThanOrEqual">
      <formula>10</formula>
    </cfRule>
  </conditionalFormatting>
  <conditionalFormatting sqref="G9:I11">
    <cfRule type="cellIs" dxfId="13" priority="141" operator="equal">
      <formula>0</formula>
    </cfRule>
    <cfRule type="cellIs" dxfId="12" priority="142" operator="greaterThanOrEqual">
      <formula>10</formula>
    </cfRule>
  </conditionalFormatting>
  <conditionalFormatting sqref="H5:I5">
    <cfRule type="cellIs" dxfId="11" priority="127" operator="equal">
      <formula>0</formula>
    </cfRule>
    <cfRule type="cellIs" dxfId="10" priority="128" operator="greaterThanOrEqual">
      <formula>10</formula>
    </cfRule>
  </conditionalFormatting>
  <conditionalFormatting sqref="H6:I8">
    <cfRule type="cellIs" dxfId="9" priority="105" operator="equal">
      <formula>0</formula>
    </cfRule>
    <cfRule type="cellIs" dxfId="8" priority="106" operator="greaterThanOrEqual">
      <formula>10</formula>
    </cfRule>
  </conditionalFormatting>
  <conditionalFormatting sqref="H28:I28">
    <cfRule type="cellIs" dxfId="7" priority="95" operator="equal">
      <formula>0</formula>
    </cfRule>
    <cfRule type="cellIs" dxfId="6" priority="96" operator="greaterThanOrEqual">
      <formula>10</formula>
    </cfRule>
  </conditionalFormatting>
  <conditionalFormatting sqref="H29:I35">
    <cfRule type="cellIs" dxfId="5" priority="77" operator="equal">
      <formula>0</formula>
    </cfRule>
    <cfRule type="cellIs" dxfId="4" priority="78" operator="greaterThanOrEqual">
      <formula>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workbookViewId="0">
      <selection activeCell="J15" sqref="J15"/>
    </sheetView>
  </sheetViews>
  <sheetFormatPr defaultColWidth="36.453125" defaultRowHeight="12.5" x14ac:dyDescent="0.25"/>
  <cols>
    <col min="1" max="1" width="14.453125" customWidth="1"/>
    <col min="2" max="2" width="19.453125" customWidth="1"/>
    <col min="4" max="4" width="17.453125" customWidth="1"/>
    <col min="5" max="8" width="21.453125" customWidth="1"/>
    <col min="9" max="9" width="21.81640625" customWidth="1"/>
    <col min="10" max="10" width="12" customWidth="1"/>
    <col min="11" max="11" width="13.54296875" customWidth="1"/>
    <col min="12" max="12" width="28.453125" customWidth="1"/>
    <col min="13" max="13" width="11.54296875" bestFit="1" customWidth="1"/>
  </cols>
  <sheetData>
    <row r="1" spans="1:15" ht="13" x14ac:dyDescent="0.3">
      <c r="A1" s="1" t="s">
        <v>193</v>
      </c>
      <c r="B1" s="1" t="s">
        <v>261</v>
      </c>
      <c r="C1" s="1" t="s">
        <v>262</v>
      </c>
      <c r="D1" s="1" t="s">
        <v>263</v>
      </c>
      <c r="E1" s="1" t="s">
        <v>264</v>
      </c>
      <c r="F1" s="1" t="s">
        <v>265</v>
      </c>
      <c r="G1" s="1" t="s">
        <v>266</v>
      </c>
      <c r="H1" s="1" t="s">
        <v>267</v>
      </c>
      <c r="I1" s="1" t="s">
        <v>268</v>
      </c>
      <c r="J1" s="1" t="s">
        <v>75</v>
      </c>
      <c r="K1" s="1" t="s">
        <v>79</v>
      </c>
      <c r="L1" s="1" t="s">
        <v>269</v>
      </c>
      <c r="M1" s="1" t="s">
        <v>270</v>
      </c>
      <c r="N1" s="1" t="s">
        <v>271</v>
      </c>
      <c r="O1" s="1" t="s">
        <v>272</v>
      </c>
    </row>
    <row r="2" spans="1:15" x14ac:dyDescent="0.25">
      <c r="A2" t="s">
        <v>72</v>
      </c>
      <c r="B2" t="s">
        <v>74</v>
      </c>
      <c r="C2" t="s">
        <v>273</v>
      </c>
      <c r="D2" t="s">
        <v>249</v>
      </c>
      <c r="E2" t="s">
        <v>274</v>
      </c>
      <c r="F2">
        <v>1</v>
      </c>
      <c r="G2" t="s">
        <v>147</v>
      </c>
      <c r="H2">
        <v>2.9</v>
      </c>
      <c r="I2" s="2">
        <v>73598928.559043705</v>
      </c>
      <c r="J2">
        <v>2014</v>
      </c>
      <c r="K2">
        <v>2028</v>
      </c>
      <c r="L2" t="s">
        <v>83</v>
      </c>
      <c r="M2">
        <v>0</v>
      </c>
      <c r="N2" t="s">
        <v>26</v>
      </c>
      <c r="O2" t="str">
        <f>IF(OR('SDA Tool'!$D$15=Lists!$B$26,'SDA Tool'!$D$15=Lists!$B$27,'SDA Tool'!$D$15=Lists!$B$28),"Scope 3 emissions budget ("&amp;'SDA Tool'!$D$16&amp;"-"&amp;'SDA Tool'!$D$20&amp;")","Scope 1 emissions budget ("&amp;'SDA Tool'!$D$16&amp;"-"&amp;'SDA Tool'!$D$20&amp;")")</f>
        <v>Scope 1 emissions budget (2020-2030)</v>
      </c>
    </row>
    <row r="3" spans="1:15" x14ac:dyDescent="0.25">
      <c r="B3" t="s">
        <v>275</v>
      </c>
      <c r="C3" t="s">
        <v>276</v>
      </c>
      <c r="D3" t="s">
        <v>249</v>
      </c>
      <c r="E3" t="s">
        <v>274</v>
      </c>
      <c r="F3">
        <v>1</v>
      </c>
      <c r="H3">
        <v>1.8</v>
      </c>
      <c r="I3" s="2">
        <v>47595661.004577003</v>
      </c>
      <c r="J3">
        <v>2015</v>
      </c>
      <c r="K3">
        <f>IF(K2&gt;=2060,"",K2+1)</f>
        <v>2029</v>
      </c>
      <c r="L3" t="s">
        <v>99</v>
      </c>
      <c r="M3">
        <v>1</v>
      </c>
      <c r="N3" t="s">
        <v>277</v>
      </c>
      <c r="O3" t="str">
        <f>"Scope 2 emissions budget ("&amp;'SDA Tool'!$D$16&amp;"-"&amp;'SDA Tool'!$D$20&amp;")"</f>
        <v>Scope 2 emissions budget (2020-2030)</v>
      </c>
    </row>
    <row r="4" spans="1:15" x14ac:dyDescent="0.25">
      <c r="A4" s="412"/>
      <c r="B4" t="s">
        <v>278</v>
      </c>
      <c r="C4" t="s">
        <v>279</v>
      </c>
      <c r="D4" t="s">
        <v>249</v>
      </c>
      <c r="E4" t="s">
        <v>274</v>
      </c>
      <c r="F4">
        <v>1</v>
      </c>
      <c r="H4">
        <v>3.5</v>
      </c>
      <c r="I4" s="2">
        <v>26003267.554466702</v>
      </c>
      <c r="J4">
        <v>2016</v>
      </c>
      <c r="K4">
        <f t="shared" ref="K4:K24" si="0">IF(K3&gt;=2060,"",K3+1)</f>
        <v>2030</v>
      </c>
      <c r="L4" t="s">
        <v>280</v>
      </c>
      <c r="M4">
        <v>2</v>
      </c>
      <c r="O4" t="str">
        <f>"Scope 3 emissions budget ("&amp;'SDA Tool'!$D$16&amp;"-"&amp;'SDA Tool'!$D$20&amp;")"</f>
        <v>Scope 3 emissions budget (2020-2030)</v>
      </c>
    </row>
    <row r="5" spans="1:15" x14ac:dyDescent="0.25">
      <c r="H5">
        <v>3.4</v>
      </c>
      <c r="I5" s="2">
        <v>2317398.8750011483</v>
      </c>
      <c r="J5">
        <v>2017</v>
      </c>
      <c r="K5">
        <f t="shared" si="0"/>
        <v>2031</v>
      </c>
      <c r="M5">
        <v>3</v>
      </c>
      <c r="O5" t="str">
        <f>"Scope 3 emissions intensity ("&amp;Calculations!C45&amp;")"</f>
        <v>Scope 3 emissions intensity (tCO2/t)</v>
      </c>
    </row>
    <row r="6" spans="1:15" x14ac:dyDescent="0.25">
      <c r="H6">
        <v>2.1</v>
      </c>
      <c r="I6" s="2">
        <v>2423272.4592448501</v>
      </c>
      <c r="J6">
        <v>2018</v>
      </c>
      <c r="K6">
        <f t="shared" si="0"/>
        <v>2032</v>
      </c>
      <c r="M6">
        <v>4</v>
      </c>
      <c r="O6" s="2" t="str">
        <f>IF(HLOOKUP('SDA Tool'!$D$20,Calculations!$D$1:$CL$11,ROW(Calculations!$A$11),)&lt;0,"CAGR not calculated for negative target year emission","")</f>
        <v/>
      </c>
    </row>
    <row r="7" spans="1:15" x14ac:dyDescent="0.25">
      <c r="H7">
        <v>3.3</v>
      </c>
      <c r="I7" s="2">
        <v>8333286.91349917</v>
      </c>
      <c r="J7">
        <v>2019</v>
      </c>
      <c r="K7">
        <f t="shared" si="0"/>
        <v>2033</v>
      </c>
      <c r="M7">
        <v>5</v>
      </c>
      <c r="O7" t="str">
        <f>IF(HLOOKUP('SDA Tool'!$D$20,Calculations!$D$1:$CL$13,ROW(Calculations!$A$13),)&lt;0,"CAGR not calculated for negative target year emission","")</f>
        <v/>
      </c>
    </row>
    <row r="8" spans="1:15" x14ac:dyDescent="0.25">
      <c r="B8" s="5"/>
      <c r="H8">
        <v>1.5</v>
      </c>
      <c r="I8" s="2">
        <v>17551545.259201899</v>
      </c>
      <c r="J8">
        <v>2020</v>
      </c>
      <c r="K8">
        <f t="shared" si="0"/>
        <v>2034</v>
      </c>
      <c r="M8">
        <v>6</v>
      </c>
    </row>
    <row r="9" spans="1:15" x14ac:dyDescent="0.25">
      <c r="H9">
        <v>5</v>
      </c>
      <c r="I9" s="2">
        <v>2130703.2281394401</v>
      </c>
      <c r="J9">
        <v>2021</v>
      </c>
      <c r="K9">
        <f t="shared" si="0"/>
        <v>2035</v>
      </c>
      <c r="M9">
        <v>7</v>
      </c>
    </row>
    <row r="10" spans="1:15" x14ac:dyDescent="0.25">
      <c r="H10">
        <v>2.6</v>
      </c>
      <c r="I10" s="2">
        <v>1179234.5169976898</v>
      </c>
      <c r="J10">
        <v>2022</v>
      </c>
      <c r="K10">
        <f t="shared" si="0"/>
        <v>2036</v>
      </c>
      <c r="M10">
        <v>8</v>
      </c>
    </row>
    <row r="11" spans="1:15" x14ac:dyDescent="0.25">
      <c r="H11">
        <v>1.9</v>
      </c>
      <c r="I11" s="2">
        <v>1706425.0711749198</v>
      </c>
      <c r="J11">
        <v>2023</v>
      </c>
      <c r="K11">
        <f t="shared" si="0"/>
        <v>2037</v>
      </c>
      <c r="M11">
        <v>9</v>
      </c>
    </row>
    <row r="12" spans="1:15" x14ac:dyDescent="0.25">
      <c r="H12">
        <v>2.4</v>
      </c>
      <c r="I12" s="2">
        <v>412966.86788123799</v>
      </c>
      <c r="J12">
        <v>2024</v>
      </c>
      <c r="K12">
        <f t="shared" si="0"/>
        <v>2038</v>
      </c>
      <c r="M12">
        <v>10</v>
      </c>
    </row>
    <row r="13" spans="1:15" x14ac:dyDescent="0.25">
      <c r="H13">
        <v>2</v>
      </c>
      <c r="I13" s="2">
        <v>16208861.247400001</v>
      </c>
      <c r="J13">
        <v>2025</v>
      </c>
      <c r="K13">
        <f t="shared" si="0"/>
        <v>2039</v>
      </c>
      <c r="M13">
        <v>11</v>
      </c>
    </row>
    <row r="14" spans="1:15" ht="13" x14ac:dyDescent="0.3">
      <c r="H14" s="8">
        <f>H3</f>
        <v>1.8</v>
      </c>
      <c r="I14" s="2">
        <v>12656019.98097741</v>
      </c>
      <c r="J14">
        <v>2026</v>
      </c>
      <c r="K14">
        <f t="shared" si="0"/>
        <v>2040</v>
      </c>
      <c r="M14">
        <v>12</v>
      </c>
    </row>
    <row r="15" spans="1:15" ht="13" x14ac:dyDescent="0.3">
      <c r="H15" s="8">
        <f>H4</f>
        <v>3.5</v>
      </c>
      <c r="I15" s="2">
        <v>10996613.014527084</v>
      </c>
      <c r="K15">
        <f t="shared" si="0"/>
        <v>2041</v>
      </c>
      <c r="M15">
        <v>13</v>
      </c>
    </row>
    <row r="16" spans="1:15" x14ac:dyDescent="0.25">
      <c r="K16">
        <f t="shared" si="0"/>
        <v>2042</v>
      </c>
      <c r="M16">
        <v>14</v>
      </c>
    </row>
    <row r="17" spans="6:13" x14ac:dyDescent="0.25">
      <c r="F17" t="str">
        <f>IF(ISTEXT($D$15)=Lists!$N$5,IF(OR($D$15=Lists!L$3),"% annual growth rate",IF(OR($D$15=Lists!L$4),$F$16,"Growth aligned with sector")),"")</f>
        <v>Growth aligned with sector</v>
      </c>
      <c r="K17">
        <f t="shared" si="0"/>
        <v>2043</v>
      </c>
      <c r="M17">
        <v>15</v>
      </c>
    </row>
    <row r="18" spans="6:13" x14ac:dyDescent="0.25">
      <c r="K18">
        <f t="shared" si="0"/>
        <v>2044</v>
      </c>
      <c r="M18">
        <v>16</v>
      </c>
    </row>
    <row r="19" spans="6:13" x14ac:dyDescent="0.25">
      <c r="K19">
        <f t="shared" si="0"/>
        <v>2045</v>
      </c>
      <c r="M19">
        <v>17</v>
      </c>
    </row>
    <row r="20" spans="6:13" ht="13" x14ac:dyDescent="0.3">
      <c r="J20" s="1" t="s">
        <v>281</v>
      </c>
      <c r="K20">
        <f t="shared" si="0"/>
        <v>2046</v>
      </c>
      <c r="M20">
        <v>18</v>
      </c>
    </row>
    <row r="21" spans="6:13" x14ac:dyDescent="0.25">
      <c r="J21">
        <f>'SDA Tool'!$D$16</f>
        <v>2020</v>
      </c>
      <c r="K21">
        <f t="shared" si="0"/>
        <v>2047</v>
      </c>
      <c r="M21">
        <v>19</v>
      </c>
    </row>
    <row r="22" spans="6:13" x14ac:dyDescent="0.25">
      <c r="J22">
        <f t="shared" ref="J22:J28" si="1">IF(ISNUMBER(J21),IF(J21+1&lt;=2025,J21+1,""),"")</f>
        <v>2021</v>
      </c>
      <c r="K22">
        <f t="shared" si="0"/>
        <v>2048</v>
      </c>
      <c r="M22">
        <v>20</v>
      </c>
    </row>
    <row r="23" spans="6:13" x14ac:dyDescent="0.25">
      <c r="J23">
        <f t="shared" si="1"/>
        <v>2022</v>
      </c>
      <c r="K23">
        <f t="shared" si="0"/>
        <v>2049</v>
      </c>
      <c r="M23">
        <v>21</v>
      </c>
    </row>
    <row r="24" spans="6:13" x14ac:dyDescent="0.25">
      <c r="J24">
        <f t="shared" si="1"/>
        <v>2023</v>
      </c>
      <c r="K24">
        <f t="shared" si="0"/>
        <v>2050</v>
      </c>
      <c r="M24">
        <v>22</v>
      </c>
    </row>
    <row r="25" spans="6:13" x14ac:dyDescent="0.25">
      <c r="J25">
        <f t="shared" si="1"/>
        <v>2024</v>
      </c>
      <c r="M25">
        <v>23</v>
      </c>
    </row>
    <row r="26" spans="6:13" x14ac:dyDescent="0.25">
      <c r="J26">
        <f t="shared" si="1"/>
        <v>2025</v>
      </c>
      <c r="M26">
        <v>24</v>
      </c>
    </row>
    <row r="27" spans="6:13" x14ac:dyDescent="0.25">
      <c r="J27" t="str">
        <f t="shared" si="1"/>
        <v/>
      </c>
      <c r="M27">
        <v>25</v>
      </c>
    </row>
    <row r="28" spans="6:13" x14ac:dyDescent="0.25">
      <c r="J28" t="str">
        <f t="shared" si="1"/>
        <v/>
      </c>
      <c r="M28">
        <v>26</v>
      </c>
    </row>
    <row r="29" spans="6:13" ht="13" x14ac:dyDescent="0.3">
      <c r="J29" s="1" t="s">
        <v>117</v>
      </c>
      <c r="M29">
        <v>27</v>
      </c>
    </row>
    <row r="30" spans="6:13" x14ac:dyDescent="0.25">
      <c r="J30" t="s">
        <v>282</v>
      </c>
      <c r="M30">
        <v>28</v>
      </c>
    </row>
    <row r="31" spans="6:13" x14ac:dyDescent="0.25">
      <c r="J31" t="s">
        <v>118</v>
      </c>
      <c r="M31">
        <v>29</v>
      </c>
    </row>
    <row r="32" spans="6:13" x14ac:dyDescent="0.25">
      <c r="M32">
        <v>30</v>
      </c>
    </row>
    <row r="33" spans="13:13" x14ac:dyDescent="0.25">
      <c r="M33">
        <v>31</v>
      </c>
    </row>
    <row r="34" spans="13:13" x14ac:dyDescent="0.25">
      <c r="M34">
        <v>32</v>
      </c>
    </row>
    <row r="35" spans="13:13" x14ac:dyDescent="0.25">
      <c r="M35">
        <v>33</v>
      </c>
    </row>
    <row r="36" spans="13:13" x14ac:dyDescent="0.25">
      <c r="M36">
        <v>34</v>
      </c>
    </row>
    <row r="37" spans="13:13" x14ac:dyDescent="0.25">
      <c r="M37">
        <v>35</v>
      </c>
    </row>
    <row r="38" spans="13:13" x14ac:dyDescent="0.25">
      <c r="M38">
        <v>36</v>
      </c>
    </row>
    <row r="39" spans="13:13" x14ac:dyDescent="0.25">
      <c r="M39">
        <v>37</v>
      </c>
    </row>
    <row r="40" spans="13:13" x14ac:dyDescent="0.25">
      <c r="M40">
        <v>38</v>
      </c>
    </row>
    <row r="41" spans="13:13" x14ac:dyDescent="0.25">
      <c r="M41">
        <v>39</v>
      </c>
    </row>
    <row r="42" spans="13:13" x14ac:dyDescent="0.25">
      <c r="M42">
        <v>40</v>
      </c>
    </row>
    <row r="43" spans="13:13" x14ac:dyDescent="0.25">
      <c r="M43">
        <v>41</v>
      </c>
    </row>
    <row r="44" spans="13:13" x14ac:dyDescent="0.25">
      <c r="M44">
        <v>42</v>
      </c>
    </row>
    <row r="45" spans="13:13" x14ac:dyDescent="0.25">
      <c r="M45">
        <v>43</v>
      </c>
    </row>
    <row r="46" spans="13:13" x14ac:dyDescent="0.25">
      <c r="M46">
        <v>44</v>
      </c>
    </row>
    <row r="47" spans="13:13" x14ac:dyDescent="0.25">
      <c r="M47">
        <v>45</v>
      </c>
    </row>
    <row r="48" spans="13:13" x14ac:dyDescent="0.25">
      <c r="M48">
        <v>46</v>
      </c>
    </row>
    <row r="49" spans="13:13" x14ac:dyDescent="0.25">
      <c r="M49">
        <v>47</v>
      </c>
    </row>
    <row r="50" spans="13:13" x14ac:dyDescent="0.25">
      <c r="M50">
        <v>48</v>
      </c>
    </row>
    <row r="51" spans="13:13" x14ac:dyDescent="0.25">
      <c r="M51">
        <v>49</v>
      </c>
    </row>
    <row r="52" spans="13:13" x14ac:dyDescent="0.25">
      <c r="M52">
        <v>50</v>
      </c>
    </row>
    <row r="53" spans="13:13" x14ac:dyDescent="0.25">
      <c r="M53">
        <v>51</v>
      </c>
    </row>
    <row r="54" spans="13:13" x14ac:dyDescent="0.25">
      <c r="M54">
        <v>52</v>
      </c>
    </row>
    <row r="55" spans="13:13" x14ac:dyDescent="0.25">
      <c r="M55">
        <v>53</v>
      </c>
    </row>
    <row r="56" spans="13:13" x14ac:dyDescent="0.25">
      <c r="M56">
        <v>54</v>
      </c>
    </row>
    <row r="57" spans="13:13" x14ac:dyDescent="0.25">
      <c r="M57">
        <v>55</v>
      </c>
    </row>
    <row r="58" spans="13:13" x14ac:dyDescent="0.25">
      <c r="M58">
        <v>56</v>
      </c>
    </row>
    <row r="59" spans="13:13" x14ac:dyDescent="0.25">
      <c r="M59">
        <v>57</v>
      </c>
    </row>
    <row r="60" spans="13:13" x14ac:dyDescent="0.25">
      <c r="M60">
        <v>58</v>
      </c>
    </row>
    <row r="61" spans="13:13" x14ac:dyDescent="0.25">
      <c r="M61">
        <v>59</v>
      </c>
    </row>
    <row r="62" spans="13:13" x14ac:dyDescent="0.25">
      <c r="M62">
        <v>60</v>
      </c>
    </row>
    <row r="63" spans="13:13" x14ac:dyDescent="0.25">
      <c r="M63">
        <v>61</v>
      </c>
    </row>
    <row r="64" spans="13:13" x14ac:dyDescent="0.25">
      <c r="M64">
        <v>62</v>
      </c>
    </row>
    <row r="65" spans="13:13" x14ac:dyDescent="0.25">
      <c r="M65">
        <v>63</v>
      </c>
    </row>
    <row r="66" spans="13:13" x14ac:dyDescent="0.25">
      <c r="M66">
        <v>64</v>
      </c>
    </row>
    <row r="67" spans="13:13" x14ac:dyDescent="0.25">
      <c r="M67">
        <v>65</v>
      </c>
    </row>
    <row r="68" spans="13:13" x14ac:dyDescent="0.25">
      <c r="M68">
        <v>66</v>
      </c>
    </row>
    <row r="69" spans="13:13" x14ac:dyDescent="0.25">
      <c r="M69">
        <v>67</v>
      </c>
    </row>
    <row r="70" spans="13:13" x14ac:dyDescent="0.25">
      <c r="M70">
        <v>68</v>
      </c>
    </row>
    <row r="71" spans="13:13" x14ac:dyDescent="0.25">
      <c r="M71">
        <v>69</v>
      </c>
    </row>
    <row r="72" spans="13:13" x14ac:dyDescent="0.25">
      <c r="M72">
        <v>70</v>
      </c>
    </row>
    <row r="73" spans="13:13" x14ac:dyDescent="0.25">
      <c r="M73">
        <v>71</v>
      </c>
    </row>
    <row r="74" spans="13:13" x14ac:dyDescent="0.25">
      <c r="M74">
        <v>72</v>
      </c>
    </row>
    <row r="75" spans="13:13" x14ac:dyDescent="0.25">
      <c r="M75">
        <v>73</v>
      </c>
    </row>
    <row r="76" spans="13:13" x14ac:dyDescent="0.25">
      <c r="M76">
        <v>74</v>
      </c>
    </row>
    <row r="77" spans="13:13" x14ac:dyDescent="0.25">
      <c r="M77">
        <v>75</v>
      </c>
    </row>
    <row r="78" spans="13:13" x14ac:dyDescent="0.25">
      <c r="M78">
        <v>76</v>
      </c>
    </row>
    <row r="79" spans="13:13" x14ac:dyDescent="0.25">
      <c r="M79">
        <v>77</v>
      </c>
    </row>
    <row r="80" spans="13:13" x14ac:dyDescent="0.25">
      <c r="M80">
        <v>78</v>
      </c>
    </row>
    <row r="81" spans="13:13" x14ac:dyDescent="0.25">
      <c r="M81">
        <v>79</v>
      </c>
    </row>
    <row r="82" spans="13:13" x14ac:dyDescent="0.25">
      <c r="M82">
        <v>80</v>
      </c>
    </row>
    <row r="83" spans="13:13" x14ac:dyDescent="0.25">
      <c r="M83">
        <v>81</v>
      </c>
    </row>
    <row r="84" spans="13:13" x14ac:dyDescent="0.25">
      <c r="M84">
        <v>82</v>
      </c>
    </row>
    <row r="85" spans="13:13" x14ac:dyDescent="0.25">
      <c r="M85">
        <v>83</v>
      </c>
    </row>
    <row r="86" spans="13:13" x14ac:dyDescent="0.25">
      <c r="M86">
        <v>84</v>
      </c>
    </row>
    <row r="87" spans="13:13" x14ac:dyDescent="0.25">
      <c r="M87">
        <v>85</v>
      </c>
    </row>
    <row r="88" spans="13:13" x14ac:dyDescent="0.25">
      <c r="M88">
        <v>86</v>
      </c>
    </row>
    <row r="89" spans="13:13" x14ac:dyDescent="0.25">
      <c r="M89">
        <v>87</v>
      </c>
    </row>
    <row r="90" spans="13:13" x14ac:dyDescent="0.25">
      <c r="M90">
        <v>88</v>
      </c>
    </row>
    <row r="91" spans="13:13" x14ac:dyDescent="0.25">
      <c r="M91">
        <v>89</v>
      </c>
    </row>
    <row r="92" spans="13:13" x14ac:dyDescent="0.25">
      <c r="M92">
        <v>90</v>
      </c>
    </row>
    <row r="93" spans="13:13" x14ac:dyDescent="0.25">
      <c r="M93">
        <v>91</v>
      </c>
    </row>
    <row r="94" spans="13:13" x14ac:dyDescent="0.25">
      <c r="M94">
        <v>92</v>
      </c>
    </row>
    <row r="95" spans="13:13" x14ac:dyDescent="0.25">
      <c r="M95">
        <v>93</v>
      </c>
    </row>
    <row r="96" spans="13:13" x14ac:dyDescent="0.25">
      <c r="M96">
        <v>94</v>
      </c>
    </row>
    <row r="97" spans="13:13" x14ac:dyDescent="0.25">
      <c r="M97">
        <v>95</v>
      </c>
    </row>
    <row r="98" spans="13:13" x14ac:dyDescent="0.25">
      <c r="M98">
        <v>96</v>
      </c>
    </row>
    <row r="99" spans="13:13" x14ac:dyDescent="0.25">
      <c r="M99">
        <v>97</v>
      </c>
    </row>
    <row r="100" spans="13:13" x14ac:dyDescent="0.25">
      <c r="M100">
        <v>98</v>
      </c>
    </row>
    <row r="101" spans="13:13" x14ac:dyDescent="0.25">
      <c r="M101">
        <v>99</v>
      </c>
    </row>
    <row r="102" spans="13:13" x14ac:dyDescent="0.25">
      <c r="M102">
        <v>100</v>
      </c>
    </row>
  </sheetData>
  <sheetProtection algorithmName="SHA-512" hashValue="O0td2sm10Vf7PPfXjRa+t22JrOlM9fh5jvA4sgE4GwGDFtgVjInvEVWwUa0zudx6M2WKLu7oRKfMwfUXdOaZww==" saltValue="B2htq9+3asoodgkdlU7UaQ==" spinCount="100000" sheet="1" objects="1" scenarios="1"/>
  <conditionalFormatting sqref="B3:B5">
    <cfRule type="cellIs" dxfId="3" priority="1" operator="equal">
      <formula>0</formula>
    </cfRule>
    <cfRule type="cellIs" dxfId="2" priority="2" operator="greaterThanOrEqual">
      <formula>10</formula>
    </cfRule>
  </conditionalFormatting>
  <conditionalFormatting sqref="B7:B8">
    <cfRule type="cellIs" dxfId="1" priority="3" operator="equal">
      <formula>0</formula>
    </cfRule>
    <cfRule type="cellIs" dxfId="0" priority="4" operator="greaterThanOrEqual">
      <formula>10</formula>
    </cfRule>
  </conditionalFormatting>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zoomScale="55" zoomScaleNormal="55" workbookViewId="0">
      <selection activeCell="I12" sqref="I12"/>
    </sheetView>
  </sheetViews>
  <sheetFormatPr defaultColWidth="10.81640625" defaultRowHeight="12.5" x14ac:dyDescent="0.25"/>
  <cols>
    <col min="1" max="1" width="4" style="12" customWidth="1"/>
    <col min="2" max="2" width="27" style="12" customWidth="1"/>
    <col min="3" max="3" width="8.81640625" style="12" bestFit="1" customWidth="1"/>
    <col min="4" max="11" width="9.54296875" style="12" bestFit="1" customWidth="1"/>
    <col min="12" max="12" width="2.81640625" customWidth="1"/>
    <col min="13" max="13" width="4" style="12" customWidth="1"/>
    <col min="14" max="14" width="27" style="12" customWidth="1"/>
    <col min="15" max="15" width="13.54296875" style="12" bestFit="1" customWidth="1"/>
    <col min="16" max="21" width="9.54296875" style="12" bestFit="1" customWidth="1"/>
    <col min="22" max="23" width="9.54296875" style="12" customWidth="1"/>
    <col min="24" max="24" width="2.81640625" customWidth="1"/>
    <col min="25" max="25" width="4" style="12" customWidth="1"/>
    <col min="26" max="26" width="27" style="12" customWidth="1"/>
    <col min="27" max="27" width="8.81640625" style="12" bestFit="1" customWidth="1"/>
    <col min="28" max="33" width="9.54296875" style="12" bestFit="1" customWidth="1"/>
    <col min="34" max="35" width="9.54296875" style="12" customWidth="1"/>
  </cols>
  <sheetData>
    <row r="1" spans="1:35" s="31" customFormat="1" ht="18" x14ac:dyDescent="0.4">
      <c r="A1" s="30"/>
      <c r="B1" s="30" t="s">
        <v>302</v>
      </c>
      <c r="C1" s="30"/>
      <c r="D1" s="30"/>
      <c r="E1" s="30"/>
      <c r="F1" s="30"/>
      <c r="G1" s="30"/>
      <c r="H1" s="30"/>
      <c r="I1" s="30"/>
      <c r="J1" s="30"/>
      <c r="K1" s="30"/>
      <c r="M1" s="30"/>
      <c r="N1" s="30" t="s">
        <v>303</v>
      </c>
      <c r="O1" s="30"/>
      <c r="P1" s="30"/>
      <c r="Q1" s="30"/>
      <c r="R1" s="30"/>
      <c r="S1" s="30"/>
      <c r="T1" s="30"/>
      <c r="U1" s="30"/>
      <c r="V1" s="30"/>
      <c r="W1" s="30"/>
      <c r="Y1" s="30"/>
      <c r="Z1" s="30" t="s">
        <v>304</v>
      </c>
      <c r="AA1" s="30"/>
      <c r="AB1" s="30"/>
      <c r="AC1" s="30"/>
      <c r="AD1" s="30"/>
      <c r="AE1" s="30"/>
      <c r="AF1" s="30"/>
      <c r="AG1" s="30"/>
      <c r="AH1" s="30"/>
      <c r="AI1" s="30"/>
    </row>
    <row r="2" spans="1:35" ht="28.5" x14ac:dyDescent="0.25">
      <c r="A2" s="9"/>
      <c r="B2" s="9"/>
      <c r="C2" s="9"/>
      <c r="D2" s="9" t="s">
        <v>305</v>
      </c>
      <c r="E2" s="9"/>
      <c r="F2" s="9"/>
      <c r="G2" s="9"/>
      <c r="H2" s="9"/>
      <c r="I2" s="9"/>
      <c r="J2" s="9"/>
      <c r="K2" s="9"/>
      <c r="M2" s="9"/>
      <c r="N2" s="9"/>
      <c r="O2" s="9"/>
      <c r="P2" s="9" t="s">
        <v>305</v>
      </c>
      <c r="Q2" s="9"/>
      <c r="R2" s="9"/>
      <c r="S2" s="9"/>
      <c r="T2" s="9"/>
      <c r="U2" s="9"/>
      <c r="V2" s="9"/>
      <c r="W2" s="9"/>
      <c r="Y2" s="9"/>
      <c r="Z2" s="9"/>
      <c r="AA2" s="9"/>
      <c r="AB2" s="9" t="s">
        <v>305</v>
      </c>
      <c r="AC2" s="9"/>
      <c r="AD2" s="9"/>
      <c r="AE2" s="9"/>
      <c r="AF2" s="9"/>
      <c r="AG2" s="9"/>
      <c r="AH2" s="9"/>
      <c r="AI2" s="9"/>
    </row>
    <row r="3" spans="1:35" s="34" customFormat="1" ht="18.5" x14ac:dyDescent="0.2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4.5" x14ac:dyDescent="0.35">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8.5" x14ac:dyDescent="0.35">
      <c r="A5" s="26" t="s">
        <v>306</v>
      </c>
      <c r="B5" s="26"/>
      <c r="C5" s="26"/>
      <c r="D5" s="26"/>
      <c r="E5" s="26"/>
      <c r="F5" s="26"/>
      <c r="G5" s="26"/>
      <c r="H5" s="26"/>
      <c r="I5" s="26"/>
      <c r="J5" s="26"/>
      <c r="K5" s="26"/>
      <c r="M5" s="26" t="s">
        <v>307</v>
      </c>
      <c r="N5" s="26"/>
      <c r="O5" s="26"/>
      <c r="P5" s="26"/>
      <c r="Q5" s="26"/>
      <c r="R5" s="26"/>
      <c r="S5" s="26"/>
      <c r="T5" s="26"/>
      <c r="U5" s="26"/>
      <c r="V5" s="26"/>
      <c r="W5" s="26"/>
      <c r="Y5" s="26" t="s">
        <v>308</v>
      </c>
      <c r="Z5" s="27"/>
      <c r="AA5" s="28"/>
      <c r="AB5" s="28"/>
      <c r="AC5" s="28"/>
      <c r="AD5" s="28"/>
      <c r="AE5" s="28"/>
      <c r="AF5" s="28"/>
      <c r="AG5" s="28"/>
      <c r="AH5" s="28"/>
      <c r="AI5" s="28"/>
    </row>
    <row r="6" spans="1:35" x14ac:dyDescent="0.25">
      <c r="B6" s="12" t="s">
        <v>309</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310</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310</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25">
      <c r="B7" s="12" t="s">
        <v>310</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309</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311</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25">
      <c r="B8" s="12" t="s">
        <v>312</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312</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312</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25">
      <c r="B9" s="12" t="s">
        <v>313</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255</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255</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25">
      <c r="B10" s="12" t="s">
        <v>314</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315</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316</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25">
      <c r="B11" s="12" t="s">
        <v>317</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318</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319</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4.5" x14ac:dyDescent="0.35">
      <c r="B12" s="12" t="s">
        <v>320</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321</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4.5" x14ac:dyDescent="0.35">
      <c r="B13" s="73" t="s">
        <v>322</v>
      </c>
      <c r="C13" s="73">
        <v>569107.69314446428</v>
      </c>
      <c r="D13" s="73">
        <v>561951.945450295</v>
      </c>
      <c r="E13" s="73">
        <v>555002.98470967286</v>
      </c>
      <c r="F13" s="73">
        <v>556875.5598041378</v>
      </c>
      <c r="G13" s="73">
        <v>565050.27446802252</v>
      </c>
      <c r="H13" s="73">
        <v>572556.57217168773</v>
      </c>
      <c r="I13" s="73">
        <v>581118.23600854387</v>
      </c>
      <c r="J13" s="73">
        <v>600587.75126492966</v>
      </c>
      <c r="K13" s="73">
        <v>624169.08601430641</v>
      </c>
      <c r="N13" s="12" t="s">
        <v>323</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8.5" x14ac:dyDescent="0.35">
      <c r="A14" s="14"/>
      <c r="B14" s="75" t="s">
        <v>324</v>
      </c>
      <c r="C14" s="74">
        <v>0</v>
      </c>
      <c r="D14" s="74">
        <v>72638.596727083932</v>
      </c>
      <c r="E14" s="74">
        <v>81055.745444729168</v>
      </c>
      <c r="F14" s="74">
        <v>91094.537175136036</v>
      </c>
      <c r="G14" s="74">
        <v>102401.50575039386</v>
      </c>
      <c r="H14" s="74">
        <v>111179.86346170551</v>
      </c>
      <c r="I14" s="74">
        <v>118084.03647381312</v>
      </c>
      <c r="J14" s="74">
        <v>121815.45562733291</v>
      </c>
      <c r="K14" s="74">
        <v>121714.14543753711</v>
      </c>
      <c r="N14" s="13" t="s">
        <v>322</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325</v>
      </c>
      <c r="Z14" s="27"/>
      <c r="AA14" s="28"/>
      <c r="AB14" s="28"/>
      <c r="AC14" s="28"/>
      <c r="AD14" s="28"/>
      <c r="AE14" s="28"/>
      <c r="AF14" s="28"/>
      <c r="AG14" s="28"/>
      <c r="AH14" s="28"/>
      <c r="AI14" s="28"/>
    </row>
    <row r="15" spans="1:35" ht="14.5" x14ac:dyDescent="0.35">
      <c r="N15" s="13"/>
      <c r="O15" s="13"/>
      <c r="P15" s="13"/>
      <c r="Q15" s="13"/>
      <c r="R15" s="13"/>
      <c r="S15" s="13"/>
      <c r="T15" s="13"/>
      <c r="U15" s="13"/>
      <c r="V15" s="13"/>
      <c r="W15" s="13"/>
      <c r="Z15" s="12" t="s">
        <v>326</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8.5" x14ac:dyDescent="0.25">
      <c r="A16" s="26" t="s">
        <v>327</v>
      </c>
      <c r="B16" s="26"/>
      <c r="C16" s="26"/>
      <c r="D16" s="26"/>
      <c r="E16" s="26"/>
      <c r="F16" s="26"/>
      <c r="G16" s="26"/>
      <c r="H16" s="26"/>
      <c r="I16" s="26"/>
      <c r="J16" s="26"/>
      <c r="K16" s="26"/>
      <c r="M16" s="26" t="s">
        <v>328</v>
      </c>
      <c r="N16" s="26"/>
      <c r="O16" s="26"/>
      <c r="P16" s="26"/>
      <c r="Q16" s="26"/>
      <c r="R16" s="26"/>
      <c r="S16" s="26"/>
      <c r="T16" s="26"/>
      <c r="U16" s="26"/>
      <c r="V16" s="26"/>
      <c r="W16" s="26"/>
      <c r="Z16" s="12" t="s">
        <v>329</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6.5" x14ac:dyDescent="0.45">
      <c r="B17" s="12" t="s">
        <v>309</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330</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331</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6.5" x14ac:dyDescent="0.45">
      <c r="B18" s="12" t="s">
        <v>310</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332</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333</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25">
      <c r="B19" s="12" t="s">
        <v>312</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334</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8.5" x14ac:dyDescent="0.25">
      <c r="B20" s="12" t="s">
        <v>313</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335</v>
      </c>
      <c r="N20" s="26"/>
      <c r="O20" s="26"/>
      <c r="P20" s="26"/>
      <c r="Q20" s="26"/>
      <c r="R20" s="26"/>
      <c r="S20" s="26"/>
      <c r="T20" s="26"/>
      <c r="U20" s="26"/>
      <c r="V20" s="26"/>
      <c r="W20" s="26"/>
      <c r="Z20" s="12" t="s">
        <v>336</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4.5" x14ac:dyDescent="0.35">
      <c r="B21" s="12" t="s">
        <v>314</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310</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4.5" x14ac:dyDescent="0.35">
      <c r="B22" s="12" t="s">
        <v>317</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309</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8.5" x14ac:dyDescent="0.25">
      <c r="B23" s="12" t="s">
        <v>337</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312</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338</v>
      </c>
      <c r="Z23" s="26"/>
      <c r="AA23" s="26"/>
      <c r="AB23" s="26"/>
      <c r="AC23" s="26"/>
      <c r="AD23" s="26"/>
      <c r="AE23" s="26"/>
      <c r="AF23" s="26"/>
      <c r="AG23" s="26"/>
      <c r="AH23" s="26"/>
      <c r="AI23" s="26"/>
    </row>
    <row r="24" spans="1:35" x14ac:dyDescent="0.25">
      <c r="B24" s="12" t="s">
        <v>339</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255</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310</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25">
      <c r="B25" s="12" t="s">
        <v>340</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315</v>
      </c>
      <c r="O25" s="12">
        <v>2.72244541120065E-2</v>
      </c>
      <c r="P25" s="12">
        <v>1.8413488967691159E-2</v>
      </c>
      <c r="Q25" s="12">
        <v>1.4123635098713188E-2</v>
      </c>
      <c r="R25" s="12">
        <v>1.0211444380876414E-2</v>
      </c>
      <c r="S25" s="12">
        <v>6.446619996325351E-3</v>
      </c>
      <c r="T25" s="12">
        <v>3.0103598381605681E-3</v>
      </c>
      <c r="U25" s="12">
        <v>0</v>
      </c>
      <c r="V25" s="12">
        <v>0</v>
      </c>
      <c r="W25" s="12">
        <v>0</v>
      </c>
      <c r="Z25" s="12" t="s">
        <v>311</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25">
      <c r="B26" s="12" t="s">
        <v>341</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318</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312</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25">
      <c r="B27" s="12" t="s">
        <v>342</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321</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255</v>
      </c>
      <c r="AA27" s="12">
        <v>0</v>
      </c>
      <c r="AB27" s="12">
        <v>0</v>
      </c>
      <c r="AC27" s="12">
        <v>0</v>
      </c>
      <c r="AD27" s="12">
        <v>0</v>
      </c>
      <c r="AE27" s="12">
        <v>0</v>
      </c>
      <c r="AF27" s="12">
        <v>0</v>
      </c>
      <c r="AG27" s="12">
        <v>0</v>
      </c>
      <c r="AH27" s="12">
        <v>0</v>
      </c>
      <c r="AI27" s="12">
        <v>0</v>
      </c>
    </row>
    <row r="28" spans="1:35" x14ac:dyDescent="0.25">
      <c r="B28" s="12" t="s">
        <v>343</v>
      </c>
      <c r="C28" s="12">
        <v>0</v>
      </c>
      <c r="D28" s="12">
        <v>0</v>
      </c>
      <c r="E28" s="12">
        <v>0</v>
      </c>
      <c r="F28" s="12">
        <v>0</v>
      </c>
      <c r="G28" s="12">
        <v>0</v>
      </c>
      <c r="H28" s="12">
        <v>0</v>
      </c>
      <c r="I28" s="12">
        <v>0</v>
      </c>
      <c r="J28" s="12">
        <v>0</v>
      </c>
      <c r="K28" s="12">
        <v>0</v>
      </c>
      <c r="N28" s="12" t="s">
        <v>323</v>
      </c>
      <c r="O28" s="12">
        <v>0</v>
      </c>
      <c r="P28" s="12">
        <v>0</v>
      </c>
      <c r="Q28" s="12">
        <v>0</v>
      </c>
      <c r="R28" s="12">
        <v>0</v>
      </c>
      <c r="S28" s="12">
        <v>0</v>
      </c>
      <c r="T28" s="12">
        <v>0</v>
      </c>
      <c r="U28" s="12">
        <v>0</v>
      </c>
      <c r="V28" s="12">
        <v>0</v>
      </c>
      <c r="W28" s="12">
        <v>0</v>
      </c>
      <c r="Z28" s="12" t="s">
        <v>316</v>
      </c>
      <c r="AA28" s="12">
        <v>0</v>
      </c>
      <c r="AB28" s="12">
        <v>0</v>
      </c>
      <c r="AC28" s="12">
        <v>0</v>
      </c>
      <c r="AD28" s="12">
        <v>0</v>
      </c>
      <c r="AE28" s="12">
        <v>0</v>
      </c>
      <c r="AF28" s="12">
        <v>0</v>
      </c>
      <c r="AG28" s="12">
        <v>0</v>
      </c>
      <c r="AH28" s="12">
        <v>0</v>
      </c>
      <c r="AI28" s="12">
        <v>0</v>
      </c>
    </row>
    <row r="29" spans="1:35" ht="14.5" x14ac:dyDescent="0.35">
      <c r="B29" s="12" t="s">
        <v>320</v>
      </c>
      <c r="C29" s="12">
        <v>10.725241824000001</v>
      </c>
      <c r="D29" s="12">
        <v>0</v>
      </c>
      <c r="E29" s="12">
        <v>0</v>
      </c>
      <c r="F29" s="12">
        <v>0</v>
      </c>
      <c r="G29" s="12">
        <v>0</v>
      </c>
      <c r="H29" s="12">
        <v>0</v>
      </c>
      <c r="I29" s="12">
        <v>0</v>
      </c>
      <c r="J29" s="12">
        <v>0</v>
      </c>
      <c r="K29" s="12">
        <v>0</v>
      </c>
      <c r="N29" s="13" t="s">
        <v>322</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319</v>
      </c>
      <c r="AA29" s="12">
        <v>0</v>
      </c>
      <c r="AB29" s="12">
        <v>0</v>
      </c>
      <c r="AC29" s="12">
        <v>0</v>
      </c>
      <c r="AD29" s="12">
        <v>0</v>
      </c>
      <c r="AE29" s="12">
        <v>0</v>
      </c>
      <c r="AF29" s="12">
        <v>0</v>
      </c>
      <c r="AG29" s="12">
        <v>0</v>
      </c>
      <c r="AH29" s="12">
        <v>0</v>
      </c>
      <c r="AI29" s="12">
        <v>0</v>
      </c>
    </row>
    <row r="30" spans="1:35" ht="14.5" x14ac:dyDescent="0.35">
      <c r="A30" s="13"/>
      <c r="B30" s="13" t="s">
        <v>322</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8.5" x14ac:dyDescent="0.35">
      <c r="M31" s="26" t="s">
        <v>344</v>
      </c>
      <c r="N31" s="26"/>
      <c r="O31" s="26"/>
      <c r="P31" s="26"/>
      <c r="Q31" s="26"/>
      <c r="R31" s="26"/>
      <c r="S31" s="26"/>
      <c r="T31" s="26"/>
      <c r="U31" s="26"/>
      <c r="V31" s="26"/>
      <c r="W31" s="26"/>
      <c r="Z31" s="13"/>
      <c r="AA31" s="13"/>
      <c r="AB31" s="13"/>
      <c r="AC31" s="13"/>
      <c r="AD31" s="13"/>
      <c r="AE31" s="13"/>
      <c r="AF31" s="13"/>
      <c r="AG31" s="13"/>
      <c r="AH31" s="13"/>
      <c r="AI31" s="13"/>
    </row>
    <row r="32" spans="1:35" ht="18.5" x14ac:dyDescent="0.25">
      <c r="A32" s="26" t="s">
        <v>345</v>
      </c>
      <c r="B32" s="26"/>
      <c r="C32" s="26"/>
      <c r="D32" s="26"/>
      <c r="E32" s="26"/>
      <c r="F32" s="26"/>
      <c r="G32" s="26"/>
      <c r="H32" s="26"/>
      <c r="I32" s="26"/>
      <c r="J32" s="26"/>
      <c r="K32" s="26"/>
      <c r="N32" s="12" t="s">
        <v>310</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346</v>
      </c>
      <c r="Z32" s="26"/>
      <c r="AA32" s="26"/>
      <c r="AB32" s="26"/>
      <c r="AC32" s="26"/>
      <c r="AD32" s="26"/>
      <c r="AE32" s="26"/>
      <c r="AF32" s="26"/>
      <c r="AG32" s="26"/>
      <c r="AH32" s="26"/>
      <c r="AI32" s="26"/>
    </row>
    <row r="33" spans="1:35" x14ac:dyDescent="0.25">
      <c r="B33" s="12" t="s">
        <v>309</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309</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326</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25">
      <c r="B34" s="12" t="s">
        <v>310</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312</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329</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25">
      <c r="B35" s="12" t="s">
        <v>312</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255</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331</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25">
      <c r="B36" s="12" t="s">
        <v>255</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315</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333</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25">
      <c r="B37" s="12" t="s">
        <v>315</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318</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334</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25">
      <c r="B38" s="12" t="s">
        <v>314</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321</v>
      </c>
      <c r="O38" s="12">
        <v>0</v>
      </c>
      <c r="P38" s="12">
        <v>0</v>
      </c>
      <c r="Q38" s="12">
        <v>0</v>
      </c>
      <c r="R38" s="12">
        <v>0</v>
      </c>
      <c r="S38" s="12">
        <v>0</v>
      </c>
      <c r="T38" s="12">
        <v>0</v>
      </c>
      <c r="U38" s="12">
        <v>0</v>
      </c>
      <c r="V38" s="12">
        <v>0</v>
      </c>
      <c r="W38" s="12">
        <v>0</v>
      </c>
      <c r="Z38" s="12" t="s">
        <v>336</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4.5" x14ac:dyDescent="0.35">
      <c r="B39" s="12" t="s">
        <v>343</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323</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4.5" x14ac:dyDescent="0.35">
      <c r="B40" s="12" t="s">
        <v>320</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322</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8.5" x14ac:dyDescent="0.35">
      <c r="B41" s="13" t="s">
        <v>322</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347</v>
      </c>
      <c r="Z41" s="26"/>
      <c r="AA41" s="26"/>
      <c r="AB41" s="26"/>
      <c r="AC41" s="26"/>
      <c r="AD41" s="26"/>
      <c r="AE41" s="26"/>
      <c r="AF41" s="26"/>
      <c r="AG41" s="26"/>
      <c r="AH41" s="26"/>
      <c r="AI41" s="26"/>
    </row>
    <row r="42" spans="1:35" ht="18.5" x14ac:dyDescent="0.25">
      <c r="M42" s="26" t="s">
        <v>348</v>
      </c>
      <c r="N42" s="26"/>
      <c r="O42" s="26"/>
      <c r="P42" s="26"/>
      <c r="Q42" s="26"/>
      <c r="R42" s="26"/>
      <c r="S42" s="26"/>
      <c r="T42" s="26"/>
      <c r="U42" s="26"/>
      <c r="V42" s="26"/>
      <c r="W42" s="26"/>
      <c r="Z42" s="12" t="s">
        <v>310</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8.5" x14ac:dyDescent="0.25">
      <c r="A43" s="26" t="s">
        <v>349</v>
      </c>
      <c r="B43" s="26"/>
      <c r="C43" s="26"/>
      <c r="D43" s="26"/>
      <c r="E43" s="26"/>
      <c r="F43" s="26"/>
      <c r="G43" s="26"/>
      <c r="H43" s="26"/>
      <c r="I43" s="26"/>
      <c r="J43" s="26"/>
      <c r="K43" s="26"/>
      <c r="N43" s="12" t="s">
        <v>310</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311</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25">
      <c r="B44" s="12" t="s">
        <v>309</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309</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312</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25">
      <c r="B45" s="12" t="s">
        <v>310</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312</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255</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25">
      <c r="B46" s="12" t="s">
        <v>312</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255</v>
      </c>
      <c r="O46" s="12">
        <v>0</v>
      </c>
      <c r="P46" s="12">
        <v>0</v>
      </c>
      <c r="Q46" s="12">
        <v>0</v>
      </c>
      <c r="R46" s="12">
        <v>0</v>
      </c>
      <c r="S46" s="12">
        <v>0</v>
      </c>
      <c r="T46" s="12">
        <v>0</v>
      </c>
      <c r="U46" s="12">
        <v>0</v>
      </c>
      <c r="V46" s="12">
        <v>0</v>
      </c>
      <c r="W46" s="12">
        <v>0</v>
      </c>
      <c r="Z46" s="12" t="s">
        <v>316</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25">
      <c r="B47" s="12" t="s">
        <v>255</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315</v>
      </c>
      <c r="O47" s="12">
        <v>0</v>
      </c>
      <c r="P47" s="12">
        <v>0</v>
      </c>
      <c r="Q47" s="12">
        <v>0</v>
      </c>
      <c r="R47" s="12">
        <v>0</v>
      </c>
      <c r="S47" s="12">
        <v>0</v>
      </c>
      <c r="T47" s="12">
        <v>0</v>
      </c>
      <c r="U47" s="12">
        <v>0</v>
      </c>
      <c r="V47" s="12">
        <v>0</v>
      </c>
      <c r="W47" s="12">
        <v>0</v>
      </c>
      <c r="Z47" s="12" t="s">
        <v>319</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4.5" x14ac:dyDescent="0.35">
      <c r="B48" s="12" t="s">
        <v>315</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318</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25">
      <c r="B49" s="12" t="s">
        <v>314</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321</v>
      </c>
      <c r="O49" s="12">
        <v>0</v>
      </c>
      <c r="P49" s="12">
        <v>0</v>
      </c>
      <c r="Q49" s="12">
        <v>0</v>
      </c>
      <c r="R49" s="12">
        <v>0</v>
      </c>
      <c r="S49" s="12">
        <v>0</v>
      </c>
      <c r="T49" s="12">
        <v>0</v>
      </c>
      <c r="U49" s="12">
        <v>0</v>
      </c>
      <c r="V49" s="12">
        <v>0</v>
      </c>
      <c r="W49" s="12">
        <v>0</v>
      </c>
    </row>
    <row r="50" spans="1:35" ht="18.5" x14ac:dyDescent="0.25">
      <c r="B50" s="12" t="s">
        <v>343</v>
      </c>
      <c r="C50" s="12">
        <v>0</v>
      </c>
      <c r="D50" s="12">
        <v>0</v>
      </c>
      <c r="E50" s="12">
        <v>0</v>
      </c>
      <c r="F50" s="12">
        <v>0</v>
      </c>
      <c r="G50" s="12">
        <v>0</v>
      </c>
      <c r="H50" s="12">
        <v>0</v>
      </c>
      <c r="I50" s="12">
        <v>0</v>
      </c>
      <c r="J50" s="12">
        <v>0</v>
      </c>
      <c r="K50" s="12">
        <v>0</v>
      </c>
      <c r="N50" s="12" t="s">
        <v>323</v>
      </c>
      <c r="O50" s="12">
        <v>0</v>
      </c>
      <c r="P50" s="12">
        <v>0</v>
      </c>
      <c r="Q50" s="12">
        <v>0</v>
      </c>
      <c r="R50" s="12">
        <v>0</v>
      </c>
      <c r="S50" s="12">
        <v>0</v>
      </c>
      <c r="T50" s="12">
        <v>0</v>
      </c>
      <c r="U50" s="12">
        <v>0</v>
      </c>
      <c r="V50" s="12">
        <v>0</v>
      </c>
      <c r="W50" s="12">
        <v>0</v>
      </c>
      <c r="Y50" s="26" t="s">
        <v>350</v>
      </c>
      <c r="Z50" s="26"/>
      <c r="AA50" s="26"/>
      <c r="AB50" s="26"/>
      <c r="AC50" s="26"/>
      <c r="AD50" s="26"/>
      <c r="AE50" s="26"/>
      <c r="AF50" s="26"/>
      <c r="AG50" s="26"/>
      <c r="AH50" s="26"/>
      <c r="AI50" s="26"/>
    </row>
    <row r="51" spans="1:35" ht="14.5" x14ac:dyDescent="0.35">
      <c r="B51" s="12" t="s">
        <v>320</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322</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310</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4.5" x14ac:dyDescent="0.35">
      <c r="B52" s="13" t="s">
        <v>322</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311</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8.5" x14ac:dyDescent="0.25">
      <c r="M53" s="26" t="s">
        <v>351</v>
      </c>
      <c r="N53" s="26"/>
      <c r="O53" s="26"/>
      <c r="P53" s="26"/>
      <c r="Q53" s="26"/>
      <c r="R53" s="26"/>
      <c r="S53" s="26"/>
      <c r="T53" s="26"/>
      <c r="U53" s="26"/>
      <c r="V53" s="26"/>
      <c r="W53" s="26"/>
      <c r="Z53" s="12" t="s">
        <v>312</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8.5" x14ac:dyDescent="0.25">
      <c r="A54" s="26" t="s">
        <v>352</v>
      </c>
      <c r="B54" s="26"/>
      <c r="C54" s="26"/>
      <c r="D54" s="26"/>
      <c r="E54" s="26"/>
      <c r="F54" s="26"/>
      <c r="G54" s="26"/>
      <c r="H54" s="26"/>
      <c r="I54" s="26"/>
      <c r="J54" s="26"/>
      <c r="K54" s="26"/>
      <c r="N54" s="12" t="s">
        <v>310</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255</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4.5" x14ac:dyDescent="0.35">
      <c r="B55" s="13" t="s">
        <v>322</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309</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316</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25">
      <c r="N56" s="12" t="s">
        <v>312</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319</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8.5" x14ac:dyDescent="0.35">
      <c r="A57" s="26" t="s">
        <v>353</v>
      </c>
      <c r="B57" s="26"/>
      <c r="C57" s="26"/>
      <c r="D57" s="26"/>
      <c r="E57" s="26"/>
      <c r="F57" s="26"/>
      <c r="G57" s="26"/>
      <c r="H57" s="26"/>
      <c r="I57" s="26"/>
      <c r="J57" s="26"/>
      <c r="K57" s="26"/>
      <c r="N57" s="12" t="s">
        <v>255</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25">
      <c r="B58" s="12" t="s">
        <v>309</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315</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8.5" x14ac:dyDescent="0.25">
      <c r="B59" s="12" t="s">
        <v>310</v>
      </c>
      <c r="C59" s="12">
        <v>119.92389404400001</v>
      </c>
      <c r="D59" s="12">
        <v>0</v>
      </c>
      <c r="E59" s="12">
        <v>0</v>
      </c>
      <c r="F59" s="12">
        <v>0</v>
      </c>
      <c r="G59" s="12">
        <v>0</v>
      </c>
      <c r="H59" s="12">
        <v>0</v>
      </c>
      <c r="I59" s="12">
        <v>0</v>
      </c>
      <c r="J59" s="12">
        <v>0</v>
      </c>
      <c r="K59" s="12">
        <v>0</v>
      </c>
      <c r="N59" s="12" t="s">
        <v>318</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354</v>
      </c>
      <c r="Z59" s="26"/>
      <c r="AA59" s="26"/>
      <c r="AB59" s="26"/>
      <c r="AC59" s="26"/>
      <c r="AD59" s="26"/>
      <c r="AE59" s="26"/>
      <c r="AF59" s="26"/>
      <c r="AG59" s="26"/>
      <c r="AH59" s="26"/>
      <c r="AI59" s="26"/>
    </row>
    <row r="60" spans="1:35" x14ac:dyDescent="0.25">
      <c r="B60" s="12" t="s">
        <v>312</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321</v>
      </c>
      <c r="O60" s="12">
        <v>0</v>
      </c>
      <c r="P60" s="12">
        <v>0</v>
      </c>
      <c r="Q60" s="12">
        <v>0</v>
      </c>
      <c r="R60" s="12">
        <v>0</v>
      </c>
      <c r="S60" s="12">
        <v>0</v>
      </c>
      <c r="T60" s="12">
        <v>0</v>
      </c>
      <c r="U60" s="12">
        <v>0</v>
      </c>
      <c r="V60" s="12">
        <v>0</v>
      </c>
      <c r="W60" s="12">
        <v>0</v>
      </c>
      <c r="Z60" s="12" t="s">
        <v>310</v>
      </c>
      <c r="AA60" s="12">
        <v>0</v>
      </c>
      <c r="AB60" s="12">
        <v>0</v>
      </c>
      <c r="AC60" s="12">
        <v>0</v>
      </c>
      <c r="AD60" s="12">
        <v>0</v>
      </c>
      <c r="AE60" s="12">
        <v>0</v>
      </c>
      <c r="AF60" s="12">
        <v>0</v>
      </c>
      <c r="AG60" s="12">
        <v>0</v>
      </c>
      <c r="AH60" s="12">
        <v>0</v>
      </c>
      <c r="AI60" s="12">
        <v>0</v>
      </c>
    </row>
    <row r="61" spans="1:35" x14ac:dyDescent="0.25">
      <c r="B61" s="12" t="s">
        <v>255</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323</v>
      </c>
      <c r="O61" s="12">
        <v>0</v>
      </c>
      <c r="P61" s="12">
        <v>0</v>
      </c>
      <c r="Q61" s="12">
        <v>0</v>
      </c>
      <c r="R61" s="12">
        <v>0</v>
      </c>
      <c r="S61" s="12">
        <v>0</v>
      </c>
      <c r="T61" s="12">
        <v>0</v>
      </c>
      <c r="U61" s="12">
        <v>0</v>
      </c>
      <c r="V61" s="12">
        <v>0</v>
      </c>
      <c r="W61" s="12">
        <v>0</v>
      </c>
      <c r="Z61" s="12" t="s">
        <v>311</v>
      </c>
      <c r="AA61" s="12">
        <v>0</v>
      </c>
      <c r="AB61" s="12">
        <v>0</v>
      </c>
      <c r="AC61" s="12">
        <v>0</v>
      </c>
      <c r="AD61" s="12">
        <v>0</v>
      </c>
      <c r="AE61" s="12">
        <v>0</v>
      </c>
      <c r="AF61" s="12">
        <v>0</v>
      </c>
      <c r="AG61" s="12">
        <v>0</v>
      </c>
      <c r="AH61" s="12">
        <v>0</v>
      </c>
      <c r="AI61" s="12">
        <v>0</v>
      </c>
    </row>
    <row r="62" spans="1:35" ht="14.5" x14ac:dyDescent="0.35">
      <c r="B62" s="12" t="s">
        <v>318</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322</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312</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25">
      <c r="B63" s="12" t="s">
        <v>343</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255</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8.5" x14ac:dyDescent="0.35">
      <c r="A64" s="13"/>
      <c r="B64" s="13" t="s">
        <v>322</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355</v>
      </c>
      <c r="N64" s="26"/>
      <c r="O64" s="26"/>
      <c r="P64" s="26"/>
      <c r="Q64" s="26"/>
      <c r="R64" s="26"/>
      <c r="S64" s="26"/>
      <c r="T64" s="26"/>
      <c r="U64" s="26"/>
      <c r="V64" s="26"/>
      <c r="W64" s="26"/>
      <c r="Z64" s="12" t="s">
        <v>316</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25">
      <c r="N65" s="12" t="s">
        <v>310</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319</v>
      </c>
      <c r="AA65" s="12">
        <v>12.7746</v>
      </c>
      <c r="AB65" s="12">
        <v>0</v>
      </c>
      <c r="AC65" s="12">
        <v>0</v>
      </c>
      <c r="AD65" s="12">
        <v>0</v>
      </c>
      <c r="AE65" s="12">
        <v>0</v>
      </c>
      <c r="AF65" s="12">
        <v>0</v>
      </c>
      <c r="AG65" s="12">
        <v>0</v>
      </c>
      <c r="AH65" s="12">
        <v>0</v>
      </c>
      <c r="AI65" s="12">
        <v>0</v>
      </c>
    </row>
    <row r="66" spans="1:35" ht="18.5" x14ac:dyDescent="0.35">
      <c r="A66" s="26" t="s">
        <v>356</v>
      </c>
      <c r="B66" s="26"/>
      <c r="C66" s="26"/>
      <c r="D66" s="26"/>
      <c r="E66" s="26"/>
      <c r="F66" s="26"/>
      <c r="G66" s="26"/>
      <c r="H66" s="26"/>
      <c r="I66" s="26"/>
      <c r="J66" s="26"/>
      <c r="K66" s="26"/>
      <c r="N66" s="12" t="s">
        <v>309</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25">
      <c r="B67" s="12" t="s">
        <v>309</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312</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8.5" x14ac:dyDescent="0.25">
      <c r="B68" s="12" t="s">
        <v>310</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255</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357</v>
      </c>
      <c r="Z68" s="26"/>
      <c r="AA68" s="26"/>
      <c r="AB68" s="26"/>
      <c r="AC68" s="26"/>
      <c r="AD68" s="26"/>
      <c r="AE68" s="26"/>
      <c r="AF68" s="26"/>
      <c r="AG68" s="26"/>
      <c r="AH68" s="26"/>
      <c r="AI68" s="26"/>
    </row>
    <row r="69" spans="1:35" x14ac:dyDescent="0.25">
      <c r="B69" s="12" t="s">
        <v>312</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315</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310</v>
      </c>
      <c r="AA69" s="12">
        <v>56.100631891199988</v>
      </c>
      <c r="AB69" s="12">
        <v>2.8035385778601829</v>
      </c>
      <c r="AC69" s="12">
        <v>0</v>
      </c>
      <c r="AD69" s="12">
        <v>0</v>
      </c>
      <c r="AE69" s="12">
        <v>0</v>
      </c>
      <c r="AF69" s="12">
        <v>0</v>
      </c>
      <c r="AG69" s="12">
        <v>0</v>
      </c>
      <c r="AH69" s="12">
        <v>0</v>
      </c>
      <c r="AI69" s="12">
        <v>0</v>
      </c>
    </row>
    <row r="70" spans="1:35" x14ac:dyDescent="0.25">
      <c r="B70" s="12" t="s">
        <v>255</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318</v>
      </c>
      <c r="O70" s="12">
        <v>9.3835398960000003</v>
      </c>
      <c r="P70" s="12">
        <v>1.9242175649382987</v>
      </c>
      <c r="Q70" s="12">
        <v>1.6035146480237334</v>
      </c>
      <c r="R70" s="12">
        <v>1.1402769722917154</v>
      </c>
      <c r="S70" s="12">
        <v>0.5345051685699278</v>
      </c>
      <c r="T70" s="12">
        <v>0.3563367259194315</v>
      </c>
      <c r="U70" s="12">
        <v>0</v>
      </c>
      <c r="V70" s="12">
        <v>0</v>
      </c>
      <c r="W70" s="12">
        <v>0</v>
      </c>
      <c r="Z70" s="12" t="s">
        <v>311</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25">
      <c r="B71" s="12" t="s">
        <v>315</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321</v>
      </c>
      <c r="O71" s="12">
        <v>0</v>
      </c>
      <c r="P71" s="12">
        <v>0</v>
      </c>
      <c r="Q71" s="12">
        <v>0</v>
      </c>
      <c r="R71" s="12">
        <v>0</v>
      </c>
      <c r="S71" s="12">
        <v>0</v>
      </c>
      <c r="T71" s="12">
        <v>0</v>
      </c>
      <c r="U71" s="12">
        <v>0</v>
      </c>
      <c r="V71" s="12">
        <v>0</v>
      </c>
      <c r="W71" s="12">
        <v>0</v>
      </c>
      <c r="Z71" s="12" t="s">
        <v>312</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25">
      <c r="B72" s="12" t="s">
        <v>314</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323</v>
      </c>
      <c r="O72" s="12">
        <v>0</v>
      </c>
      <c r="P72" s="12">
        <v>0</v>
      </c>
      <c r="Q72" s="12">
        <v>0</v>
      </c>
      <c r="R72" s="12">
        <v>0</v>
      </c>
      <c r="S72" s="12">
        <v>0</v>
      </c>
      <c r="T72" s="12">
        <v>0</v>
      </c>
      <c r="U72" s="12">
        <v>0</v>
      </c>
      <c r="V72" s="12">
        <v>0</v>
      </c>
      <c r="W72" s="12">
        <v>0</v>
      </c>
      <c r="Z72" s="12" t="s">
        <v>255</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4.5" x14ac:dyDescent="0.35">
      <c r="B73" s="12" t="s">
        <v>343</v>
      </c>
      <c r="C73" s="12">
        <v>0</v>
      </c>
      <c r="D73" s="12">
        <v>0</v>
      </c>
      <c r="E73" s="12">
        <v>0</v>
      </c>
      <c r="F73" s="12">
        <v>0</v>
      </c>
      <c r="G73" s="12">
        <v>0</v>
      </c>
      <c r="H73" s="12">
        <v>0</v>
      </c>
      <c r="I73" s="12">
        <v>0</v>
      </c>
      <c r="J73" s="12">
        <v>0</v>
      </c>
      <c r="K73" s="12">
        <v>0</v>
      </c>
      <c r="N73" s="13" t="s">
        <v>322</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316</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25">
      <c r="B74" s="12" t="s">
        <v>320</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319</v>
      </c>
      <c r="AA74" s="12">
        <v>0</v>
      </c>
      <c r="AB74" s="12">
        <v>0</v>
      </c>
      <c r="AC74" s="12">
        <v>0</v>
      </c>
      <c r="AD74" s="12">
        <v>0</v>
      </c>
      <c r="AE74" s="12">
        <v>0</v>
      </c>
      <c r="AF74" s="12">
        <v>0</v>
      </c>
      <c r="AG74" s="12">
        <v>0</v>
      </c>
      <c r="AH74" s="12">
        <v>0</v>
      </c>
      <c r="AI74" s="12">
        <v>0</v>
      </c>
    </row>
    <row r="75" spans="1:35" ht="18.5" x14ac:dyDescent="0.35">
      <c r="B75" s="13" t="s">
        <v>322</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358</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4.5" x14ac:dyDescent="0.35">
      <c r="B76" s="13"/>
      <c r="C76" s="13"/>
      <c r="D76" s="13"/>
      <c r="E76" s="13"/>
      <c r="F76" s="13"/>
      <c r="G76" s="13"/>
      <c r="H76" s="13"/>
      <c r="I76" s="13"/>
      <c r="J76" s="13"/>
      <c r="K76" s="13"/>
      <c r="N76" s="12" t="s">
        <v>310</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8.5" x14ac:dyDescent="0.25">
      <c r="A77" s="26" t="s">
        <v>359</v>
      </c>
      <c r="B77" s="26"/>
      <c r="C77" s="26"/>
      <c r="D77" s="26"/>
      <c r="E77" s="26"/>
      <c r="F77" s="26"/>
      <c r="G77" s="26"/>
      <c r="H77" s="26"/>
      <c r="I77" s="26"/>
      <c r="J77" s="26"/>
      <c r="K77" s="26"/>
      <c r="N77" s="12" t="s">
        <v>309</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360</v>
      </c>
      <c r="Z77" s="26"/>
      <c r="AA77" s="26"/>
      <c r="AB77" s="26"/>
      <c r="AC77" s="26"/>
      <c r="AD77" s="26"/>
      <c r="AE77" s="26"/>
      <c r="AF77" s="26"/>
      <c r="AG77" s="26"/>
      <c r="AH77" s="26"/>
      <c r="AI77" s="26"/>
    </row>
    <row r="78" spans="1:35" x14ac:dyDescent="0.25">
      <c r="B78" s="12" t="s">
        <v>309</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312</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310</v>
      </c>
      <c r="AA78" s="12">
        <v>0</v>
      </c>
      <c r="AB78" s="12">
        <v>0</v>
      </c>
      <c r="AC78" s="12">
        <v>0</v>
      </c>
      <c r="AD78" s="12">
        <v>0</v>
      </c>
      <c r="AE78" s="12">
        <v>0</v>
      </c>
      <c r="AF78" s="12">
        <v>0</v>
      </c>
      <c r="AG78" s="12">
        <v>0</v>
      </c>
      <c r="AH78" s="12">
        <v>0</v>
      </c>
      <c r="AI78" s="12">
        <v>0</v>
      </c>
    </row>
    <row r="79" spans="1:35" x14ac:dyDescent="0.25">
      <c r="B79" s="12" t="s">
        <v>310</v>
      </c>
      <c r="C79" s="12">
        <v>2827.4384008080001</v>
      </c>
      <c r="D79" s="12">
        <v>1062.3008854097923</v>
      </c>
      <c r="E79" s="12">
        <v>510.14862926809593</v>
      </c>
      <c r="F79" s="12">
        <v>343.40024284904734</v>
      </c>
      <c r="G79" s="12">
        <v>163.35771355588221</v>
      </c>
      <c r="H79" s="12">
        <v>80.221695899015387</v>
      </c>
      <c r="I79" s="12">
        <v>0</v>
      </c>
      <c r="J79" s="12">
        <v>0</v>
      </c>
      <c r="K79" s="12">
        <v>0</v>
      </c>
      <c r="N79" s="12" t="s">
        <v>255</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311</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25">
      <c r="B80" s="12" t="s">
        <v>312</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315</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312</v>
      </c>
      <c r="AA80" s="12">
        <v>0</v>
      </c>
      <c r="AB80" s="12">
        <v>0</v>
      </c>
      <c r="AC80" s="12">
        <v>0</v>
      </c>
      <c r="AD80" s="12">
        <v>0</v>
      </c>
      <c r="AE80" s="12">
        <v>0</v>
      </c>
      <c r="AF80" s="12">
        <v>0</v>
      </c>
      <c r="AG80" s="12">
        <v>0</v>
      </c>
      <c r="AH80" s="12">
        <v>0</v>
      </c>
      <c r="AI80" s="12">
        <v>0</v>
      </c>
    </row>
    <row r="81" spans="1:35" x14ac:dyDescent="0.25">
      <c r="B81" s="12" t="s">
        <v>255</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318</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255</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25">
      <c r="B82" s="12" t="s">
        <v>315</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321</v>
      </c>
      <c r="O82" s="12">
        <v>0</v>
      </c>
      <c r="P82" s="12">
        <v>0</v>
      </c>
      <c r="Q82" s="12">
        <v>0</v>
      </c>
      <c r="R82" s="12">
        <v>0</v>
      </c>
      <c r="S82" s="12">
        <v>0</v>
      </c>
      <c r="T82" s="12">
        <v>0</v>
      </c>
      <c r="U82" s="12">
        <v>0</v>
      </c>
      <c r="V82" s="12">
        <v>0</v>
      </c>
      <c r="W82" s="12">
        <v>0</v>
      </c>
      <c r="Z82" s="12" t="s">
        <v>316</v>
      </c>
      <c r="AA82" s="12">
        <v>0</v>
      </c>
      <c r="AB82" s="12">
        <v>0</v>
      </c>
      <c r="AC82" s="12">
        <v>0</v>
      </c>
      <c r="AD82" s="12">
        <v>0</v>
      </c>
      <c r="AE82" s="12">
        <v>0</v>
      </c>
      <c r="AF82" s="12">
        <v>0</v>
      </c>
      <c r="AG82" s="12">
        <v>0</v>
      </c>
      <c r="AH82" s="12">
        <v>0</v>
      </c>
      <c r="AI82" s="12">
        <v>0</v>
      </c>
    </row>
    <row r="83" spans="1:35" x14ac:dyDescent="0.25">
      <c r="B83" s="12" t="s">
        <v>314</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323</v>
      </c>
      <c r="O83" s="12">
        <v>0</v>
      </c>
      <c r="P83" s="12">
        <v>0</v>
      </c>
      <c r="Q83" s="12">
        <v>0</v>
      </c>
      <c r="R83" s="12">
        <v>0</v>
      </c>
      <c r="S83" s="12">
        <v>0</v>
      </c>
      <c r="T83" s="12">
        <v>0</v>
      </c>
      <c r="U83" s="12">
        <v>0</v>
      </c>
      <c r="V83" s="12">
        <v>0</v>
      </c>
      <c r="W83" s="12">
        <v>0</v>
      </c>
      <c r="Z83" s="12" t="s">
        <v>319</v>
      </c>
      <c r="AA83" s="12">
        <v>0</v>
      </c>
      <c r="AB83" s="12">
        <v>0</v>
      </c>
      <c r="AC83" s="12">
        <v>0</v>
      </c>
      <c r="AD83" s="12">
        <v>0</v>
      </c>
      <c r="AE83" s="12">
        <v>0</v>
      </c>
      <c r="AF83" s="12">
        <v>0</v>
      </c>
      <c r="AG83" s="12">
        <v>0</v>
      </c>
      <c r="AH83" s="12">
        <v>0</v>
      </c>
      <c r="AI83" s="12">
        <v>0</v>
      </c>
    </row>
    <row r="84" spans="1:35" ht="14.5" x14ac:dyDescent="0.35">
      <c r="B84" s="12" t="s">
        <v>343</v>
      </c>
      <c r="C84" s="12">
        <v>0</v>
      </c>
      <c r="D84" s="12">
        <v>0</v>
      </c>
      <c r="E84" s="12">
        <v>0</v>
      </c>
      <c r="F84" s="12">
        <v>0</v>
      </c>
      <c r="G84" s="12">
        <v>0</v>
      </c>
      <c r="H84" s="12">
        <v>0</v>
      </c>
      <c r="I84" s="12">
        <v>0</v>
      </c>
      <c r="J84" s="12">
        <v>0</v>
      </c>
      <c r="K84" s="12">
        <v>0</v>
      </c>
      <c r="N84" s="13" t="s">
        <v>322</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25">
      <c r="B85" s="12" t="s">
        <v>320</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8.5" x14ac:dyDescent="0.35">
      <c r="B86" s="13" t="s">
        <v>322</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361</v>
      </c>
      <c r="N86" s="26"/>
      <c r="O86" s="26"/>
      <c r="P86" s="26"/>
      <c r="Q86" s="26"/>
      <c r="R86" s="26"/>
      <c r="S86" s="26"/>
      <c r="T86" s="26"/>
      <c r="U86" s="26"/>
      <c r="V86" s="26"/>
      <c r="W86" s="26"/>
      <c r="Y86" s="26" t="s">
        <v>362</v>
      </c>
      <c r="Z86" s="26"/>
      <c r="AA86" s="26"/>
      <c r="AB86" s="26"/>
      <c r="AC86" s="26"/>
      <c r="AD86" s="26"/>
      <c r="AE86" s="26"/>
      <c r="AF86" s="26"/>
      <c r="AG86" s="26"/>
      <c r="AH86" s="26"/>
      <c r="AI86" s="26"/>
    </row>
    <row r="87" spans="1:35" ht="14.5" x14ac:dyDescent="0.35">
      <c r="B87" s="13"/>
      <c r="C87" s="13"/>
      <c r="D87" s="13"/>
      <c r="E87" s="13"/>
      <c r="F87" s="13"/>
      <c r="G87" s="13"/>
      <c r="H87" s="13"/>
      <c r="I87" s="13"/>
      <c r="J87" s="13"/>
      <c r="K87" s="13"/>
      <c r="N87" s="12" t="s">
        <v>310</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310</v>
      </c>
      <c r="AA87" s="12">
        <v>56.100631891199988</v>
      </c>
      <c r="AB87" s="12">
        <v>2.8035385778601829</v>
      </c>
      <c r="AC87" s="12">
        <v>0</v>
      </c>
      <c r="AD87" s="12">
        <v>0</v>
      </c>
      <c r="AE87" s="12">
        <v>0</v>
      </c>
      <c r="AF87" s="12">
        <v>0</v>
      </c>
      <c r="AG87" s="12">
        <v>0</v>
      </c>
      <c r="AH87" s="12">
        <v>0</v>
      </c>
      <c r="AI87" s="12">
        <v>0</v>
      </c>
    </row>
    <row r="88" spans="1:35" ht="18.5" x14ac:dyDescent="0.25">
      <c r="A88" s="26" t="s">
        <v>363</v>
      </c>
      <c r="B88" s="26"/>
      <c r="C88" s="26"/>
      <c r="D88" s="26"/>
      <c r="E88" s="26"/>
      <c r="F88" s="26"/>
      <c r="G88" s="26"/>
      <c r="H88" s="26"/>
      <c r="I88" s="26"/>
      <c r="J88" s="26"/>
      <c r="K88" s="26"/>
      <c r="N88" s="12" t="s">
        <v>309</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311</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25">
      <c r="B89" s="12" t="s">
        <v>309</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312</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312</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25">
      <c r="B90" s="12" t="s">
        <v>310</v>
      </c>
      <c r="C90" s="12">
        <v>635.39940247200002</v>
      </c>
      <c r="D90" s="12">
        <v>666.35830222455593</v>
      </c>
      <c r="E90" s="12">
        <v>495.66481434946803</v>
      </c>
      <c r="F90" s="12">
        <v>341.64318685057196</v>
      </c>
      <c r="G90" s="12">
        <v>205.25862781080005</v>
      </c>
      <c r="H90" s="12">
        <v>91.7930821068</v>
      </c>
      <c r="I90" s="12">
        <v>0</v>
      </c>
      <c r="J90" s="12">
        <v>0</v>
      </c>
      <c r="K90" s="12">
        <v>0</v>
      </c>
      <c r="N90" s="12" t="s">
        <v>255</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255</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25">
      <c r="B91" s="12" t="s">
        <v>312</v>
      </c>
      <c r="C91" s="12">
        <v>365.92020727199997</v>
      </c>
      <c r="D91" s="12">
        <v>318.85149951633241</v>
      </c>
      <c r="E91" s="12">
        <v>257.95953800701454</v>
      </c>
      <c r="F91" s="12">
        <v>196.66051892470583</v>
      </c>
      <c r="G91" s="12">
        <v>137.23685674668002</v>
      </c>
      <c r="H91" s="12">
        <v>93.000273141150004</v>
      </c>
      <c r="I91" s="12">
        <v>55.2512820456</v>
      </c>
      <c r="J91" s="12">
        <v>1</v>
      </c>
      <c r="K91" s="12">
        <v>0</v>
      </c>
      <c r="N91" s="12" t="s">
        <v>315</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316</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25">
      <c r="B92" s="12" t="s">
        <v>255</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318</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319</v>
      </c>
      <c r="AA92" s="12">
        <v>0</v>
      </c>
      <c r="AB92" s="12">
        <v>0</v>
      </c>
      <c r="AC92" s="12">
        <v>0</v>
      </c>
      <c r="AD92" s="12">
        <v>0</v>
      </c>
      <c r="AE92" s="12">
        <v>0</v>
      </c>
      <c r="AF92" s="12">
        <v>0</v>
      </c>
      <c r="AG92" s="12">
        <v>0</v>
      </c>
      <c r="AH92" s="12">
        <v>0</v>
      </c>
      <c r="AI92" s="12">
        <v>0</v>
      </c>
    </row>
    <row r="93" spans="1:35" ht="14.5" x14ac:dyDescent="0.35">
      <c r="B93" s="12" t="s">
        <v>315</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321</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25">
      <c r="B94" s="12" t="s">
        <v>314</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323</v>
      </c>
      <c r="O94" s="12">
        <v>0</v>
      </c>
      <c r="P94" s="12">
        <v>0</v>
      </c>
      <c r="Q94" s="12">
        <v>0</v>
      </c>
      <c r="R94" s="12">
        <v>0</v>
      </c>
      <c r="S94" s="12">
        <v>0</v>
      </c>
      <c r="T94" s="12">
        <v>0</v>
      </c>
      <c r="U94" s="12">
        <v>0</v>
      </c>
      <c r="V94" s="12">
        <v>0</v>
      </c>
      <c r="W94" s="12">
        <v>0</v>
      </c>
    </row>
    <row r="95" spans="1:35" ht="18.5" x14ac:dyDescent="0.35">
      <c r="B95" s="12" t="s">
        <v>343</v>
      </c>
      <c r="C95" s="12">
        <v>0</v>
      </c>
      <c r="D95" s="12">
        <v>0</v>
      </c>
      <c r="E95" s="12">
        <v>0</v>
      </c>
      <c r="F95" s="12">
        <v>0</v>
      </c>
      <c r="G95" s="12">
        <v>0</v>
      </c>
      <c r="H95" s="12">
        <v>0</v>
      </c>
      <c r="I95" s="12">
        <v>0</v>
      </c>
      <c r="J95" s="12">
        <v>0</v>
      </c>
      <c r="K95" s="12">
        <v>0</v>
      </c>
      <c r="N95" s="13" t="s">
        <v>322</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364</v>
      </c>
      <c r="Z95" s="26"/>
      <c r="AA95" s="26"/>
      <c r="AB95" s="26"/>
      <c r="AC95" s="26"/>
      <c r="AD95" s="26"/>
      <c r="AE95" s="26"/>
      <c r="AF95" s="26"/>
      <c r="AG95" s="26"/>
      <c r="AH95" s="26"/>
      <c r="AI95" s="26"/>
    </row>
    <row r="96" spans="1:35" x14ac:dyDescent="0.25">
      <c r="B96" s="12" t="s">
        <v>320</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310</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8.5" x14ac:dyDescent="0.35">
      <c r="B97" s="13" t="s">
        <v>322</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365</v>
      </c>
      <c r="N97" s="26"/>
      <c r="O97" s="26"/>
      <c r="P97" s="26"/>
      <c r="Q97" s="26"/>
      <c r="R97" s="26"/>
      <c r="S97" s="26"/>
      <c r="T97" s="26"/>
      <c r="U97" s="26"/>
      <c r="V97" s="26"/>
      <c r="W97" s="26"/>
      <c r="Z97" s="12" t="s">
        <v>311</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8.5" x14ac:dyDescent="0.45">
      <c r="A98" s="16"/>
      <c r="B98" s="16"/>
      <c r="N98" s="12" t="s">
        <v>366</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312</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8.5" x14ac:dyDescent="0.25">
      <c r="A99" s="26" t="s">
        <v>367</v>
      </c>
      <c r="B99" s="26"/>
      <c r="C99" s="26"/>
      <c r="D99" s="26"/>
      <c r="E99" s="26"/>
      <c r="F99" s="26"/>
      <c r="G99" s="26"/>
      <c r="H99" s="26"/>
      <c r="I99" s="26"/>
      <c r="J99" s="26"/>
      <c r="K99" s="26"/>
      <c r="N99" s="12" t="s">
        <v>368</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255</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25">
      <c r="B100" s="12" t="s">
        <v>309</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284</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316</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25">
      <c r="B101" s="12" t="s">
        <v>310</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287</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319</v>
      </c>
      <c r="AA101" s="12">
        <v>0</v>
      </c>
      <c r="AB101" s="12">
        <v>0</v>
      </c>
      <c r="AC101" s="12">
        <v>0</v>
      </c>
      <c r="AD101" s="12">
        <v>0</v>
      </c>
      <c r="AE101" s="12">
        <v>0</v>
      </c>
      <c r="AF101" s="12">
        <v>0</v>
      </c>
      <c r="AG101" s="12">
        <v>0</v>
      </c>
      <c r="AH101" s="12">
        <v>0</v>
      </c>
      <c r="AI101" s="12">
        <v>0</v>
      </c>
    </row>
    <row r="102" spans="1:35" ht="14.5" x14ac:dyDescent="0.35">
      <c r="B102" s="12" t="s">
        <v>369</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286</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25">
      <c r="B103" s="12" t="s">
        <v>312</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8.5" x14ac:dyDescent="0.35">
      <c r="B104" s="12" t="s">
        <v>370</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371</v>
      </c>
      <c r="N104" s="26"/>
      <c r="O104" s="26"/>
      <c r="P104" s="26"/>
      <c r="Q104" s="26"/>
      <c r="R104" s="26"/>
      <c r="S104" s="26"/>
      <c r="T104" s="26"/>
      <c r="U104" s="26"/>
      <c r="V104" s="26"/>
      <c r="W104" s="26"/>
      <c r="Y104" s="29" t="s">
        <v>372</v>
      </c>
      <c r="Z104" s="27"/>
      <c r="AA104" s="28"/>
      <c r="AB104" s="28"/>
      <c r="AC104" s="28"/>
      <c r="AD104" s="28"/>
      <c r="AE104" s="28"/>
      <c r="AF104" s="28"/>
      <c r="AG104" s="28"/>
      <c r="AH104" s="28"/>
      <c r="AI104" s="28"/>
    </row>
    <row r="105" spans="1:35" x14ac:dyDescent="0.25">
      <c r="B105" s="12" t="s">
        <v>313</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366</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310</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25">
      <c r="B106" s="12" t="s">
        <v>314</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373</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311</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25">
      <c r="B107" s="12" t="s">
        <v>374</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74</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312</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25">
      <c r="B108" s="12" t="s">
        <v>375</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275</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255</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25">
      <c r="B109" s="12" t="s">
        <v>337</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376</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316</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25">
      <c r="B110" s="12" t="s">
        <v>377</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378</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319</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4.5" x14ac:dyDescent="0.35">
      <c r="B111" s="12" t="s">
        <v>379</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380</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4.5" x14ac:dyDescent="0.35">
      <c r="B112" s="12" t="s">
        <v>340</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8.5" x14ac:dyDescent="0.25">
      <c r="B113" s="12" t="s">
        <v>341</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381</v>
      </c>
      <c r="Z113" s="26"/>
      <c r="AA113" s="26"/>
      <c r="AB113" s="26"/>
      <c r="AC113" s="26"/>
      <c r="AD113" s="26"/>
      <c r="AE113" s="26"/>
      <c r="AF113" s="26"/>
      <c r="AG113" s="26"/>
      <c r="AH113" s="26"/>
      <c r="AI113" s="26"/>
    </row>
    <row r="114" spans="1:35" x14ac:dyDescent="0.25">
      <c r="B114" s="12" t="s">
        <v>342</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326</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25">
      <c r="B115" s="12" t="s">
        <v>320</v>
      </c>
      <c r="C115" s="12">
        <v>13.747999999999999</v>
      </c>
      <c r="D115" s="12">
        <v>0</v>
      </c>
      <c r="E115" s="12">
        <v>0</v>
      </c>
      <c r="F115" s="12">
        <v>0</v>
      </c>
      <c r="G115" s="12">
        <v>0</v>
      </c>
      <c r="H115" s="12">
        <v>0</v>
      </c>
      <c r="I115" s="12">
        <v>0</v>
      </c>
      <c r="J115" s="12">
        <v>0</v>
      </c>
      <c r="K115" s="12">
        <v>0</v>
      </c>
      <c r="Z115" s="12" t="s">
        <v>329</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4.5" x14ac:dyDescent="0.35">
      <c r="A116" s="13"/>
      <c r="B116" s="13" t="s">
        <v>322</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331</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4.5" x14ac:dyDescent="0.35">
      <c r="B117" s="17"/>
      <c r="Z117" s="12" t="s">
        <v>333</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8.5" x14ac:dyDescent="0.25">
      <c r="A118" s="26" t="s">
        <v>382</v>
      </c>
      <c r="B118" s="26"/>
      <c r="C118" s="26"/>
      <c r="D118" s="26"/>
      <c r="E118" s="26"/>
      <c r="F118" s="26"/>
      <c r="G118" s="26"/>
      <c r="H118" s="26"/>
      <c r="I118" s="26"/>
      <c r="J118" s="26"/>
      <c r="K118" s="26"/>
      <c r="Z118" s="12" t="s">
        <v>334</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25">
      <c r="B119" s="12" t="s">
        <v>309</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336</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4.5" x14ac:dyDescent="0.35">
      <c r="B120" s="12" t="s">
        <v>310</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322</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25">
      <c r="B121" s="12" t="s">
        <v>369</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8.5" x14ac:dyDescent="0.25">
      <c r="B122" s="12" t="s">
        <v>312</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383</v>
      </c>
      <c r="Z122" s="26"/>
      <c r="AA122" s="26"/>
      <c r="AB122" s="26"/>
      <c r="AC122" s="26"/>
      <c r="AD122" s="26"/>
      <c r="AE122" s="26"/>
      <c r="AF122" s="26"/>
      <c r="AG122" s="26"/>
      <c r="AH122" s="26"/>
      <c r="AI122" s="26"/>
    </row>
    <row r="123" spans="1:35" x14ac:dyDescent="0.25">
      <c r="B123" s="12" t="s">
        <v>370</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310</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25">
      <c r="B124" s="12" t="s">
        <v>313</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311</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25">
      <c r="B125" s="12" t="s">
        <v>314</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312</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25">
      <c r="B126" s="12" t="s">
        <v>374</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255</v>
      </c>
      <c r="AA126" s="12">
        <v>0</v>
      </c>
      <c r="AB126" s="12">
        <v>0</v>
      </c>
      <c r="AC126" s="12">
        <v>0</v>
      </c>
      <c r="AD126" s="12">
        <v>0</v>
      </c>
      <c r="AE126" s="12">
        <v>0</v>
      </c>
      <c r="AF126" s="12">
        <v>0</v>
      </c>
      <c r="AG126" s="12">
        <v>0</v>
      </c>
      <c r="AH126" s="12">
        <v>0</v>
      </c>
      <c r="AI126" s="12">
        <v>0</v>
      </c>
    </row>
    <row r="127" spans="1:35" x14ac:dyDescent="0.25">
      <c r="B127" s="12" t="s">
        <v>375</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316</v>
      </c>
      <c r="AA127" s="12">
        <v>0</v>
      </c>
      <c r="AB127" s="12">
        <v>0</v>
      </c>
      <c r="AC127" s="12">
        <v>0</v>
      </c>
      <c r="AD127" s="12">
        <v>0</v>
      </c>
      <c r="AE127" s="12">
        <v>0</v>
      </c>
      <c r="AF127" s="12">
        <v>0</v>
      </c>
      <c r="AG127" s="12">
        <v>0</v>
      </c>
      <c r="AH127" s="12">
        <v>0</v>
      </c>
      <c r="AI127" s="12">
        <v>0</v>
      </c>
    </row>
    <row r="128" spans="1:35" x14ac:dyDescent="0.25">
      <c r="B128" s="12" t="s">
        <v>337</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319</v>
      </c>
      <c r="AA128" s="12">
        <v>0</v>
      </c>
      <c r="AB128" s="12">
        <v>0</v>
      </c>
      <c r="AC128" s="12">
        <v>0</v>
      </c>
      <c r="AD128" s="12">
        <v>0</v>
      </c>
      <c r="AE128" s="12">
        <v>0</v>
      </c>
      <c r="AF128" s="12">
        <v>0</v>
      </c>
      <c r="AG128" s="12">
        <v>0</v>
      </c>
      <c r="AH128" s="12">
        <v>0</v>
      </c>
      <c r="AI128" s="12">
        <v>0</v>
      </c>
    </row>
    <row r="129" spans="1:35" ht="14.5" x14ac:dyDescent="0.35">
      <c r="B129" s="12" t="s">
        <v>377</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4.5" x14ac:dyDescent="0.35">
      <c r="B130" s="12" t="s">
        <v>379</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8.5" x14ac:dyDescent="0.25">
      <c r="B131" s="12" t="s">
        <v>340</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384</v>
      </c>
      <c r="O131" s="26"/>
      <c r="P131" s="26"/>
      <c r="Q131" s="26"/>
      <c r="R131" s="26"/>
      <c r="S131" s="26"/>
      <c r="Y131" s="26" t="s">
        <v>385</v>
      </c>
      <c r="Z131" s="26"/>
      <c r="AA131" s="26"/>
      <c r="AB131" s="26"/>
      <c r="AC131" s="26"/>
      <c r="AD131" s="26"/>
      <c r="AE131" s="26"/>
      <c r="AF131" s="26"/>
      <c r="AG131" s="26"/>
      <c r="AH131" s="26"/>
      <c r="AI131" s="26"/>
    </row>
    <row r="132" spans="1:35" ht="18.5" x14ac:dyDescent="0.3">
      <c r="B132" s="12" t="s">
        <v>341</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87">
        <v>2010</v>
      </c>
      <c r="P132" s="87">
        <v>2020</v>
      </c>
      <c r="Q132" s="87">
        <v>2030</v>
      </c>
      <c r="R132" s="87">
        <v>2040</v>
      </c>
      <c r="S132" s="87">
        <v>2050</v>
      </c>
      <c r="Z132" s="12" t="s">
        <v>326</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25">
      <c r="B133" s="12" t="s">
        <v>342</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147</v>
      </c>
      <c r="O133" s="12">
        <v>37633</v>
      </c>
      <c r="P133" s="12">
        <v>43908</v>
      </c>
      <c r="Q133" s="12">
        <v>52124</v>
      </c>
      <c r="R133" s="12">
        <v>57449</v>
      </c>
      <c r="S133" s="12">
        <v>62514</v>
      </c>
      <c r="Z133" s="12" t="s">
        <v>329</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25">
      <c r="B134" s="12" t="s">
        <v>320</v>
      </c>
      <c r="C134" s="12">
        <v>0</v>
      </c>
      <c r="D134" s="12">
        <v>0</v>
      </c>
      <c r="E134" s="12">
        <v>0</v>
      </c>
      <c r="F134" s="12">
        <v>0</v>
      </c>
      <c r="G134" s="12">
        <v>0</v>
      </c>
      <c r="H134" s="12">
        <v>0</v>
      </c>
      <c r="I134" s="12">
        <v>0</v>
      </c>
      <c r="J134" s="12">
        <v>0</v>
      </c>
      <c r="K134" s="12">
        <v>0</v>
      </c>
      <c r="Z134" s="12" t="s">
        <v>331</v>
      </c>
      <c r="AA134" s="12">
        <v>0</v>
      </c>
      <c r="AB134" s="12">
        <v>0</v>
      </c>
      <c r="AC134" s="12">
        <v>0</v>
      </c>
      <c r="AD134" s="12">
        <v>0</v>
      </c>
      <c r="AE134" s="12">
        <v>0</v>
      </c>
      <c r="AF134" s="12">
        <v>0</v>
      </c>
      <c r="AG134" s="12">
        <v>0</v>
      </c>
      <c r="AH134" s="12">
        <v>0</v>
      </c>
      <c r="AI134" s="12">
        <v>0</v>
      </c>
    </row>
    <row r="135" spans="1:35" ht="14.5" x14ac:dyDescent="0.35">
      <c r="A135" s="13"/>
      <c r="B135" s="13" t="s">
        <v>322</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87">
        <v>2011</v>
      </c>
      <c r="P135" s="87">
        <v>2012</v>
      </c>
      <c r="Q135" s="87">
        <v>2013</v>
      </c>
      <c r="R135" s="87">
        <v>2014</v>
      </c>
      <c r="S135" s="87">
        <v>2015</v>
      </c>
      <c r="Z135" s="12" t="s">
        <v>333</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4.5" x14ac:dyDescent="0.35">
      <c r="B136" s="17"/>
      <c r="O136" s="12">
        <f>+$O133-($O133-$P133)/10*(O135-$O132)</f>
        <v>38260.5</v>
      </c>
      <c r="P136" s="12">
        <f>+$O133-($O133-$P133)/10*(P135-$O132)</f>
        <v>38888</v>
      </c>
      <c r="Q136" s="12">
        <f>+$O133-($O133-$P133)/10*(Q135-$O132)</f>
        <v>39515.5</v>
      </c>
      <c r="R136" s="12">
        <f>+$O133-($O133-$P133)/10*(R135-$O132)</f>
        <v>40143</v>
      </c>
      <c r="S136" s="12">
        <f>+$O133-($O133-$P133)/10*(S135-$O132)</f>
        <v>40770.5</v>
      </c>
      <c r="Z136" s="12" t="s">
        <v>334</v>
      </c>
      <c r="AA136" s="12">
        <v>0</v>
      </c>
      <c r="AB136" s="12">
        <v>0</v>
      </c>
      <c r="AC136" s="12">
        <v>0</v>
      </c>
      <c r="AD136" s="12">
        <v>0</v>
      </c>
      <c r="AE136" s="12">
        <v>0</v>
      </c>
      <c r="AF136" s="12">
        <v>0</v>
      </c>
      <c r="AG136" s="12">
        <v>0</v>
      </c>
      <c r="AH136" s="12">
        <v>0</v>
      </c>
      <c r="AI136" s="12">
        <v>0</v>
      </c>
    </row>
    <row r="137" spans="1:35" ht="18.5" x14ac:dyDescent="0.3">
      <c r="A137" s="26" t="s">
        <v>386</v>
      </c>
      <c r="B137" s="26"/>
      <c r="C137" s="26"/>
      <c r="D137" s="26"/>
      <c r="E137" s="26"/>
      <c r="F137" s="26"/>
      <c r="G137" s="26"/>
      <c r="H137" s="26"/>
      <c r="I137" s="26"/>
      <c r="J137" s="26"/>
      <c r="K137" s="26"/>
      <c r="O137" s="87">
        <v>2016</v>
      </c>
      <c r="P137" s="87">
        <v>2017</v>
      </c>
      <c r="Q137" s="87">
        <v>2018</v>
      </c>
      <c r="R137" s="87">
        <v>2019</v>
      </c>
      <c r="S137" s="87">
        <v>2020</v>
      </c>
      <c r="Z137" s="12" t="s">
        <v>336</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4.5" x14ac:dyDescent="0.35">
      <c r="B138" s="18" t="s">
        <v>387</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6" x14ac:dyDescent="0.35">
      <c r="B139" s="18" t="s">
        <v>388</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8.5" x14ac:dyDescent="0.25">
      <c r="B140" s="18" t="s">
        <v>389</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390</v>
      </c>
      <c r="Z140" s="26"/>
      <c r="AA140" s="26"/>
      <c r="AB140" s="26"/>
      <c r="AC140" s="26"/>
      <c r="AD140" s="26"/>
      <c r="AE140" s="26"/>
      <c r="AF140" s="26"/>
      <c r="AG140" s="26"/>
      <c r="AH140" s="26"/>
      <c r="AI140" s="26"/>
    </row>
    <row r="141" spans="1:35" x14ac:dyDescent="0.25">
      <c r="B141" s="18" t="s">
        <v>247</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310</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x14ac:dyDescent="0.25">
      <c r="B142" s="18" t="s">
        <v>391</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311</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4.5" x14ac:dyDescent="0.35">
      <c r="B143" s="19" t="s">
        <v>322</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312</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25">
      <c r="Z144" s="12" t="s">
        <v>255</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8.5" x14ac:dyDescent="0.25">
      <c r="A145" s="26" t="s">
        <v>392</v>
      </c>
      <c r="B145" s="26"/>
      <c r="C145" s="26"/>
      <c r="D145" s="26"/>
      <c r="E145" s="26"/>
      <c r="F145" s="26"/>
      <c r="G145" s="26"/>
      <c r="H145" s="26"/>
      <c r="I145" s="26"/>
      <c r="J145" s="26"/>
      <c r="K145" s="26"/>
      <c r="Z145" s="12" t="s">
        <v>316</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x14ac:dyDescent="0.25">
      <c r="B146" s="18" t="s">
        <v>387</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319</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4.5" x14ac:dyDescent="0.35">
      <c r="B147" s="18" t="s">
        <v>247</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x14ac:dyDescent="0.25">
      <c r="B148" s="18" t="s">
        <v>391</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8.5" x14ac:dyDescent="0.35">
      <c r="B149" s="19" t="s">
        <v>322</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393</v>
      </c>
      <c r="Z149" s="26"/>
      <c r="AA149" s="26"/>
      <c r="AB149" s="26"/>
      <c r="AC149" s="26"/>
      <c r="AD149" s="26"/>
      <c r="AE149" s="26"/>
      <c r="AF149" s="26"/>
      <c r="AG149" s="26"/>
      <c r="AH149" s="26"/>
      <c r="AI149" s="26"/>
    </row>
    <row r="150" spans="1:35" x14ac:dyDescent="0.25">
      <c r="Z150" s="12" t="s">
        <v>310</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8.5" x14ac:dyDescent="0.25">
      <c r="A151" s="26" t="s">
        <v>394</v>
      </c>
      <c r="B151" s="26"/>
      <c r="C151" s="26"/>
      <c r="D151" s="26"/>
      <c r="E151" s="26"/>
      <c r="F151" s="26"/>
      <c r="G151" s="26"/>
      <c r="H151" s="26"/>
      <c r="I151" s="26"/>
      <c r="J151" s="26"/>
      <c r="K151" s="26"/>
      <c r="Z151" s="12" t="s">
        <v>311</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25">
      <c r="B152" s="12" t="s">
        <v>387</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312</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25">
      <c r="B153" s="12" t="s">
        <v>247</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255</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25">
      <c r="B154" s="12" t="s">
        <v>391</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316</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4.5" x14ac:dyDescent="0.35">
      <c r="B155" s="13" t="s">
        <v>322</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20" t="s">
        <v>395</v>
      </c>
      <c r="O155" s="420"/>
      <c r="P155" s="420"/>
      <c r="Z155" s="12" t="s">
        <v>319</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4.5" x14ac:dyDescent="0.35">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8.5" x14ac:dyDescent="0.25">
      <c r="N157" s="26" t="s">
        <v>396</v>
      </c>
      <c r="O157" s="26"/>
      <c r="P157" s="26"/>
      <c r="Q157" s="26"/>
      <c r="R157" s="26"/>
      <c r="S157" s="26"/>
    </row>
    <row r="158" spans="1:35" ht="18.5" x14ac:dyDescent="0.3">
      <c r="N158" s="26"/>
      <c r="O158" s="87">
        <v>2010</v>
      </c>
      <c r="P158" s="87">
        <v>2020</v>
      </c>
      <c r="Q158" s="87">
        <v>2030</v>
      </c>
      <c r="R158" s="87">
        <v>2040</v>
      </c>
      <c r="S158" s="87">
        <v>2050</v>
      </c>
      <c r="Y158" s="26" t="s">
        <v>397</v>
      </c>
      <c r="Z158" s="26"/>
      <c r="AA158" s="26"/>
      <c r="AB158" s="26"/>
      <c r="AC158" s="26"/>
      <c r="AD158" s="26"/>
      <c r="AE158" s="26"/>
      <c r="AF158" s="26"/>
      <c r="AG158" s="26"/>
      <c r="AH158" s="26"/>
      <c r="AI158" s="26"/>
    </row>
    <row r="159" spans="1:35" ht="28.5" x14ac:dyDescent="0.25">
      <c r="A159" s="9"/>
      <c r="B159" s="9"/>
      <c r="C159" s="9"/>
      <c r="D159" s="9" t="s">
        <v>398</v>
      </c>
      <c r="E159" s="9"/>
      <c r="F159" s="9"/>
      <c r="G159" s="9"/>
      <c r="H159" s="9"/>
      <c r="I159" s="9"/>
      <c r="J159" s="9"/>
      <c r="K159" s="9"/>
      <c r="N159" s="12" t="s">
        <v>147</v>
      </c>
      <c r="O159" s="12">
        <f>1886*89</f>
        <v>167854</v>
      </c>
      <c r="S159" s="12">
        <f>3159*93</f>
        <v>293787</v>
      </c>
      <c r="Z159" s="12" t="s">
        <v>310</v>
      </c>
      <c r="AA159" s="12">
        <v>0</v>
      </c>
      <c r="AB159" s="12">
        <v>0</v>
      </c>
      <c r="AC159" s="12">
        <v>0</v>
      </c>
      <c r="AD159" s="12">
        <v>0</v>
      </c>
      <c r="AE159" s="12">
        <v>0</v>
      </c>
      <c r="AF159" s="12">
        <v>0</v>
      </c>
      <c r="AG159" s="12">
        <v>0</v>
      </c>
      <c r="AH159" s="12">
        <v>0</v>
      </c>
      <c r="AI159" s="12">
        <v>0</v>
      </c>
    </row>
    <row r="160" spans="1:35" ht="18.5" x14ac:dyDescent="0.25">
      <c r="A160" s="32"/>
      <c r="B160" s="32"/>
      <c r="C160" s="33">
        <v>2014</v>
      </c>
      <c r="D160" s="33">
        <v>2025</v>
      </c>
      <c r="E160" s="33">
        <v>2030</v>
      </c>
      <c r="F160" s="33">
        <v>2035</v>
      </c>
      <c r="G160" s="33">
        <v>2040</v>
      </c>
      <c r="H160" s="33">
        <v>2045</v>
      </c>
      <c r="I160" s="33">
        <v>2050</v>
      </c>
      <c r="J160" s="33">
        <v>2055</v>
      </c>
      <c r="K160" s="33">
        <v>2060</v>
      </c>
      <c r="Z160" s="12" t="s">
        <v>311</v>
      </c>
      <c r="AA160" s="12">
        <v>0</v>
      </c>
      <c r="AB160" s="12">
        <v>0</v>
      </c>
      <c r="AC160" s="12">
        <v>0</v>
      </c>
      <c r="AD160" s="12">
        <v>0</v>
      </c>
      <c r="AE160" s="12">
        <v>0</v>
      </c>
      <c r="AF160" s="12">
        <v>0</v>
      </c>
      <c r="AG160" s="12">
        <v>0</v>
      </c>
      <c r="AH160" s="12">
        <v>0</v>
      </c>
      <c r="AI160" s="12">
        <v>0</v>
      </c>
    </row>
    <row r="161" spans="1:35" ht="14.5" x14ac:dyDescent="0.35">
      <c r="A161" s="10"/>
      <c r="B161" s="10"/>
      <c r="C161" s="11"/>
      <c r="D161" s="11"/>
      <c r="E161" s="11"/>
      <c r="F161" s="11"/>
      <c r="G161" s="11"/>
      <c r="H161" s="11"/>
      <c r="I161" s="11"/>
      <c r="J161" s="11"/>
      <c r="K161" s="11"/>
      <c r="Z161" s="12" t="s">
        <v>312</v>
      </c>
      <c r="AA161" s="12">
        <v>0</v>
      </c>
      <c r="AB161" s="12">
        <v>0</v>
      </c>
      <c r="AC161" s="12">
        <v>0</v>
      </c>
      <c r="AD161" s="12">
        <v>0</v>
      </c>
      <c r="AE161" s="12">
        <v>0</v>
      </c>
      <c r="AF161" s="12">
        <v>0</v>
      </c>
      <c r="AG161" s="12">
        <v>0</v>
      </c>
      <c r="AH161" s="12">
        <v>0</v>
      </c>
      <c r="AI161" s="12">
        <v>0</v>
      </c>
    </row>
    <row r="162" spans="1:35" ht="18.5" x14ac:dyDescent="0.25">
      <c r="A162" s="26" t="s">
        <v>306</v>
      </c>
      <c r="B162" s="26"/>
      <c r="C162" s="26"/>
      <c r="D162" s="26"/>
      <c r="E162" s="26"/>
      <c r="F162" s="26"/>
      <c r="G162" s="26"/>
      <c r="H162" s="26"/>
      <c r="I162" s="26"/>
      <c r="J162" s="26"/>
      <c r="K162" s="26"/>
      <c r="Z162" s="12" t="s">
        <v>255</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25">
      <c r="B163" s="12" t="s">
        <v>309</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316</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25">
      <c r="B164" s="12" t="s">
        <v>310</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319</v>
      </c>
      <c r="AA164" s="12">
        <v>0</v>
      </c>
      <c r="AB164" s="12">
        <v>0</v>
      </c>
      <c r="AC164" s="12">
        <v>0</v>
      </c>
      <c r="AD164" s="12">
        <v>0</v>
      </c>
      <c r="AE164" s="12">
        <v>0</v>
      </c>
      <c r="AF164" s="12">
        <v>0</v>
      </c>
      <c r="AG164" s="12">
        <v>0</v>
      </c>
      <c r="AH164" s="12">
        <v>0</v>
      </c>
      <c r="AI164" s="12">
        <v>0</v>
      </c>
    </row>
    <row r="165" spans="1:35" ht="14.5" x14ac:dyDescent="0.35">
      <c r="B165" s="12" t="s">
        <v>312</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25">
      <c r="B166" s="12" t="s">
        <v>313</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8.5" x14ac:dyDescent="0.25">
      <c r="B167" s="12" t="s">
        <v>314</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399</v>
      </c>
      <c r="Z167" s="26"/>
      <c r="AA167" s="26"/>
      <c r="AB167" s="26"/>
      <c r="AC167" s="26"/>
      <c r="AD167" s="26"/>
      <c r="AE167" s="26"/>
      <c r="AF167" s="26"/>
      <c r="AG167" s="26"/>
      <c r="AH167" s="26"/>
      <c r="AI167" s="26"/>
    </row>
    <row r="168" spans="1:35" x14ac:dyDescent="0.25">
      <c r="B168" s="12" t="s">
        <v>317</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310</v>
      </c>
      <c r="AA168" s="12">
        <v>0</v>
      </c>
      <c r="AB168" s="12">
        <v>0</v>
      </c>
      <c r="AC168" s="12">
        <v>0</v>
      </c>
      <c r="AD168" s="12">
        <v>0</v>
      </c>
      <c r="AE168" s="12">
        <v>0</v>
      </c>
      <c r="AF168" s="12">
        <v>0</v>
      </c>
      <c r="AG168" s="12">
        <v>0</v>
      </c>
      <c r="AH168" s="12">
        <v>0</v>
      </c>
      <c r="AI168" s="12">
        <v>0</v>
      </c>
    </row>
    <row r="169" spans="1:35" x14ac:dyDescent="0.25">
      <c r="B169" s="12" t="s">
        <v>320</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311</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4.5" x14ac:dyDescent="0.35">
      <c r="B170" s="13" t="s">
        <v>322</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312</v>
      </c>
      <c r="AA170" s="12">
        <v>0</v>
      </c>
      <c r="AB170" s="12">
        <v>0</v>
      </c>
      <c r="AC170" s="12">
        <v>0</v>
      </c>
      <c r="AD170" s="12">
        <v>0</v>
      </c>
      <c r="AE170" s="12">
        <v>0</v>
      </c>
      <c r="AF170" s="12">
        <v>0</v>
      </c>
      <c r="AG170" s="12">
        <v>0</v>
      </c>
      <c r="AH170" s="12">
        <v>0</v>
      </c>
      <c r="AI170" s="12">
        <v>0</v>
      </c>
    </row>
    <row r="171" spans="1:35" x14ac:dyDescent="0.25">
      <c r="B171" t="s">
        <v>324</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255</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25">
      <c r="Z172" s="12" t="s">
        <v>316</v>
      </c>
      <c r="AA172" s="12">
        <v>0</v>
      </c>
      <c r="AB172" s="12">
        <v>0</v>
      </c>
      <c r="AC172" s="12">
        <v>0</v>
      </c>
      <c r="AD172" s="12">
        <v>0</v>
      </c>
      <c r="AE172" s="12">
        <v>0</v>
      </c>
      <c r="AF172" s="12">
        <v>0</v>
      </c>
      <c r="AG172" s="12">
        <v>0</v>
      </c>
      <c r="AH172" s="12">
        <v>0</v>
      </c>
      <c r="AI172" s="12">
        <v>0</v>
      </c>
    </row>
    <row r="173" spans="1:35" ht="18.5" x14ac:dyDescent="0.25">
      <c r="A173" s="26" t="s">
        <v>327</v>
      </c>
      <c r="B173" s="26"/>
      <c r="C173" s="26"/>
      <c r="D173" s="26"/>
      <c r="E173" s="26"/>
      <c r="F173" s="26"/>
      <c r="G173" s="26"/>
      <c r="H173" s="26"/>
      <c r="I173" s="26"/>
      <c r="J173" s="26"/>
      <c r="K173" s="26"/>
      <c r="Z173" s="12" t="s">
        <v>319</v>
      </c>
      <c r="AA173" s="12">
        <v>0</v>
      </c>
      <c r="AB173" s="12">
        <v>0</v>
      </c>
      <c r="AC173" s="12">
        <v>0</v>
      </c>
      <c r="AD173" s="12">
        <v>0</v>
      </c>
      <c r="AE173" s="12">
        <v>0</v>
      </c>
      <c r="AF173" s="12">
        <v>0</v>
      </c>
      <c r="AG173" s="12">
        <v>0</v>
      </c>
      <c r="AH173" s="12">
        <v>0</v>
      </c>
      <c r="AI173" s="12">
        <v>0</v>
      </c>
    </row>
    <row r="174" spans="1:35" ht="14.5" x14ac:dyDescent="0.35">
      <c r="B174" s="12" t="s">
        <v>309</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25">
      <c r="B175" s="12" t="s">
        <v>310</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8.5" x14ac:dyDescent="0.25">
      <c r="B176" s="12" t="s">
        <v>312</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400</v>
      </c>
      <c r="Z176" s="26"/>
      <c r="AA176" s="26"/>
      <c r="AB176" s="26"/>
      <c r="AC176" s="26"/>
      <c r="AD176" s="26"/>
      <c r="AE176" s="26"/>
      <c r="AF176" s="26"/>
      <c r="AG176" s="26"/>
      <c r="AH176" s="26"/>
      <c r="AI176" s="26"/>
    </row>
    <row r="177" spans="1:35" x14ac:dyDescent="0.25">
      <c r="B177" s="12" t="s">
        <v>313</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310</v>
      </c>
      <c r="AA177" s="12">
        <v>0</v>
      </c>
      <c r="AB177" s="12">
        <v>0</v>
      </c>
      <c r="AC177" s="12">
        <v>0</v>
      </c>
      <c r="AD177" s="12">
        <v>0</v>
      </c>
      <c r="AE177" s="12">
        <v>0</v>
      </c>
      <c r="AF177" s="12">
        <v>0</v>
      </c>
      <c r="AG177" s="12">
        <v>0</v>
      </c>
      <c r="AH177" s="12">
        <v>0</v>
      </c>
      <c r="AI177" s="12">
        <v>0</v>
      </c>
    </row>
    <row r="178" spans="1:35" x14ac:dyDescent="0.25">
      <c r="B178" s="12" t="s">
        <v>314</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311</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25">
      <c r="B179" s="12" t="s">
        <v>317</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312</v>
      </c>
      <c r="AA179" s="12">
        <v>0</v>
      </c>
      <c r="AB179" s="12">
        <v>0</v>
      </c>
      <c r="AC179" s="12">
        <v>0</v>
      </c>
      <c r="AD179" s="12">
        <v>0</v>
      </c>
      <c r="AE179" s="12">
        <v>0</v>
      </c>
      <c r="AF179" s="12">
        <v>0</v>
      </c>
      <c r="AG179" s="12">
        <v>0</v>
      </c>
      <c r="AH179" s="12">
        <v>0</v>
      </c>
      <c r="AI179" s="12">
        <v>0</v>
      </c>
    </row>
    <row r="180" spans="1:35" x14ac:dyDescent="0.25">
      <c r="B180" s="12" t="s">
        <v>337</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255</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25">
      <c r="B181" s="12" t="s">
        <v>339</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316</v>
      </c>
      <c r="AA181" s="12">
        <v>0</v>
      </c>
      <c r="AB181" s="12">
        <v>0</v>
      </c>
      <c r="AC181" s="12">
        <v>0</v>
      </c>
      <c r="AD181" s="12">
        <v>0</v>
      </c>
      <c r="AE181" s="12">
        <v>0</v>
      </c>
      <c r="AF181" s="12">
        <v>0</v>
      </c>
      <c r="AG181" s="12">
        <v>0</v>
      </c>
      <c r="AH181" s="12">
        <v>0</v>
      </c>
      <c r="AI181" s="12">
        <v>0</v>
      </c>
    </row>
    <row r="182" spans="1:35" x14ac:dyDescent="0.25">
      <c r="B182" s="12" t="s">
        <v>340</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319</v>
      </c>
      <c r="AA182" s="12">
        <v>0</v>
      </c>
      <c r="AB182" s="12">
        <v>0</v>
      </c>
      <c r="AC182" s="12">
        <v>0</v>
      </c>
      <c r="AD182" s="12">
        <v>0</v>
      </c>
      <c r="AE182" s="12">
        <v>0</v>
      </c>
      <c r="AF182" s="12">
        <v>0</v>
      </c>
      <c r="AG182" s="12">
        <v>0</v>
      </c>
      <c r="AH182" s="12">
        <v>0</v>
      </c>
      <c r="AI182" s="12">
        <v>0</v>
      </c>
    </row>
    <row r="183" spans="1:35" ht="14.5" x14ac:dyDescent="0.35">
      <c r="B183" s="12" t="s">
        <v>341</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25">
      <c r="B184" s="12" t="s">
        <v>342</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8.5" x14ac:dyDescent="0.25">
      <c r="B185" s="12" t="s">
        <v>343</v>
      </c>
      <c r="C185" s="12">
        <v>0</v>
      </c>
      <c r="D185" s="12">
        <v>0</v>
      </c>
      <c r="E185" s="12">
        <v>0</v>
      </c>
      <c r="F185" s="12">
        <v>0</v>
      </c>
      <c r="G185" s="12">
        <v>0</v>
      </c>
      <c r="H185" s="12">
        <v>0</v>
      </c>
      <c r="I185" s="12">
        <v>0</v>
      </c>
      <c r="J185" s="12">
        <v>0</v>
      </c>
      <c r="K185" s="12">
        <v>0</v>
      </c>
      <c r="Y185" s="26" t="s">
        <v>401</v>
      </c>
      <c r="Z185" s="26"/>
      <c r="AA185" s="26"/>
      <c r="AB185" s="26"/>
      <c r="AC185" s="26"/>
      <c r="AD185" s="26"/>
      <c r="AE185" s="26"/>
      <c r="AF185" s="26"/>
      <c r="AG185" s="26"/>
      <c r="AH185" s="26"/>
      <c r="AI185" s="26"/>
    </row>
    <row r="186" spans="1:35" x14ac:dyDescent="0.25">
      <c r="B186" s="12" t="s">
        <v>320</v>
      </c>
      <c r="C186" s="12">
        <v>10.725241823999999</v>
      </c>
      <c r="D186" s="12">
        <v>0</v>
      </c>
      <c r="E186" s="12">
        <v>0</v>
      </c>
      <c r="F186" s="12">
        <v>0</v>
      </c>
      <c r="G186" s="12">
        <v>0</v>
      </c>
      <c r="H186" s="12">
        <v>0</v>
      </c>
      <c r="I186" s="12">
        <v>0</v>
      </c>
      <c r="J186" s="12">
        <v>0</v>
      </c>
      <c r="K186" s="12">
        <v>0</v>
      </c>
      <c r="Z186" s="12" t="s">
        <v>310</v>
      </c>
      <c r="AA186" s="12">
        <v>0</v>
      </c>
      <c r="AB186" s="12">
        <v>0</v>
      </c>
      <c r="AC186" s="12">
        <v>0</v>
      </c>
      <c r="AD186" s="12">
        <v>0</v>
      </c>
      <c r="AE186" s="12">
        <v>0</v>
      </c>
      <c r="AF186" s="12">
        <v>0</v>
      </c>
      <c r="AG186" s="12">
        <v>0</v>
      </c>
      <c r="AH186" s="12">
        <v>0</v>
      </c>
      <c r="AI186" s="12">
        <v>0</v>
      </c>
    </row>
    <row r="187" spans="1:35" ht="14.5" x14ac:dyDescent="0.35">
      <c r="A187" s="13"/>
      <c r="B187" s="13" t="s">
        <v>322</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311</v>
      </c>
      <c r="AA187" s="12">
        <v>0</v>
      </c>
      <c r="AB187" s="12">
        <v>0</v>
      </c>
      <c r="AC187" s="12">
        <v>0</v>
      </c>
      <c r="AD187" s="12">
        <v>0</v>
      </c>
      <c r="AE187" s="12">
        <v>0</v>
      </c>
      <c r="AF187" s="12">
        <v>0</v>
      </c>
      <c r="AG187" s="12">
        <v>0</v>
      </c>
      <c r="AH187" s="12">
        <v>0</v>
      </c>
      <c r="AI187" s="12">
        <v>0</v>
      </c>
    </row>
    <row r="188" spans="1:35" x14ac:dyDescent="0.25">
      <c r="Z188" s="12" t="s">
        <v>312</v>
      </c>
      <c r="AA188" s="12">
        <v>0</v>
      </c>
      <c r="AB188" s="12">
        <v>0</v>
      </c>
      <c r="AC188" s="12">
        <v>0</v>
      </c>
      <c r="AD188" s="12">
        <v>0</v>
      </c>
      <c r="AE188" s="12">
        <v>0</v>
      </c>
      <c r="AF188" s="12">
        <v>0</v>
      </c>
      <c r="AG188" s="12">
        <v>0</v>
      </c>
      <c r="AH188" s="12">
        <v>0</v>
      </c>
      <c r="AI188" s="12">
        <v>0</v>
      </c>
    </row>
    <row r="189" spans="1:35" ht="18.5" x14ac:dyDescent="0.25">
      <c r="A189" s="26" t="s">
        <v>345</v>
      </c>
      <c r="B189" s="26"/>
      <c r="C189" s="26"/>
      <c r="D189" s="26"/>
      <c r="E189" s="26"/>
      <c r="F189" s="26"/>
      <c r="G189" s="26"/>
      <c r="H189" s="26"/>
      <c r="I189" s="26"/>
      <c r="J189" s="26"/>
      <c r="K189" s="26"/>
      <c r="Z189" s="12" t="s">
        <v>255</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25">
      <c r="B190" s="12" t="s">
        <v>309</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316</v>
      </c>
      <c r="AA190" s="12">
        <v>0</v>
      </c>
      <c r="AB190" s="12">
        <v>0</v>
      </c>
      <c r="AC190" s="12">
        <v>0</v>
      </c>
      <c r="AD190" s="12">
        <v>0</v>
      </c>
      <c r="AE190" s="12">
        <v>0</v>
      </c>
      <c r="AF190" s="12">
        <v>0</v>
      </c>
      <c r="AG190" s="12">
        <v>0</v>
      </c>
      <c r="AH190" s="12">
        <v>0</v>
      </c>
      <c r="AI190" s="12">
        <v>0</v>
      </c>
    </row>
    <row r="191" spans="1:35" x14ac:dyDescent="0.25">
      <c r="B191" s="12" t="s">
        <v>310</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319</v>
      </c>
      <c r="AA191" s="12">
        <v>0</v>
      </c>
      <c r="AB191" s="12">
        <v>0</v>
      </c>
      <c r="AC191" s="12">
        <v>0</v>
      </c>
      <c r="AD191" s="12">
        <v>0</v>
      </c>
      <c r="AE191" s="12">
        <v>0</v>
      </c>
      <c r="AF191" s="12">
        <v>0</v>
      </c>
      <c r="AG191" s="12">
        <v>0</v>
      </c>
      <c r="AH191" s="12">
        <v>0</v>
      </c>
      <c r="AI191" s="12">
        <v>0</v>
      </c>
    </row>
    <row r="192" spans="1:35" ht="14.5" x14ac:dyDescent="0.35">
      <c r="B192" s="12" t="s">
        <v>312</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25">
      <c r="B193" s="12" t="s">
        <v>255</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8.5" x14ac:dyDescent="0.25">
      <c r="B194" s="12" t="s">
        <v>315</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402</v>
      </c>
      <c r="Z194" s="26"/>
      <c r="AA194" s="26"/>
      <c r="AB194" s="26"/>
      <c r="AC194" s="26"/>
      <c r="AD194" s="26"/>
      <c r="AE194" s="26"/>
      <c r="AF194" s="26"/>
      <c r="AG194" s="26"/>
      <c r="AH194" s="26"/>
      <c r="AI194" s="26"/>
    </row>
    <row r="195" spans="1:35" x14ac:dyDescent="0.25">
      <c r="B195" s="12" t="s">
        <v>314</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310</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25">
      <c r="B196" s="12" t="s">
        <v>343</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311</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25">
      <c r="B197" s="12" t="s">
        <v>320</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312</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4.5" x14ac:dyDescent="0.35">
      <c r="B198" s="13" t="s">
        <v>322</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255</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25">
      <c r="Z199" s="12" t="s">
        <v>316</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8.5" x14ac:dyDescent="0.25">
      <c r="A200" s="26" t="s">
        <v>349</v>
      </c>
      <c r="B200" s="26"/>
      <c r="C200" s="26"/>
      <c r="D200" s="26"/>
      <c r="E200" s="26"/>
      <c r="F200" s="26"/>
      <c r="G200" s="26"/>
      <c r="H200" s="26"/>
      <c r="I200" s="26"/>
      <c r="J200" s="26"/>
      <c r="K200" s="26"/>
      <c r="Z200" s="12" t="s">
        <v>319</v>
      </c>
      <c r="AA200" s="12">
        <v>0</v>
      </c>
      <c r="AB200" s="12">
        <v>0</v>
      </c>
      <c r="AC200" s="12">
        <v>0</v>
      </c>
      <c r="AD200" s="12">
        <v>0</v>
      </c>
      <c r="AE200" s="12">
        <v>0</v>
      </c>
      <c r="AF200" s="12">
        <v>0</v>
      </c>
      <c r="AG200" s="12">
        <v>0</v>
      </c>
      <c r="AH200" s="12">
        <v>0</v>
      </c>
      <c r="AI200" s="12">
        <v>0</v>
      </c>
    </row>
    <row r="201" spans="1:35" ht="14.5" x14ac:dyDescent="0.35">
      <c r="B201" s="12" t="s">
        <v>309</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25">
      <c r="B202" s="12" t="s">
        <v>310</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4.5" x14ac:dyDescent="0.35">
      <c r="B203" s="12" t="s">
        <v>312</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403</v>
      </c>
      <c r="Z203" s="27"/>
      <c r="AA203" s="28"/>
      <c r="AB203" s="28"/>
      <c r="AC203" s="28"/>
      <c r="AD203" s="28"/>
      <c r="AE203" s="28"/>
      <c r="AF203" s="28"/>
      <c r="AG203" s="28"/>
      <c r="AH203" s="28"/>
      <c r="AI203" s="28"/>
    </row>
    <row r="204" spans="1:35" x14ac:dyDescent="0.25">
      <c r="B204" s="12" t="s">
        <v>255</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310</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25">
      <c r="B205" s="12" t="s">
        <v>315</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311</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25">
      <c r="B206" s="12" t="s">
        <v>314</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312</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25">
      <c r="B207" s="12" t="s">
        <v>343</v>
      </c>
      <c r="C207" s="12">
        <v>0</v>
      </c>
      <c r="D207" s="12">
        <v>0</v>
      </c>
      <c r="E207" s="12">
        <v>0</v>
      </c>
      <c r="F207" s="12">
        <v>0</v>
      </c>
      <c r="G207" s="12">
        <v>0</v>
      </c>
      <c r="H207" s="12">
        <v>0</v>
      </c>
      <c r="I207" s="12">
        <v>0</v>
      </c>
      <c r="J207" s="12">
        <v>0</v>
      </c>
      <c r="K207" s="12">
        <v>0</v>
      </c>
      <c r="Z207" s="12" t="s">
        <v>255</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25">
      <c r="B208" s="12" t="s">
        <v>320</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316</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4.5" x14ac:dyDescent="0.35">
      <c r="B209" s="13" t="s">
        <v>322</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319</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4.5" x14ac:dyDescent="0.35">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8.5" x14ac:dyDescent="0.35">
      <c r="A211" s="26" t="s">
        <v>352</v>
      </c>
      <c r="B211" s="26"/>
      <c r="C211" s="26"/>
      <c r="D211" s="26"/>
      <c r="E211" s="26"/>
      <c r="F211" s="26"/>
      <c r="G211" s="26"/>
      <c r="H211" s="26"/>
      <c r="I211" s="26"/>
      <c r="J211" s="26"/>
      <c r="K211" s="26"/>
      <c r="Z211" s="13"/>
      <c r="AA211" s="13"/>
      <c r="AB211" s="13"/>
      <c r="AC211" s="13"/>
      <c r="AD211" s="13"/>
      <c r="AE211" s="13"/>
      <c r="AF211" s="13"/>
      <c r="AG211" s="13"/>
      <c r="AH211" s="13"/>
      <c r="AI211" s="13"/>
    </row>
    <row r="212" spans="1:35" ht="18.5" x14ac:dyDescent="0.35">
      <c r="B212" s="13" t="s">
        <v>322</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404</v>
      </c>
      <c r="Z212" s="26"/>
      <c r="AA212" s="26"/>
      <c r="AB212" s="26"/>
      <c r="AC212" s="26"/>
      <c r="AD212" s="26"/>
      <c r="AE212" s="26"/>
      <c r="AF212" s="26"/>
      <c r="AG212" s="26"/>
      <c r="AH212" s="26"/>
      <c r="AI212" s="26"/>
    </row>
    <row r="213" spans="1:35" x14ac:dyDescent="0.25">
      <c r="Z213" s="12" t="s">
        <v>326</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8.5" x14ac:dyDescent="0.25">
      <c r="A214" s="26" t="s">
        <v>353</v>
      </c>
      <c r="B214" s="26"/>
      <c r="C214" s="26"/>
      <c r="D214" s="26"/>
      <c r="E214" s="26"/>
      <c r="F214" s="26"/>
      <c r="G214" s="26"/>
      <c r="H214" s="26"/>
      <c r="I214" s="26"/>
      <c r="J214" s="26"/>
      <c r="K214" s="26"/>
      <c r="Z214" s="12" t="s">
        <v>329</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25">
      <c r="B215" s="12" t="s">
        <v>309</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331</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25">
      <c r="B216" s="12" t="s">
        <v>310</v>
      </c>
      <c r="C216" s="12">
        <v>0.408882888</v>
      </c>
      <c r="D216" s="12">
        <v>0</v>
      </c>
      <c r="E216" s="12">
        <v>0</v>
      </c>
      <c r="F216" s="12">
        <v>0</v>
      </c>
      <c r="G216" s="12">
        <v>0</v>
      </c>
      <c r="H216" s="12">
        <v>0</v>
      </c>
      <c r="I216" s="12">
        <v>0</v>
      </c>
      <c r="J216" s="12">
        <v>0</v>
      </c>
      <c r="K216" s="12">
        <v>0</v>
      </c>
      <c r="Z216" s="12" t="s">
        <v>333</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25">
      <c r="B217" s="12" t="s">
        <v>312</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334</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25">
      <c r="B218" s="12" t="s">
        <v>255</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336</v>
      </c>
      <c r="AA218" s="12">
        <v>0</v>
      </c>
      <c r="AB218" s="12">
        <v>0</v>
      </c>
      <c r="AC218" s="12">
        <v>0</v>
      </c>
      <c r="AD218" s="12">
        <v>0</v>
      </c>
      <c r="AE218" s="12">
        <v>0</v>
      </c>
      <c r="AF218" s="12">
        <v>0</v>
      </c>
      <c r="AG218" s="12">
        <v>0</v>
      </c>
      <c r="AH218" s="12">
        <v>0</v>
      </c>
      <c r="AI218" s="12">
        <v>0</v>
      </c>
    </row>
    <row r="219" spans="1:35" ht="14.5" x14ac:dyDescent="0.35">
      <c r="B219" s="12" t="s">
        <v>318</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322</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25">
      <c r="B220" s="12" t="s">
        <v>343</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8.5" x14ac:dyDescent="0.35">
      <c r="A221" s="13"/>
      <c r="B221" s="13" t="s">
        <v>322</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405</v>
      </c>
      <c r="Z221" s="26"/>
      <c r="AA221" s="26"/>
      <c r="AB221" s="26"/>
      <c r="AC221" s="26"/>
      <c r="AD221" s="26"/>
      <c r="AE221" s="26"/>
      <c r="AF221" s="26"/>
      <c r="AG221" s="26"/>
      <c r="AH221" s="26"/>
      <c r="AI221" s="26"/>
    </row>
    <row r="222" spans="1:35" x14ac:dyDescent="0.25">
      <c r="Z222" s="12" t="s">
        <v>310</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8.5" x14ac:dyDescent="0.25">
      <c r="A223" s="26" t="s">
        <v>356</v>
      </c>
      <c r="B223" s="26"/>
      <c r="C223" s="26"/>
      <c r="D223" s="26"/>
      <c r="E223" s="26"/>
      <c r="F223" s="26"/>
      <c r="G223" s="26"/>
      <c r="H223" s="26"/>
      <c r="I223" s="26"/>
      <c r="J223" s="26"/>
      <c r="K223" s="26"/>
      <c r="Z223" s="12" t="s">
        <v>311</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25">
      <c r="B224" s="12" t="s">
        <v>309</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312</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25">
      <c r="B225" s="12" t="s">
        <v>310</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255</v>
      </c>
      <c r="AA225" s="12">
        <v>0</v>
      </c>
      <c r="AB225" s="12">
        <v>0</v>
      </c>
      <c r="AC225" s="12">
        <v>0</v>
      </c>
      <c r="AD225" s="12">
        <v>0</v>
      </c>
      <c r="AE225" s="12">
        <v>0</v>
      </c>
      <c r="AF225" s="12">
        <v>0</v>
      </c>
      <c r="AG225" s="12">
        <v>0</v>
      </c>
      <c r="AH225" s="12">
        <v>0</v>
      </c>
      <c r="AI225" s="12">
        <v>0</v>
      </c>
    </row>
    <row r="226" spans="1:35" x14ac:dyDescent="0.25">
      <c r="B226" s="12" t="s">
        <v>312</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316</v>
      </c>
      <c r="AA226" s="12">
        <v>0</v>
      </c>
      <c r="AB226" s="12">
        <v>0</v>
      </c>
      <c r="AC226" s="12">
        <v>0</v>
      </c>
      <c r="AD226" s="12">
        <v>0</v>
      </c>
      <c r="AE226" s="12">
        <v>0</v>
      </c>
      <c r="AF226" s="12">
        <v>0</v>
      </c>
      <c r="AG226" s="12">
        <v>0</v>
      </c>
      <c r="AH226" s="12">
        <v>0</v>
      </c>
      <c r="AI226" s="12">
        <v>0</v>
      </c>
    </row>
    <row r="227" spans="1:35" x14ac:dyDescent="0.25">
      <c r="B227" s="12" t="s">
        <v>255</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319</v>
      </c>
      <c r="AA227" s="12">
        <v>0</v>
      </c>
      <c r="AB227" s="12">
        <v>0</v>
      </c>
      <c r="AC227" s="12">
        <v>0</v>
      </c>
      <c r="AD227" s="12">
        <v>0</v>
      </c>
      <c r="AE227" s="12">
        <v>0</v>
      </c>
      <c r="AF227" s="12">
        <v>0</v>
      </c>
      <c r="AG227" s="12">
        <v>0</v>
      </c>
      <c r="AH227" s="12">
        <v>0</v>
      </c>
      <c r="AI227" s="12">
        <v>0</v>
      </c>
    </row>
    <row r="228" spans="1:35" ht="14.5" x14ac:dyDescent="0.35">
      <c r="B228" s="12" t="s">
        <v>315</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4.5" x14ac:dyDescent="0.35">
      <c r="B229" s="12" t="s">
        <v>314</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8.5" x14ac:dyDescent="0.25">
      <c r="B230" s="12" t="s">
        <v>343</v>
      </c>
      <c r="C230" s="12">
        <v>0</v>
      </c>
      <c r="D230" s="12">
        <v>0</v>
      </c>
      <c r="E230" s="12">
        <v>0</v>
      </c>
      <c r="F230" s="12">
        <v>0</v>
      </c>
      <c r="G230" s="12">
        <v>0</v>
      </c>
      <c r="H230" s="12">
        <v>0</v>
      </c>
      <c r="I230" s="12">
        <v>0</v>
      </c>
      <c r="J230" s="12">
        <v>0</v>
      </c>
      <c r="K230" s="12">
        <v>0</v>
      </c>
      <c r="Y230" s="26" t="s">
        <v>406</v>
      </c>
      <c r="Z230" s="26"/>
      <c r="AA230" s="26"/>
      <c r="AB230" s="26"/>
      <c r="AC230" s="26"/>
      <c r="AD230" s="26"/>
      <c r="AE230" s="26"/>
      <c r="AF230" s="26"/>
      <c r="AG230" s="26"/>
      <c r="AH230" s="26"/>
      <c r="AI230" s="26"/>
    </row>
    <row r="231" spans="1:35" x14ac:dyDescent="0.25">
      <c r="B231" s="12" t="s">
        <v>320</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326</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4.5" x14ac:dyDescent="0.35">
      <c r="B232" s="13" t="s">
        <v>322</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329</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4.5" x14ac:dyDescent="0.35">
      <c r="B233" s="13"/>
      <c r="C233" s="13"/>
      <c r="D233" s="13"/>
      <c r="E233" s="13"/>
      <c r="F233" s="13"/>
      <c r="G233" s="13"/>
      <c r="H233" s="13"/>
      <c r="I233" s="13"/>
      <c r="J233" s="13"/>
      <c r="K233" s="13"/>
      <c r="Z233" s="12" t="s">
        <v>331</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8.5" x14ac:dyDescent="0.25">
      <c r="A234" s="26" t="s">
        <v>359</v>
      </c>
      <c r="B234" s="26"/>
      <c r="C234" s="26"/>
      <c r="D234" s="26"/>
      <c r="E234" s="26"/>
      <c r="F234" s="26"/>
      <c r="G234" s="26"/>
      <c r="H234" s="26"/>
      <c r="I234" s="26"/>
      <c r="J234" s="26"/>
      <c r="K234" s="26"/>
      <c r="Z234" s="12" t="s">
        <v>333</v>
      </c>
      <c r="AA234" s="12">
        <v>0</v>
      </c>
      <c r="AB234" s="12">
        <v>0</v>
      </c>
      <c r="AC234" s="12">
        <v>0</v>
      </c>
      <c r="AD234" s="12">
        <v>0</v>
      </c>
      <c r="AE234" s="12">
        <v>0</v>
      </c>
      <c r="AF234" s="12">
        <v>0</v>
      </c>
      <c r="AG234" s="12">
        <v>0</v>
      </c>
      <c r="AH234" s="12">
        <v>0</v>
      </c>
      <c r="AI234" s="12">
        <v>0</v>
      </c>
    </row>
    <row r="235" spans="1:35" x14ac:dyDescent="0.25">
      <c r="B235" s="12" t="s">
        <v>309</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334</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4.5" x14ac:dyDescent="0.35">
      <c r="B236" s="12" t="s">
        <v>310</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4.5" x14ac:dyDescent="0.35">
      <c r="B237" s="12" t="s">
        <v>312</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8.5" x14ac:dyDescent="0.25">
      <c r="B238" s="12" t="s">
        <v>255</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407</v>
      </c>
      <c r="Z238" s="26"/>
      <c r="AA238" s="26"/>
      <c r="AB238" s="26"/>
      <c r="AC238" s="26"/>
      <c r="AD238" s="26"/>
      <c r="AE238" s="26"/>
      <c r="AF238" s="26"/>
      <c r="AG238" s="26"/>
      <c r="AH238" s="26"/>
      <c r="AI238" s="26"/>
    </row>
    <row r="239" spans="1:35" x14ac:dyDescent="0.25">
      <c r="B239" s="12" t="s">
        <v>315</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310</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25">
      <c r="B240" s="12" t="s">
        <v>314</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311</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25">
      <c r="B241" s="12" t="s">
        <v>343</v>
      </c>
      <c r="C241" s="12">
        <v>0</v>
      </c>
      <c r="D241" s="12">
        <v>0</v>
      </c>
      <c r="E241" s="12">
        <v>0</v>
      </c>
      <c r="F241" s="12">
        <v>0</v>
      </c>
      <c r="G241" s="12">
        <v>0</v>
      </c>
      <c r="H241" s="12">
        <v>0</v>
      </c>
      <c r="I241" s="12">
        <v>0</v>
      </c>
      <c r="J241" s="12">
        <v>0</v>
      </c>
      <c r="K241" s="12">
        <v>0</v>
      </c>
      <c r="Z241" s="12" t="s">
        <v>312</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25">
      <c r="B242" s="12" t="s">
        <v>320</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255</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4.5" x14ac:dyDescent="0.35">
      <c r="B243" s="13" t="s">
        <v>322</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316</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4.5" x14ac:dyDescent="0.35">
      <c r="B244" s="13"/>
      <c r="C244" s="13"/>
      <c r="D244" s="13"/>
      <c r="E244" s="13"/>
      <c r="F244" s="13"/>
      <c r="G244" s="13"/>
      <c r="H244" s="13"/>
      <c r="I244" s="13"/>
      <c r="J244" s="13"/>
      <c r="K244" s="13"/>
      <c r="Z244" s="12" t="s">
        <v>319</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8.5" x14ac:dyDescent="0.35">
      <c r="A245" s="26" t="s">
        <v>363</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25">
      <c r="B246" s="12" t="s">
        <v>309</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8.5" x14ac:dyDescent="0.25">
      <c r="B247" s="12" t="s">
        <v>310</v>
      </c>
      <c r="C247" s="12">
        <v>48.102647616000013</v>
      </c>
      <c r="D247" s="12">
        <v>38.918834330851872</v>
      </c>
      <c r="E247" s="12">
        <v>32.907313994215116</v>
      </c>
      <c r="F247" s="12">
        <v>25.731811728771625</v>
      </c>
      <c r="G247" s="12">
        <v>17.998960330967385</v>
      </c>
      <c r="H247" s="12">
        <v>9.7574604360112129</v>
      </c>
      <c r="I247" s="12">
        <v>0</v>
      </c>
      <c r="J247" s="12">
        <v>0</v>
      </c>
      <c r="K247" s="12">
        <v>0</v>
      </c>
      <c r="Y247" s="26" t="s">
        <v>408</v>
      </c>
      <c r="Z247" s="26"/>
      <c r="AA247" s="26"/>
      <c r="AB247" s="26"/>
      <c r="AC247" s="26"/>
      <c r="AD247" s="26"/>
      <c r="AE247" s="26"/>
      <c r="AF247" s="26"/>
      <c r="AG247" s="26"/>
      <c r="AH247" s="26"/>
      <c r="AI247" s="26"/>
    </row>
    <row r="248" spans="1:35" x14ac:dyDescent="0.25">
      <c r="B248" s="12" t="s">
        <v>312</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310</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25">
      <c r="B249" s="12" t="s">
        <v>255</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311</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25">
      <c r="B250" s="12" t="s">
        <v>315</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312</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25">
      <c r="B251" s="12" t="s">
        <v>314</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255</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25">
      <c r="B252" s="12" t="s">
        <v>343</v>
      </c>
      <c r="C252" s="12">
        <v>0</v>
      </c>
      <c r="D252" s="12">
        <v>0</v>
      </c>
      <c r="E252" s="12">
        <v>0</v>
      </c>
      <c r="F252" s="12">
        <v>0</v>
      </c>
      <c r="G252" s="12">
        <v>0</v>
      </c>
      <c r="H252" s="12">
        <v>0</v>
      </c>
      <c r="I252" s="12">
        <v>0</v>
      </c>
      <c r="J252" s="12">
        <v>0</v>
      </c>
      <c r="K252" s="12">
        <v>0</v>
      </c>
      <c r="Z252" s="12" t="s">
        <v>316</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25">
      <c r="B253" s="12" t="s">
        <v>320</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319</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4.5" x14ac:dyDescent="0.35">
      <c r="B254" s="13" t="s">
        <v>322</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8.5" x14ac:dyDescent="0.45">
      <c r="A255" s="16"/>
      <c r="B255" s="16"/>
    </row>
    <row r="256" spans="1:35" ht="18.5" x14ac:dyDescent="0.25">
      <c r="A256" s="26" t="s">
        <v>367</v>
      </c>
      <c r="B256" s="26"/>
      <c r="C256" s="26"/>
      <c r="D256" s="26"/>
      <c r="E256" s="26"/>
      <c r="F256" s="26"/>
      <c r="G256" s="26"/>
      <c r="H256" s="26"/>
      <c r="I256" s="26"/>
      <c r="J256" s="26"/>
      <c r="K256" s="26"/>
      <c r="Y256" s="26" t="s">
        <v>409</v>
      </c>
      <c r="Z256" s="26"/>
      <c r="AA256" s="26"/>
      <c r="AB256" s="26"/>
      <c r="AC256" s="26"/>
      <c r="AD256" s="26"/>
      <c r="AE256" s="26"/>
      <c r="AF256" s="26"/>
      <c r="AG256" s="26"/>
      <c r="AH256" s="26"/>
      <c r="AI256" s="26"/>
    </row>
    <row r="257" spans="2:35" x14ac:dyDescent="0.25">
      <c r="B257" s="12" t="s">
        <v>309</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310</v>
      </c>
      <c r="AA257" s="12">
        <v>0</v>
      </c>
      <c r="AB257" s="12">
        <v>0</v>
      </c>
      <c r="AC257" s="12">
        <v>0</v>
      </c>
      <c r="AD257" s="12">
        <v>0</v>
      </c>
      <c r="AE257" s="12">
        <v>0</v>
      </c>
      <c r="AF257" s="12">
        <v>0</v>
      </c>
      <c r="AG257" s="12">
        <v>0</v>
      </c>
      <c r="AH257" s="12">
        <v>0</v>
      </c>
      <c r="AI257" s="12">
        <v>0</v>
      </c>
    </row>
    <row r="258" spans="2:35" x14ac:dyDescent="0.25">
      <c r="B258" s="12" t="s">
        <v>310</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311</v>
      </c>
      <c r="AA258" s="12">
        <v>0</v>
      </c>
      <c r="AB258" s="12">
        <v>0</v>
      </c>
      <c r="AC258" s="12">
        <v>0</v>
      </c>
      <c r="AD258" s="12">
        <v>0</v>
      </c>
      <c r="AE258" s="12">
        <v>0</v>
      </c>
      <c r="AF258" s="12">
        <v>0</v>
      </c>
      <c r="AG258" s="12">
        <v>0</v>
      </c>
      <c r="AH258" s="12">
        <v>0</v>
      </c>
      <c r="AI258" s="12">
        <v>0</v>
      </c>
    </row>
    <row r="259" spans="2:35" x14ac:dyDescent="0.25">
      <c r="B259" s="12" t="s">
        <v>369</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312</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25">
      <c r="B260" s="12" t="s">
        <v>312</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255</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25">
      <c r="B261" s="12" t="s">
        <v>370</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316</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25">
      <c r="B262" s="12" t="s">
        <v>313</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319</v>
      </c>
      <c r="AA262" s="12">
        <v>12.7746</v>
      </c>
      <c r="AB262" s="12">
        <v>0</v>
      </c>
      <c r="AC262" s="12">
        <v>0</v>
      </c>
      <c r="AD262" s="12">
        <v>0</v>
      </c>
      <c r="AE262" s="12">
        <v>0</v>
      </c>
      <c r="AF262" s="12">
        <v>0</v>
      </c>
      <c r="AG262" s="12">
        <v>0</v>
      </c>
      <c r="AH262" s="12">
        <v>0</v>
      </c>
      <c r="AI262" s="12">
        <v>0</v>
      </c>
    </row>
    <row r="263" spans="2:35" ht="14.5" x14ac:dyDescent="0.35">
      <c r="B263" s="12" t="s">
        <v>314</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25">
      <c r="B264" s="12" t="s">
        <v>374</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8.5" x14ac:dyDescent="0.25">
      <c r="B265" s="12" t="s">
        <v>375</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410</v>
      </c>
      <c r="Z265" s="26"/>
      <c r="AA265" s="26"/>
      <c r="AB265" s="26"/>
      <c r="AC265" s="26"/>
      <c r="AD265" s="26"/>
      <c r="AE265" s="26"/>
      <c r="AF265" s="26"/>
      <c r="AG265" s="26"/>
      <c r="AH265" s="26"/>
      <c r="AI265" s="26"/>
    </row>
    <row r="266" spans="2:35" x14ac:dyDescent="0.25">
      <c r="B266" s="12" t="s">
        <v>337</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310</v>
      </c>
      <c r="AA266" s="12">
        <v>56.100631891199988</v>
      </c>
      <c r="AB266" s="12">
        <v>2.8035385778601829</v>
      </c>
      <c r="AC266" s="12">
        <v>0</v>
      </c>
      <c r="AD266" s="12">
        <v>0</v>
      </c>
      <c r="AE266" s="12">
        <v>0</v>
      </c>
      <c r="AF266" s="12">
        <v>0</v>
      </c>
      <c r="AG266" s="12">
        <v>0</v>
      </c>
      <c r="AH266" s="12">
        <v>0</v>
      </c>
      <c r="AI266" s="12">
        <v>0</v>
      </c>
    </row>
    <row r="267" spans="2:35" x14ac:dyDescent="0.25">
      <c r="B267" s="12" t="s">
        <v>377</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311</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25">
      <c r="B268" s="12" t="s">
        <v>379</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312</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25">
      <c r="B269" s="12" t="s">
        <v>340</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255</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25">
      <c r="B270" s="12" t="s">
        <v>341</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316</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25">
      <c r="B271" s="12" t="s">
        <v>342</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319</v>
      </c>
      <c r="AA271" s="12">
        <v>0</v>
      </c>
      <c r="AB271" s="12">
        <v>0</v>
      </c>
      <c r="AC271" s="12">
        <v>0</v>
      </c>
      <c r="AD271" s="12">
        <v>0</v>
      </c>
      <c r="AE271" s="12">
        <v>0</v>
      </c>
      <c r="AF271" s="12">
        <v>0</v>
      </c>
      <c r="AG271" s="12">
        <v>0</v>
      </c>
      <c r="AH271" s="12">
        <v>0</v>
      </c>
      <c r="AI271" s="12">
        <v>0</v>
      </c>
    </row>
    <row r="272" spans="2:35" ht="14.5" x14ac:dyDescent="0.35">
      <c r="B272" s="12" t="s">
        <v>320</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4.5" x14ac:dyDescent="0.35">
      <c r="A273" s="13"/>
      <c r="B273" s="13" t="s">
        <v>322</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8.5" x14ac:dyDescent="0.35">
      <c r="B274" s="17"/>
      <c r="Y274" s="26" t="s">
        <v>411</v>
      </c>
      <c r="Z274" s="26"/>
      <c r="AA274" s="26"/>
      <c r="AB274" s="26"/>
      <c r="AC274" s="26"/>
      <c r="AD274" s="26"/>
      <c r="AE274" s="26"/>
      <c r="AF274" s="26"/>
      <c r="AG274" s="26"/>
      <c r="AH274" s="26"/>
      <c r="AI274" s="26"/>
    </row>
    <row r="275" spans="1:35" ht="18.5" x14ac:dyDescent="0.25">
      <c r="A275" s="26" t="s">
        <v>382</v>
      </c>
      <c r="B275" s="26"/>
      <c r="C275" s="26"/>
      <c r="D275" s="26"/>
      <c r="E275" s="26"/>
      <c r="F275" s="26"/>
      <c r="G275" s="26"/>
      <c r="H275" s="26"/>
      <c r="I275" s="26"/>
      <c r="J275" s="26"/>
      <c r="K275" s="26"/>
      <c r="Z275" s="12" t="s">
        <v>310</v>
      </c>
      <c r="AA275" s="12">
        <v>0</v>
      </c>
      <c r="AB275" s="12">
        <v>0</v>
      </c>
      <c r="AC275" s="12">
        <v>0</v>
      </c>
      <c r="AD275" s="12">
        <v>0</v>
      </c>
      <c r="AE275" s="12">
        <v>0</v>
      </c>
      <c r="AF275" s="12">
        <v>0</v>
      </c>
      <c r="AG275" s="12">
        <v>0</v>
      </c>
      <c r="AH275" s="12">
        <v>0</v>
      </c>
      <c r="AI275" s="12">
        <v>0</v>
      </c>
    </row>
    <row r="276" spans="1:35" x14ac:dyDescent="0.25">
      <c r="B276" s="12" t="s">
        <v>309</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311</v>
      </c>
      <c r="AA276" s="12">
        <v>0</v>
      </c>
      <c r="AB276" s="12">
        <v>0</v>
      </c>
      <c r="AC276" s="12">
        <v>0</v>
      </c>
      <c r="AD276" s="12">
        <v>0</v>
      </c>
      <c r="AE276" s="12">
        <v>0</v>
      </c>
      <c r="AF276" s="12">
        <v>0</v>
      </c>
      <c r="AG276" s="12">
        <v>0</v>
      </c>
      <c r="AH276" s="12">
        <v>0</v>
      </c>
      <c r="AI276" s="12">
        <v>0</v>
      </c>
    </row>
    <row r="277" spans="1:35" x14ac:dyDescent="0.25">
      <c r="B277" s="12" t="s">
        <v>310</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312</v>
      </c>
      <c r="AA277" s="12">
        <v>0</v>
      </c>
      <c r="AB277" s="12">
        <v>0</v>
      </c>
      <c r="AC277" s="12">
        <v>0</v>
      </c>
      <c r="AD277" s="12">
        <v>0</v>
      </c>
      <c r="AE277" s="12">
        <v>0</v>
      </c>
      <c r="AF277" s="12">
        <v>0</v>
      </c>
      <c r="AG277" s="12">
        <v>0</v>
      </c>
      <c r="AH277" s="12">
        <v>0</v>
      </c>
      <c r="AI277" s="12">
        <v>0</v>
      </c>
    </row>
    <row r="278" spans="1:35" x14ac:dyDescent="0.25">
      <c r="B278" s="12" t="s">
        <v>369</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255</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25">
      <c r="B279" s="12" t="s">
        <v>312</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316</v>
      </c>
      <c r="AA279" s="12">
        <v>0</v>
      </c>
      <c r="AB279" s="12">
        <v>0</v>
      </c>
      <c r="AC279" s="12">
        <v>0</v>
      </c>
      <c r="AD279" s="12">
        <v>0</v>
      </c>
      <c r="AE279" s="12">
        <v>0</v>
      </c>
      <c r="AF279" s="12">
        <v>0</v>
      </c>
      <c r="AG279" s="12">
        <v>0</v>
      </c>
      <c r="AH279" s="12">
        <v>0</v>
      </c>
      <c r="AI279" s="12">
        <v>0</v>
      </c>
    </row>
    <row r="280" spans="1:35" x14ac:dyDescent="0.25">
      <c r="B280" s="12" t="s">
        <v>370</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319</v>
      </c>
      <c r="AA280" s="12">
        <v>0</v>
      </c>
      <c r="AB280" s="12">
        <v>0</v>
      </c>
      <c r="AC280" s="12">
        <v>0</v>
      </c>
      <c r="AD280" s="12">
        <v>0</v>
      </c>
      <c r="AE280" s="12">
        <v>0</v>
      </c>
      <c r="AF280" s="12">
        <v>0</v>
      </c>
      <c r="AG280" s="12">
        <v>0</v>
      </c>
      <c r="AH280" s="12">
        <v>0</v>
      </c>
      <c r="AI280" s="12">
        <v>0</v>
      </c>
    </row>
    <row r="281" spans="1:35" ht="14.5" x14ac:dyDescent="0.35">
      <c r="B281" s="12" t="s">
        <v>313</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25">
      <c r="B282" s="12" t="s">
        <v>314</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8.5" x14ac:dyDescent="0.25">
      <c r="B283" s="12" t="s">
        <v>374</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412</v>
      </c>
      <c r="Z283" s="26"/>
      <c r="AA283" s="26"/>
      <c r="AB283" s="26"/>
      <c r="AC283" s="26"/>
      <c r="AD283" s="26"/>
      <c r="AE283" s="26"/>
      <c r="AF283" s="26"/>
      <c r="AG283" s="26"/>
      <c r="AH283" s="26"/>
      <c r="AI283" s="26"/>
    </row>
    <row r="284" spans="1:35" x14ac:dyDescent="0.25">
      <c r="B284" s="12" t="s">
        <v>375</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310</v>
      </c>
      <c r="AA284" s="12">
        <v>56.100631891199988</v>
      </c>
      <c r="AB284" s="12">
        <v>2.8035385778601829</v>
      </c>
      <c r="AC284" s="12">
        <v>0</v>
      </c>
      <c r="AD284" s="12">
        <v>0</v>
      </c>
      <c r="AE284" s="12">
        <v>0</v>
      </c>
      <c r="AF284" s="12">
        <v>0</v>
      </c>
      <c r="AG284" s="12">
        <v>0</v>
      </c>
      <c r="AH284" s="12">
        <v>0</v>
      </c>
      <c r="AI284" s="12">
        <v>0</v>
      </c>
    </row>
    <row r="285" spans="1:35" x14ac:dyDescent="0.25">
      <c r="B285" s="12" t="s">
        <v>337</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311</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25">
      <c r="B286" s="12" t="s">
        <v>377</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312</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25">
      <c r="B287" s="12" t="s">
        <v>379</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255</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25">
      <c r="B288" s="12" t="s">
        <v>340</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316</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25">
      <c r="B289" s="12" t="s">
        <v>341</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319</v>
      </c>
      <c r="AA289" s="12">
        <v>0</v>
      </c>
      <c r="AB289" s="12">
        <v>0</v>
      </c>
      <c r="AC289" s="12">
        <v>0</v>
      </c>
      <c r="AD289" s="12">
        <v>0</v>
      </c>
      <c r="AE289" s="12">
        <v>0</v>
      </c>
      <c r="AF289" s="12">
        <v>0</v>
      </c>
      <c r="AG289" s="12">
        <v>0</v>
      </c>
      <c r="AH289" s="12">
        <v>0</v>
      </c>
      <c r="AI289" s="12">
        <v>0</v>
      </c>
    </row>
    <row r="290" spans="1:35" ht="14.5" x14ac:dyDescent="0.35">
      <c r="B290" s="12" t="s">
        <v>342</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25">
      <c r="B291" s="12" t="s">
        <v>320</v>
      </c>
      <c r="C291" s="12">
        <v>0</v>
      </c>
      <c r="D291" s="12">
        <v>0</v>
      </c>
      <c r="E291" s="12">
        <v>0</v>
      </c>
      <c r="F291" s="12">
        <v>0</v>
      </c>
      <c r="G291" s="12">
        <v>0</v>
      </c>
      <c r="H291" s="12">
        <v>0</v>
      </c>
      <c r="I291" s="12">
        <v>0</v>
      </c>
      <c r="J291" s="12">
        <v>0</v>
      </c>
      <c r="K291" s="12">
        <v>0</v>
      </c>
    </row>
    <row r="292" spans="1:35" ht="14.5" x14ac:dyDescent="0.35">
      <c r="A292" s="13"/>
      <c r="B292" s="13" t="s">
        <v>322</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4.5" x14ac:dyDescent="0.35">
      <c r="B293" s="17"/>
    </row>
    <row r="294" spans="1:35" ht="18.5" x14ac:dyDescent="0.25">
      <c r="A294" s="26" t="s">
        <v>386</v>
      </c>
      <c r="B294" s="26"/>
      <c r="C294" s="26"/>
      <c r="D294" s="26"/>
      <c r="E294" s="26"/>
      <c r="F294" s="26"/>
      <c r="G294" s="26"/>
      <c r="H294" s="26"/>
      <c r="I294" s="26"/>
      <c r="J294" s="26"/>
      <c r="K294" s="26"/>
    </row>
    <row r="295" spans="1:35" x14ac:dyDescent="0.25">
      <c r="B295" s="18" t="s">
        <v>387</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5" x14ac:dyDescent="0.25">
      <c r="B296" s="18" t="s">
        <v>388</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x14ac:dyDescent="0.25">
      <c r="B297" s="18" t="s">
        <v>389</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x14ac:dyDescent="0.25">
      <c r="B298" s="18" t="s">
        <v>247</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x14ac:dyDescent="0.25">
      <c r="B299" s="18" t="s">
        <v>391</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4.5" x14ac:dyDescent="0.35">
      <c r="B300" s="19" t="s">
        <v>322</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8.5" x14ac:dyDescent="0.25">
      <c r="A302" s="26" t="s">
        <v>392</v>
      </c>
      <c r="B302" s="26"/>
      <c r="C302" s="26"/>
      <c r="D302" s="26"/>
      <c r="E302" s="26"/>
      <c r="F302" s="26"/>
      <c r="G302" s="26"/>
      <c r="H302" s="26"/>
      <c r="I302" s="26"/>
      <c r="J302" s="26"/>
      <c r="K302" s="26"/>
    </row>
    <row r="303" spans="1:35" x14ac:dyDescent="0.25">
      <c r="B303" s="18" t="s">
        <v>387</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x14ac:dyDescent="0.25">
      <c r="B304" s="18" t="s">
        <v>247</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x14ac:dyDescent="0.25">
      <c r="B305" s="18" t="s">
        <v>391</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4.5" x14ac:dyDescent="0.35">
      <c r="B306" s="19" t="s">
        <v>322</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8.5" x14ac:dyDescent="0.25">
      <c r="A308" s="26" t="s">
        <v>394</v>
      </c>
      <c r="B308" s="26"/>
      <c r="C308" s="26"/>
      <c r="D308" s="26"/>
      <c r="E308" s="26"/>
      <c r="F308" s="26"/>
      <c r="G308" s="26"/>
      <c r="H308" s="26"/>
      <c r="I308" s="26"/>
      <c r="J308" s="26"/>
      <c r="K308" s="26"/>
    </row>
    <row r="309" spans="1:12" x14ac:dyDescent="0.25">
      <c r="B309" s="12" t="s">
        <v>387</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25">
      <c r="B310" s="12" t="s">
        <v>247</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25">
      <c r="B311" s="12" t="s">
        <v>391</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4.5" x14ac:dyDescent="0.35">
      <c r="B312" s="35" t="s">
        <v>322</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8.5" x14ac:dyDescent="0.25">
      <c r="A315" s="9"/>
      <c r="B315" s="9"/>
      <c r="C315" s="9"/>
      <c r="D315" s="9" t="s">
        <v>413</v>
      </c>
      <c r="E315" s="9"/>
      <c r="F315" s="9"/>
      <c r="G315" s="9"/>
      <c r="H315" s="9"/>
      <c r="I315" s="9"/>
      <c r="J315" s="9"/>
      <c r="K315" s="9"/>
      <c r="L315" s="36"/>
    </row>
    <row r="316" spans="1:12" ht="18.5" x14ac:dyDescent="0.25">
      <c r="A316" s="32"/>
      <c r="B316" s="32"/>
      <c r="C316" s="33">
        <v>2014</v>
      </c>
      <c r="D316" s="33">
        <v>2025</v>
      </c>
      <c r="E316" s="33">
        <v>2030</v>
      </c>
      <c r="F316" s="33">
        <v>2035</v>
      </c>
      <c r="G316" s="33">
        <v>2040</v>
      </c>
      <c r="H316" s="33">
        <v>2045</v>
      </c>
      <c r="I316" s="33">
        <v>2050</v>
      </c>
      <c r="J316" s="33">
        <v>2055</v>
      </c>
      <c r="K316" s="33">
        <v>2060</v>
      </c>
      <c r="L316" s="37"/>
    </row>
    <row r="317" spans="1:12" ht="14.5" x14ac:dyDescent="0.35">
      <c r="A317" s="10"/>
      <c r="B317" s="10"/>
      <c r="C317" s="11"/>
      <c r="D317" s="11"/>
      <c r="E317" s="11"/>
      <c r="F317" s="11"/>
      <c r="G317" s="11"/>
      <c r="H317" s="11"/>
      <c r="I317" s="11"/>
      <c r="J317" s="11"/>
      <c r="K317" s="11"/>
      <c r="L317" s="38"/>
    </row>
    <row r="318" spans="1:12" ht="18.5" x14ac:dyDescent="0.35">
      <c r="A318" s="26" t="s">
        <v>306</v>
      </c>
      <c r="B318" s="26"/>
      <c r="C318" s="26"/>
      <c r="D318" s="26"/>
      <c r="E318" s="26"/>
      <c r="F318" s="26"/>
      <c r="G318" s="26"/>
      <c r="H318" s="26"/>
      <c r="I318" s="26"/>
      <c r="J318" s="26"/>
      <c r="K318" s="26"/>
      <c r="L318" s="39"/>
    </row>
    <row r="319" spans="1:12" x14ac:dyDescent="0.25">
      <c r="B319" s="12" t="s">
        <v>309</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25">
      <c r="B320" s="12" t="s">
        <v>310</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25">
      <c r="B321" s="12" t="s">
        <v>312</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25">
      <c r="B322" s="12" t="s">
        <v>313</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25">
      <c r="B323" s="12" t="s">
        <v>314</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25">
      <c r="B324" s="12" t="s">
        <v>317</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25">
      <c r="B325" s="12" t="s">
        <v>320</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4.5" x14ac:dyDescent="0.35">
      <c r="B326" s="13" t="s">
        <v>322</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4.5" x14ac:dyDescent="0.35">
      <c r="A327" s="14"/>
      <c r="B327" s="15" t="s">
        <v>324</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25">
      <c r="L328" s="40"/>
    </row>
    <row r="329" spans="1:12" ht="18.5" x14ac:dyDescent="0.35">
      <c r="A329" s="26" t="s">
        <v>327</v>
      </c>
      <c r="B329" s="26"/>
      <c r="C329" s="26"/>
      <c r="D329" s="26"/>
      <c r="E329" s="26"/>
      <c r="F329" s="26"/>
      <c r="G329" s="26"/>
      <c r="H329" s="26"/>
      <c r="I329" s="26"/>
      <c r="J329" s="26"/>
      <c r="K329" s="26"/>
      <c r="L329" s="39"/>
    </row>
    <row r="330" spans="1:12" x14ac:dyDescent="0.25">
      <c r="B330" s="12" t="s">
        <v>309</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25">
      <c r="B331" s="12" t="s">
        <v>310</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25">
      <c r="B332" s="12" t="s">
        <v>312</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25">
      <c r="B333" s="12" t="s">
        <v>313</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25">
      <c r="B334" s="12" t="s">
        <v>314</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25">
      <c r="B335" s="12" t="s">
        <v>317</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25">
      <c r="B336" s="12" t="s">
        <v>337</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25">
      <c r="B337" s="12" t="s">
        <v>339</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25">
      <c r="B338" s="12" t="s">
        <v>340</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25">
      <c r="B339" s="12" t="s">
        <v>341</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25">
      <c r="B340" s="12" t="s">
        <v>342</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25">
      <c r="B341" s="12" t="s">
        <v>343</v>
      </c>
      <c r="C341" s="12">
        <v>0</v>
      </c>
      <c r="D341" s="12">
        <v>0</v>
      </c>
      <c r="E341" s="12">
        <v>0</v>
      </c>
      <c r="F341" s="12">
        <v>0</v>
      </c>
      <c r="G341" s="12">
        <v>0</v>
      </c>
      <c r="H341" s="12">
        <v>0</v>
      </c>
      <c r="I341" s="12">
        <v>0</v>
      </c>
      <c r="J341" s="12">
        <v>0</v>
      </c>
      <c r="K341" s="12">
        <v>0</v>
      </c>
      <c r="L341" s="40"/>
    </row>
    <row r="342" spans="1:12" x14ac:dyDescent="0.25">
      <c r="B342" s="12" t="s">
        <v>320</v>
      </c>
      <c r="C342" s="12">
        <v>0</v>
      </c>
      <c r="D342" s="12">
        <v>0</v>
      </c>
      <c r="E342" s="12">
        <v>0</v>
      </c>
      <c r="F342" s="12">
        <v>0</v>
      </c>
      <c r="G342" s="12">
        <v>0</v>
      </c>
      <c r="H342" s="12">
        <v>0</v>
      </c>
      <c r="I342" s="12">
        <v>0</v>
      </c>
      <c r="J342" s="12">
        <v>0</v>
      </c>
      <c r="K342" s="12">
        <v>0</v>
      </c>
      <c r="L342" s="40"/>
    </row>
    <row r="343" spans="1:12" ht="14.5" x14ac:dyDescent="0.35">
      <c r="A343" s="13"/>
      <c r="B343" s="13" t="s">
        <v>322</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25">
      <c r="L344" s="40"/>
    </row>
    <row r="345" spans="1:12" ht="18.5" x14ac:dyDescent="0.35">
      <c r="A345" s="26" t="s">
        <v>345</v>
      </c>
      <c r="B345" s="26"/>
      <c r="C345" s="26"/>
      <c r="D345" s="26"/>
      <c r="E345" s="26"/>
      <c r="F345" s="26"/>
      <c r="G345" s="26"/>
      <c r="H345" s="26"/>
      <c r="I345" s="26"/>
      <c r="J345" s="26"/>
      <c r="K345" s="26"/>
      <c r="L345" s="39"/>
    </row>
    <row r="346" spans="1:12" x14ac:dyDescent="0.25">
      <c r="B346" s="12" t="s">
        <v>309</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25">
      <c r="B347" s="12" t="s">
        <v>310</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25">
      <c r="B348" s="12" t="s">
        <v>312</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25">
      <c r="B349" s="12" t="s">
        <v>255</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25">
      <c r="B350" s="12" t="s">
        <v>315</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25">
      <c r="B351" s="12" t="s">
        <v>314</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25">
      <c r="B352" s="12" t="s">
        <v>343</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25">
      <c r="B353" s="12" t="s">
        <v>320</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4.5" x14ac:dyDescent="0.35">
      <c r="B354" s="13" t="s">
        <v>322</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25">
      <c r="L355" s="40"/>
    </row>
    <row r="356" spans="1:12" ht="18.5" x14ac:dyDescent="0.35">
      <c r="A356" s="26" t="s">
        <v>349</v>
      </c>
      <c r="B356" s="26"/>
      <c r="C356" s="26"/>
      <c r="D356" s="26"/>
      <c r="E356" s="26"/>
      <c r="F356" s="26"/>
      <c r="G356" s="26"/>
      <c r="H356" s="26"/>
      <c r="I356" s="26"/>
      <c r="J356" s="26"/>
      <c r="K356" s="26"/>
      <c r="L356" s="39"/>
    </row>
    <row r="357" spans="1:12" x14ac:dyDescent="0.25">
      <c r="B357" s="12" t="s">
        <v>309</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25">
      <c r="B358" s="12" t="s">
        <v>310</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25">
      <c r="B359" s="12" t="s">
        <v>312</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25">
      <c r="B360" s="12" t="s">
        <v>255</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25">
      <c r="B361" s="12" t="s">
        <v>315</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25">
      <c r="B362" s="12" t="s">
        <v>314</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25">
      <c r="B363" s="12" t="s">
        <v>343</v>
      </c>
      <c r="C363" s="12">
        <v>0</v>
      </c>
      <c r="D363" s="12">
        <v>0</v>
      </c>
      <c r="E363" s="12">
        <v>0</v>
      </c>
      <c r="F363" s="12">
        <v>0</v>
      </c>
      <c r="G363" s="12">
        <v>0</v>
      </c>
      <c r="H363" s="12">
        <v>0</v>
      </c>
      <c r="I363" s="12">
        <v>0</v>
      </c>
      <c r="J363" s="12">
        <v>0</v>
      </c>
      <c r="K363" s="12">
        <v>0</v>
      </c>
      <c r="L363" s="40"/>
    </row>
    <row r="364" spans="1:12" x14ac:dyDescent="0.25">
      <c r="B364" s="12" t="s">
        <v>320</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4.5" x14ac:dyDescent="0.35">
      <c r="B365" s="13" t="s">
        <v>322</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25">
      <c r="L366" s="40"/>
    </row>
    <row r="367" spans="1:12" ht="18.5" x14ac:dyDescent="0.35">
      <c r="A367" s="26" t="s">
        <v>352</v>
      </c>
      <c r="B367" s="26"/>
      <c r="C367" s="26"/>
      <c r="D367" s="26"/>
      <c r="E367" s="26"/>
      <c r="F367" s="26"/>
      <c r="G367" s="26"/>
      <c r="H367" s="26"/>
      <c r="I367" s="26"/>
      <c r="J367" s="26"/>
      <c r="K367" s="26"/>
      <c r="L367" s="39"/>
    </row>
    <row r="368" spans="1:12" ht="14.5" x14ac:dyDescent="0.35">
      <c r="B368" s="13" t="s">
        <v>322</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25">
      <c r="L369" s="40"/>
    </row>
    <row r="370" spans="1:12" ht="18.5" x14ac:dyDescent="0.35">
      <c r="A370" s="26" t="s">
        <v>353</v>
      </c>
      <c r="B370" s="26"/>
      <c r="C370" s="26"/>
      <c r="D370" s="26"/>
      <c r="E370" s="26"/>
      <c r="F370" s="26"/>
      <c r="G370" s="26"/>
      <c r="H370" s="26"/>
      <c r="I370" s="26"/>
      <c r="J370" s="26"/>
      <c r="K370" s="26"/>
      <c r="L370" s="39"/>
    </row>
    <row r="371" spans="1:12" x14ac:dyDescent="0.25">
      <c r="B371" s="12" t="s">
        <v>309</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25">
      <c r="B372" s="12" t="s">
        <v>310</v>
      </c>
      <c r="C372" s="12">
        <v>119.515011156</v>
      </c>
      <c r="D372" s="12">
        <v>0</v>
      </c>
      <c r="E372" s="12">
        <v>0</v>
      </c>
      <c r="F372" s="12">
        <v>0</v>
      </c>
      <c r="G372" s="12">
        <v>0</v>
      </c>
      <c r="H372" s="12">
        <v>0</v>
      </c>
      <c r="I372" s="12">
        <v>0</v>
      </c>
      <c r="J372" s="12">
        <v>0</v>
      </c>
      <c r="K372" s="12">
        <v>0</v>
      </c>
      <c r="L372" s="40"/>
    </row>
    <row r="373" spans="1:12" x14ac:dyDescent="0.25">
      <c r="B373" s="12" t="s">
        <v>312</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25">
      <c r="B374" s="12" t="s">
        <v>255</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25">
      <c r="B375" s="12" t="s">
        <v>318</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25">
      <c r="B376" s="12" t="s">
        <v>343</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4.5" x14ac:dyDescent="0.35">
      <c r="A377" s="13"/>
      <c r="B377" s="13" t="s">
        <v>322</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25">
      <c r="L378" s="40"/>
    </row>
    <row r="379" spans="1:12" ht="18.5" x14ac:dyDescent="0.35">
      <c r="A379" s="26" t="s">
        <v>356</v>
      </c>
      <c r="B379" s="26"/>
      <c r="C379" s="26"/>
      <c r="D379" s="26"/>
      <c r="E379" s="26"/>
      <c r="F379" s="26"/>
      <c r="G379" s="26"/>
      <c r="H379" s="26"/>
      <c r="I379" s="26"/>
      <c r="J379" s="26"/>
      <c r="K379" s="26"/>
      <c r="L379" s="39"/>
    </row>
    <row r="380" spans="1:12" x14ac:dyDescent="0.25">
      <c r="B380" s="12" t="s">
        <v>309</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25">
      <c r="B381" s="12" t="s">
        <v>310</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25">
      <c r="B382" s="12" t="s">
        <v>312</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25">
      <c r="B383" s="12" t="s">
        <v>255</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25">
      <c r="B384" s="12" t="s">
        <v>315</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25">
      <c r="B385" s="12" t="s">
        <v>314</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25">
      <c r="B386" s="12" t="s">
        <v>343</v>
      </c>
      <c r="C386" s="12">
        <v>0</v>
      </c>
      <c r="D386" s="12">
        <v>0</v>
      </c>
      <c r="E386" s="12">
        <v>0</v>
      </c>
      <c r="F386" s="12">
        <v>0</v>
      </c>
      <c r="G386" s="12">
        <v>0</v>
      </c>
      <c r="H386" s="12">
        <v>0</v>
      </c>
      <c r="I386" s="12">
        <v>0</v>
      </c>
      <c r="J386" s="12">
        <v>0</v>
      </c>
      <c r="K386" s="12">
        <v>0</v>
      </c>
      <c r="L386" s="40"/>
    </row>
    <row r="387" spans="1:12" x14ac:dyDescent="0.25">
      <c r="B387" s="12" t="s">
        <v>320</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4.5" x14ac:dyDescent="0.35">
      <c r="B388" s="13" t="s">
        <v>322</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4.5" x14ac:dyDescent="0.35">
      <c r="B389" s="13"/>
      <c r="C389" s="13"/>
      <c r="D389" s="13"/>
      <c r="E389" s="13"/>
      <c r="F389" s="13"/>
      <c r="G389" s="13"/>
      <c r="H389" s="13"/>
      <c r="I389" s="13"/>
      <c r="J389" s="13"/>
      <c r="K389" s="13"/>
      <c r="L389" s="40"/>
    </row>
    <row r="390" spans="1:12" ht="18.5" x14ac:dyDescent="0.35">
      <c r="A390" s="26" t="s">
        <v>359</v>
      </c>
      <c r="B390" s="26"/>
      <c r="C390" s="26"/>
      <c r="D390" s="26"/>
      <c r="E390" s="26"/>
      <c r="F390" s="26"/>
      <c r="G390" s="26"/>
      <c r="H390" s="26"/>
      <c r="I390" s="26"/>
      <c r="J390" s="26"/>
      <c r="K390" s="26"/>
      <c r="L390" s="39"/>
    </row>
    <row r="391" spans="1:12" x14ac:dyDescent="0.25">
      <c r="B391" s="12" t="s">
        <v>309</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25">
      <c r="B392" s="12" t="s">
        <v>310</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25">
      <c r="B393" s="12" t="s">
        <v>312</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25">
      <c r="B394" s="12" t="s">
        <v>255</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25">
      <c r="B395" s="12" t="s">
        <v>315</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25">
      <c r="B396" s="12" t="s">
        <v>314</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25">
      <c r="B397" s="12" t="s">
        <v>343</v>
      </c>
      <c r="C397" s="12">
        <v>0</v>
      </c>
      <c r="D397" s="12">
        <v>0</v>
      </c>
      <c r="E397" s="12">
        <v>0</v>
      </c>
      <c r="F397" s="12">
        <v>0</v>
      </c>
      <c r="G397" s="12">
        <v>0</v>
      </c>
      <c r="H397" s="12">
        <v>0</v>
      </c>
      <c r="I397" s="12">
        <v>0</v>
      </c>
      <c r="J397" s="12">
        <v>0</v>
      </c>
      <c r="K397" s="12">
        <v>0</v>
      </c>
      <c r="L397" s="40"/>
    </row>
    <row r="398" spans="1:12" x14ac:dyDescent="0.25">
      <c r="B398" s="12" t="s">
        <v>320</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4.5" x14ac:dyDescent="0.35">
      <c r="B399" s="13" t="s">
        <v>322</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4.5" x14ac:dyDescent="0.35">
      <c r="B400" s="13"/>
      <c r="C400" s="13"/>
      <c r="D400" s="13"/>
      <c r="E400" s="13"/>
      <c r="F400" s="13"/>
      <c r="G400" s="13"/>
      <c r="H400" s="13"/>
      <c r="I400" s="13"/>
      <c r="J400" s="13"/>
      <c r="K400" s="13"/>
      <c r="L400" s="40"/>
    </row>
    <row r="401" spans="1:12" ht="18.5" x14ac:dyDescent="0.35">
      <c r="A401" s="26" t="s">
        <v>363</v>
      </c>
      <c r="B401" s="26"/>
      <c r="C401" s="26"/>
      <c r="D401" s="26"/>
      <c r="E401" s="26"/>
      <c r="F401" s="26"/>
      <c r="G401" s="26"/>
      <c r="H401" s="26"/>
      <c r="I401" s="26"/>
      <c r="J401" s="26"/>
      <c r="K401" s="26"/>
      <c r="L401" s="39"/>
    </row>
    <row r="402" spans="1:12" x14ac:dyDescent="0.25">
      <c r="B402" s="12" t="s">
        <v>309</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25">
      <c r="B403" s="12" t="s">
        <v>310</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25">
      <c r="B404" s="12" t="s">
        <v>312</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25">
      <c r="B405" s="12" t="s">
        <v>255</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25">
      <c r="B406" s="12" t="s">
        <v>315</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25">
      <c r="B407" s="12" t="s">
        <v>314</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25">
      <c r="B408" s="12" t="s">
        <v>343</v>
      </c>
      <c r="C408" s="12">
        <v>0</v>
      </c>
      <c r="D408" s="12">
        <v>0</v>
      </c>
      <c r="E408" s="12">
        <v>0</v>
      </c>
      <c r="F408" s="12">
        <v>0</v>
      </c>
      <c r="G408" s="12">
        <v>0</v>
      </c>
      <c r="H408" s="12">
        <v>0</v>
      </c>
      <c r="I408" s="12">
        <v>0</v>
      </c>
      <c r="J408" s="12">
        <v>0</v>
      </c>
      <c r="K408" s="12">
        <v>0</v>
      </c>
      <c r="L408" s="40"/>
    </row>
    <row r="409" spans="1:12" x14ac:dyDescent="0.25">
      <c r="B409" s="12" t="s">
        <v>320</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4.5" x14ac:dyDescent="0.35">
      <c r="B410" s="13" t="s">
        <v>322</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8.5" x14ac:dyDescent="0.45">
      <c r="A411" s="16"/>
      <c r="B411" s="16"/>
      <c r="L411" s="42"/>
    </row>
    <row r="412" spans="1:12" ht="18.5" x14ac:dyDescent="0.35">
      <c r="A412" s="26" t="s">
        <v>367</v>
      </c>
      <c r="B412" s="26"/>
      <c r="C412" s="26"/>
      <c r="D412" s="26"/>
      <c r="E412" s="26"/>
      <c r="F412" s="26"/>
      <c r="G412" s="26"/>
      <c r="H412" s="26"/>
      <c r="I412" s="26"/>
      <c r="J412" s="26"/>
      <c r="K412" s="26"/>
      <c r="L412" s="39"/>
    </row>
    <row r="413" spans="1:12" x14ac:dyDescent="0.25">
      <c r="B413" s="12" t="s">
        <v>309</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25">
      <c r="B414" s="12" t="s">
        <v>310</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25">
      <c r="B415" s="12" t="s">
        <v>369</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25">
      <c r="B416" s="12" t="s">
        <v>312</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25">
      <c r="B417" s="12" t="s">
        <v>370</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25">
      <c r="B418" s="12" t="s">
        <v>313</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25">
      <c r="B419" s="12" t="s">
        <v>314</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25">
      <c r="B420" s="12" t="s">
        <v>374</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25">
      <c r="B421" s="12" t="s">
        <v>375</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25">
      <c r="B422" s="12" t="s">
        <v>337</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25">
      <c r="B423" s="12" t="s">
        <v>377</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25">
      <c r="B424" s="12" t="s">
        <v>379</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25">
      <c r="B425" s="12" t="s">
        <v>340</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25">
      <c r="B426" s="12" t="s">
        <v>341</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25">
      <c r="B427" s="12" t="s">
        <v>342</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25">
      <c r="B428" s="12" t="s">
        <v>320</v>
      </c>
      <c r="C428" s="12">
        <v>0.86699999999999999</v>
      </c>
      <c r="D428" s="12">
        <v>0</v>
      </c>
      <c r="E428" s="12">
        <v>0</v>
      </c>
      <c r="F428" s="12">
        <v>0</v>
      </c>
      <c r="G428" s="12">
        <v>0</v>
      </c>
      <c r="H428" s="12">
        <v>0</v>
      </c>
      <c r="I428" s="12">
        <v>0</v>
      </c>
      <c r="J428" s="12">
        <v>0</v>
      </c>
      <c r="K428" s="12">
        <v>0</v>
      </c>
      <c r="L428" s="40"/>
    </row>
    <row r="429" spans="1:12" ht="14.5" x14ac:dyDescent="0.35">
      <c r="A429" s="13"/>
      <c r="B429" s="13" t="s">
        <v>322</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4.5" x14ac:dyDescent="0.35">
      <c r="B430" s="17"/>
      <c r="L430" s="40"/>
    </row>
    <row r="431" spans="1:12" ht="18.5" x14ac:dyDescent="0.35">
      <c r="A431" s="26" t="s">
        <v>382</v>
      </c>
      <c r="B431" s="26"/>
      <c r="C431" s="26"/>
      <c r="D431" s="26"/>
      <c r="E431" s="26"/>
      <c r="F431" s="26"/>
      <c r="G431" s="26"/>
      <c r="H431" s="26"/>
      <c r="I431" s="26"/>
      <c r="J431" s="26"/>
      <c r="K431" s="26"/>
      <c r="L431" s="39"/>
    </row>
    <row r="432" spans="1:12" x14ac:dyDescent="0.25">
      <c r="B432" s="12" t="s">
        <v>309</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25">
      <c r="B433" s="12" t="s">
        <v>310</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25">
      <c r="B434" s="12" t="s">
        <v>369</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25">
      <c r="B435" s="12" t="s">
        <v>312</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25">
      <c r="B436" s="12" t="s">
        <v>370</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25">
      <c r="B437" s="12" t="s">
        <v>313</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25">
      <c r="B438" s="12" t="s">
        <v>314</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25">
      <c r="B439" s="12" t="s">
        <v>374</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25">
      <c r="B440" s="12" t="s">
        <v>375</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25">
      <c r="B441" s="12" t="s">
        <v>337</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25">
      <c r="B442" s="12" t="s">
        <v>377</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25">
      <c r="B443" s="12" t="s">
        <v>379</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25">
      <c r="B444" s="12" t="s">
        <v>340</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25">
      <c r="B445" s="12" t="s">
        <v>341</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25">
      <c r="B446" s="12" t="s">
        <v>342</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25">
      <c r="B447" s="12" t="s">
        <v>320</v>
      </c>
      <c r="C447" s="12">
        <v>0</v>
      </c>
      <c r="D447" s="12">
        <v>0</v>
      </c>
      <c r="E447" s="12">
        <v>0</v>
      </c>
      <c r="F447" s="12">
        <v>0</v>
      </c>
      <c r="G447" s="12">
        <v>0</v>
      </c>
      <c r="H447" s="12">
        <v>0</v>
      </c>
      <c r="I447" s="12">
        <v>0</v>
      </c>
      <c r="J447" s="12">
        <v>0</v>
      </c>
      <c r="K447" s="12">
        <v>0</v>
      </c>
      <c r="L447" s="40"/>
    </row>
    <row r="448" spans="1:12" ht="14.5" x14ac:dyDescent="0.35">
      <c r="A448" s="13"/>
      <c r="B448" s="13" t="s">
        <v>322</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4.5" x14ac:dyDescent="0.35">
      <c r="B449" s="17"/>
      <c r="L449" s="40"/>
    </row>
    <row r="450" spans="1:12" ht="18.5" x14ac:dyDescent="0.35">
      <c r="A450" s="26" t="s">
        <v>386</v>
      </c>
      <c r="B450" s="26"/>
      <c r="C450" s="26"/>
      <c r="D450" s="26"/>
      <c r="E450" s="26"/>
      <c r="F450" s="26"/>
      <c r="G450" s="26"/>
      <c r="H450" s="26"/>
      <c r="I450" s="26"/>
      <c r="J450" s="26"/>
      <c r="K450" s="26"/>
      <c r="L450" s="39"/>
    </row>
    <row r="451" spans="1:12" x14ac:dyDescent="0.25">
      <c r="B451" s="18" t="s">
        <v>387</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5" x14ac:dyDescent="0.25">
      <c r="B452" s="18" t="s">
        <v>388</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x14ac:dyDescent="0.25">
      <c r="B453" s="18" t="s">
        <v>389</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x14ac:dyDescent="0.25">
      <c r="B454" s="18" t="s">
        <v>247</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x14ac:dyDescent="0.25">
      <c r="B455" s="18" t="s">
        <v>391</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4.5" x14ac:dyDescent="0.35">
      <c r="B456" s="19" t="s">
        <v>322</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25">
      <c r="L457" s="40"/>
    </row>
    <row r="458" spans="1:12" ht="18.5" x14ac:dyDescent="0.35">
      <c r="A458" s="26" t="s">
        <v>392</v>
      </c>
      <c r="B458" s="26"/>
      <c r="C458" s="26"/>
      <c r="D458" s="26"/>
      <c r="E458" s="26"/>
      <c r="F458" s="26"/>
      <c r="G458" s="26"/>
      <c r="H458" s="26"/>
      <c r="I458" s="26"/>
      <c r="J458" s="26"/>
      <c r="K458" s="26"/>
      <c r="L458" s="39"/>
    </row>
    <row r="459" spans="1:12" x14ac:dyDescent="0.25">
      <c r="B459" s="18" t="s">
        <v>387</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x14ac:dyDescent="0.25">
      <c r="B460" s="18" t="s">
        <v>247</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x14ac:dyDescent="0.25">
      <c r="B461" s="18" t="s">
        <v>391</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4.5" x14ac:dyDescent="0.35">
      <c r="B462" s="19" t="s">
        <v>322</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25">
      <c r="L463" s="40"/>
    </row>
    <row r="464" spans="1:12" ht="18.5" x14ac:dyDescent="0.35">
      <c r="A464" s="26" t="s">
        <v>394</v>
      </c>
      <c r="B464" s="26"/>
      <c r="C464" s="26"/>
      <c r="D464" s="26"/>
      <c r="E464" s="26"/>
      <c r="F464" s="26"/>
      <c r="G464" s="26"/>
      <c r="H464" s="26"/>
      <c r="I464" s="26"/>
      <c r="J464" s="26"/>
      <c r="K464" s="26"/>
      <c r="L464" s="39"/>
    </row>
    <row r="465" spans="2:12" x14ac:dyDescent="0.25">
      <c r="B465" s="12" t="s">
        <v>387</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25">
      <c r="B466" s="12" t="s">
        <v>247</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25">
      <c r="B467" s="12" t="s">
        <v>391</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4.5" x14ac:dyDescent="0.35">
      <c r="B468" s="35" t="s">
        <v>322</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workbookViewId="0">
      <selection activeCell="Q26" sqref="Q26"/>
    </sheetView>
  </sheetViews>
  <sheetFormatPr defaultColWidth="9.1796875" defaultRowHeight="12" x14ac:dyDescent="0.25"/>
  <cols>
    <col min="1" max="1" width="24.453125" style="147" customWidth="1"/>
    <col min="2" max="6" width="5.81640625" style="147" customWidth="1"/>
    <col min="7" max="7" width="0.54296875" style="147" customWidth="1"/>
    <col min="8" max="10" width="4.54296875" style="147" customWidth="1"/>
    <col min="11" max="11" width="0.54296875" style="147" customWidth="1"/>
    <col min="12" max="13" width="6.453125" style="147" customWidth="1"/>
    <col min="14" max="16384" width="9.1796875" style="147"/>
  </cols>
  <sheetData>
    <row r="1" spans="1:18" s="134" customFormat="1" ht="42.75" customHeight="1" x14ac:dyDescent="0.25">
      <c r="A1" s="666" t="s">
        <v>414</v>
      </c>
      <c r="B1" s="666"/>
      <c r="C1" s="666"/>
      <c r="D1" s="666"/>
      <c r="E1" s="666"/>
      <c r="F1" s="666"/>
      <c r="G1" s="666"/>
      <c r="H1" s="666"/>
      <c r="I1" s="666"/>
      <c r="J1" s="666"/>
      <c r="K1" s="666"/>
      <c r="L1" s="666"/>
      <c r="M1" s="666"/>
    </row>
    <row r="2" spans="1:18" s="138" customFormat="1" ht="12" customHeight="1" x14ac:dyDescent="0.25">
      <c r="A2" s="135"/>
      <c r="B2" s="136" t="s">
        <v>415</v>
      </c>
      <c r="C2" s="136" t="s">
        <v>415</v>
      </c>
      <c r="D2" s="136" t="s">
        <v>415</v>
      </c>
      <c r="E2" s="136" t="s">
        <v>415</v>
      </c>
      <c r="F2" s="136" t="s">
        <v>415</v>
      </c>
      <c r="G2" s="136"/>
      <c r="H2" s="135"/>
      <c r="I2" s="135"/>
      <c r="J2" s="135"/>
      <c r="K2" s="135"/>
      <c r="L2" s="137">
        <v>10</v>
      </c>
      <c r="M2" s="137">
        <v>30</v>
      </c>
    </row>
    <row r="3" spans="1:18" s="142" customFormat="1" ht="12" customHeight="1" x14ac:dyDescent="0.25">
      <c r="A3" s="139"/>
      <c r="B3" s="140"/>
      <c r="C3" s="141"/>
      <c r="D3" s="140"/>
      <c r="E3" s="140"/>
      <c r="F3" s="140"/>
      <c r="G3" s="140"/>
      <c r="H3" s="140"/>
      <c r="I3" s="140"/>
      <c r="J3" s="140"/>
      <c r="K3" s="140"/>
      <c r="L3" s="140"/>
      <c r="M3" s="140"/>
    </row>
    <row r="4" spans="1:18" ht="15" customHeight="1" x14ac:dyDescent="0.25">
      <c r="A4" s="143"/>
      <c r="B4" s="144" t="s">
        <v>416</v>
      </c>
      <c r="C4" s="144"/>
      <c r="D4" s="144"/>
      <c r="E4" s="144"/>
      <c r="F4" s="144"/>
      <c r="G4" s="144"/>
      <c r="H4" s="145" t="s">
        <v>417</v>
      </c>
      <c r="I4" s="145"/>
      <c r="J4" s="146"/>
      <c r="K4" s="146"/>
      <c r="L4" s="145" t="s">
        <v>418</v>
      </c>
      <c r="M4" s="145"/>
    </row>
    <row r="5" spans="1:18" ht="24" x14ac:dyDescent="0.25">
      <c r="A5" s="148"/>
      <c r="B5" s="149">
        <v>2019</v>
      </c>
      <c r="C5" s="149">
        <v>2020</v>
      </c>
      <c r="D5" s="149">
        <v>2030</v>
      </c>
      <c r="E5" s="149">
        <v>2040</v>
      </c>
      <c r="F5" s="149">
        <v>2050</v>
      </c>
      <c r="G5" s="143"/>
      <c r="H5" s="149">
        <v>2020</v>
      </c>
      <c r="I5" s="149">
        <v>2030</v>
      </c>
      <c r="J5" s="149">
        <v>2050</v>
      </c>
      <c r="K5" s="150"/>
      <c r="L5" s="151" t="s">
        <v>419</v>
      </c>
      <c r="M5" s="151" t="s">
        <v>299</v>
      </c>
    </row>
    <row r="6" spans="1:18" ht="15" customHeight="1" x14ac:dyDescent="0.25">
      <c r="A6" s="152" t="s">
        <v>420</v>
      </c>
      <c r="B6" s="153">
        <v>612</v>
      </c>
      <c r="C6" s="153">
        <v>587</v>
      </c>
      <c r="D6" s="153">
        <v>547</v>
      </c>
      <c r="E6" s="153">
        <v>535</v>
      </c>
      <c r="F6" s="153">
        <v>543</v>
      </c>
      <c r="G6" s="154">
        <v>0</v>
      </c>
      <c r="H6" s="155">
        <v>100</v>
      </c>
      <c r="I6" s="155">
        <v>100</v>
      </c>
      <c r="J6" s="155">
        <v>100</v>
      </c>
      <c r="K6" s="156"/>
      <c r="L6" s="157">
        <v>-0.7</v>
      </c>
      <c r="M6" s="157">
        <v>-0.3</v>
      </c>
      <c r="N6" s="158"/>
      <c r="O6" s="158"/>
      <c r="P6" s="158"/>
      <c r="Q6" s="158"/>
      <c r="R6" s="158"/>
    </row>
    <row r="7" spans="1:18" ht="15" customHeight="1" x14ac:dyDescent="0.25">
      <c r="A7" s="159" t="s">
        <v>421</v>
      </c>
      <c r="B7" s="160">
        <v>67</v>
      </c>
      <c r="C7" s="161">
        <v>69</v>
      </c>
      <c r="D7" s="160">
        <v>167</v>
      </c>
      <c r="E7" s="160">
        <v>295</v>
      </c>
      <c r="F7" s="160">
        <v>362</v>
      </c>
      <c r="G7" s="162">
        <v>0</v>
      </c>
      <c r="H7" s="163">
        <v>12</v>
      </c>
      <c r="I7" s="163">
        <v>30</v>
      </c>
      <c r="J7" s="163">
        <v>67</v>
      </c>
      <c r="K7" s="164"/>
      <c r="L7" s="165">
        <v>9.3000000000000007</v>
      </c>
      <c r="M7" s="165">
        <v>5.7</v>
      </c>
      <c r="N7" s="158"/>
      <c r="O7" s="158"/>
      <c r="P7" s="158"/>
      <c r="Q7" s="158"/>
      <c r="R7" s="158"/>
    </row>
    <row r="8" spans="1:18" ht="15" customHeight="1" x14ac:dyDescent="0.25">
      <c r="A8" s="166" t="s">
        <v>422</v>
      </c>
      <c r="B8" s="167">
        <v>4</v>
      </c>
      <c r="C8" s="168">
        <v>5</v>
      </c>
      <c r="D8" s="167">
        <v>32</v>
      </c>
      <c r="E8" s="167">
        <v>78</v>
      </c>
      <c r="F8" s="167">
        <v>109</v>
      </c>
      <c r="G8" s="169">
        <v>0</v>
      </c>
      <c r="H8" s="170">
        <v>1</v>
      </c>
      <c r="I8" s="170">
        <v>6</v>
      </c>
      <c r="J8" s="170">
        <v>20</v>
      </c>
      <c r="K8" s="171"/>
      <c r="L8" s="172">
        <v>21</v>
      </c>
      <c r="M8" s="172">
        <v>11</v>
      </c>
      <c r="N8" s="158"/>
      <c r="O8" s="158"/>
      <c r="P8" s="158"/>
      <c r="Q8" s="158"/>
      <c r="R8" s="158"/>
    </row>
    <row r="9" spans="1:18" ht="15" customHeight="1" x14ac:dyDescent="0.25">
      <c r="A9" s="166" t="s">
        <v>339</v>
      </c>
      <c r="B9" s="167">
        <v>5</v>
      </c>
      <c r="C9" s="168">
        <v>6</v>
      </c>
      <c r="D9" s="167">
        <v>29</v>
      </c>
      <c r="E9" s="167">
        <v>67</v>
      </c>
      <c r="F9" s="167">
        <v>89</v>
      </c>
      <c r="G9" s="169">
        <v>0</v>
      </c>
      <c r="H9" s="170">
        <v>1</v>
      </c>
      <c r="I9" s="170">
        <v>5</v>
      </c>
      <c r="J9" s="170">
        <v>16</v>
      </c>
      <c r="K9" s="171"/>
      <c r="L9" s="172">
        <v>17</v>
      </c>
      <c r="M9" s="173">
        <v>9.6</v>
      </c>
      <c r="N9" s="158"/>
      <c r="O9" s="158"/>
      <c r="P9" s="158"/>
      <c r="Q9" s="158"/>
      <c r="R9" s="158"/>
    </row>
    <row r="10" spans="1:18" ht="15" customHeight="1" x14ac:dyDescent="0.25">
      <c r="A10" s="166" t="s">
        <v>317</v>
      </c>
      <c r="B10" s="167">
        <v>15</v>
      </c>
      <c r="C10" s="168">
        <v>16</v>
      </c>
      <c r="D10" s="167">
        <v>21</v>
      </c>
      <c r="E10" s="167">
        <v>27</v>
      </c>
      <c r="F10" s="167">
        <v>30</v>
      </c>
      <c r="G10" s="169">
        <v>0</v>
      </c>
      <c r="H10" s="170">
        <v>3</v>
      </c>
      <c r="I10" s="170">
        <v>4</v>
      </c>
      <c r="J10" s="170">
        <v>6</v>
      </c>
      <c r="K10" s="171"/>
      <c r="L10" s="173">
        <v>2.9</v>
      </c>
      <c r="M10" s="173">
        <v>2.2000000000000002</v>
      </c>
      <c r="N10" s="158"/>
      <c r="O10" s="158"/>
      <c r="P10" s="158"/>
      <c r="Q10" s="158"/>
      <c r="R10" s="158"/>
    </row>
    <row r="11" spans="1:18" ht="15" customHeight="1" x14ac:dyDescent="0.25">
      <c r="A11" s="166" t="s">
        <v>423</v>
      </c>
      <c r="B11" s="167">
        <v>31</v>
      </c>
      <c r="C11" s="168">
        <v>32</v>
      </c>
      <c r="D11" s="167">
        <v>54</v>
      </c>
      <c r="E11" s="167">
        <v>73</v>
      </c>
      <c r="F11" s="167">
        <v>73</v>
      </c>
      <c r="G11" s="169">
        <v>0</v>
      </c>
      <c r="H11" s="170">
        <v>5</v>
      </c>
      <c r="I11" s="170">
        <v>10</v>
      </c>
      <c r="J11" s="170">
        <v>14</v>
      </c>
      <c r="K11" s="171"/>
      <c r="L11" s="173">
        <v>5.3</v>
      </c>
      <c r="M11" s="173">
        <v>2.8</v>
      </c>
      <c r="N11" s="158"/>
      <c r="O11" s="158"/>
      <c r="P11" s="158"/>
      <c r="Q11" s="158"/>
      <c r="R11" s="158"/>
    </row>
    <row r="12" spans="1:18" ht="15" customHeight="1" x14ac:dyDescent="0.25">
      <c r="A12" s="166" t="s">
        <v>424</v>
      </c>
      <c r="B12" s="167">
        <v>4</v>
      </c>
      <c r="C12" s="168">
        <v>3</v>
      </c>
      <c r="D12" s="167">
        <v>12</v>
      </c>
      <c r="E12" s="167">
        <v>14</v>
      </c>
      <c r="F12" s="167">
        <v>15</v>
      </c>
      <c r="G12" s="169">
        <v>0</v>
      </c>
      <c r="H12" s="170">
        <v>1</v>
      </c>
      <c r="I12" s="170">
        <v>2</v>
      </c>
      <c r="J12" s="170">
        <v>3</v>
      </c>
      <c r="K12" s="171"/>
      <c r="L12" s="172">
        <v>14</v>
      </c>
      <c r="M12" s="173">
        <v>4.9000000000000004</v>
      </c>
      <c r="N12" s="158"/>
      <c r="O12" s="158"/>
      <c r="P12" s="158"/>
      <c r="Q12" s="158"/>
      <c r="R12" s="158"/>
    </row>
    <row r="13" spans="1:18" ht="15" customHeight="1" x14ac:dyDescent="0.25">
      <c r="A13" s="166" t="s">
        <v>425</v>
      </c>
      <c r="B13" s="167">
        <v>2</v>
      </c>
      <c r="C13" s="168">
        <v>2</v>
      </c>
      <c r="D13" s="167">
        <v>5</v>
      </c>
      <c r="E13" s="167">
        <v>10</v>
      </c>
      <c r="F13" s="167">
        <v>14</v>
      </c>
      <c r="G13" s="169">
        <v>0</v>
      </c>
      <c r="H13" s="174">
        <v>0</v>
      </c>
      <c r="I13" s="170">
        <v>1</v>
      </c>
      <c r="J13" s="170">
        <v>3</v>
      </c>
      <c r="K13" s="171"/>
      <c r="L13" s="172">
        <v>9.8000000000000007</v>
      </c>
      <c r="M13" s="173">
        <v>6.4</v>
      </c>
      <c r="N13" s="158"/>
      <c r="O13" s="158"/>
      <c r="P13" s="158"/>
      <c r="Q13" s="158"/>
      <c r="R13" s="158"/>
    </row>
    <row r="14" spans="1:18" ht="15" customHeight="1" x14ac:dyDescent="0.25">
      <c r="A14" s="166" t="s">
        <v>323</v>
      </c>
      <c r="B14" s="167">
        <v>4</v>
      </c>
      <c r="C14" s="168">
        <v>5</v>
      </c>
      <c r="D14" s="167">
        <v>13</v>
      </c>
      <c r="E14" s="167">
        <v>24</v>
      </c>
      <c r="F14" s="167">
        <v>32</v>
      </c>
      <c r="G14" s="169">
        <v>0</v>
      </c>
      <c r="H14" s="170">
        <v>1</v>
      </c>
      <c r="I14" s="170">
        <v>2</v>
      </c>
      <c r="J14" s="170">
        <v>6</v>
      </c>
      <c r="K14" s="171"/>
      <c r="L14" s="172">
        <v>11</v>
      </c>
      <c r="M14" s="173">
        <v>6.7</v>
      </c>
      <c r="N14" s="158"/>
      <c r="O14" s="158"/>
      <c r="P14" s="158"/>
      <c r="Q14" s="158"/>
      <c r="R14" s="158"/>
    </row>
    <row r="15" spans="1:18" ht="15" customHeight="1" x14ac:dyDescent="0.25">
      <c r="A15" s="159" t="s">
        <v>426</v>
      </c>
      <c r="B15" s="160">
        <v>25</v>
      </c>
      <c r="C15" s="161">
        <v>25</v>
      </c>
      <c r="D15" s="160">
        <v>0</v>
      </c>
      <c r="E15" s="160">
        <v>0</v>
      </c>
      <c r="F15" s="160">
        <v>0</v>
      </c>
      <c r="G15" s="162">
        <v>0</v>
      </c>
      <c r="H15" s="163">
        <v>4</v>
      </c>
      <c r="I15" s="163">
        <v>0</v>
      </c>
      <c r="J15" s="163">
        <v>0</v>
      </c>
      <c r="K15" s="164"/>
      <c r="L15" s="175" t="s">
        <v>427</v>
      </c>
      <c r="M15" s="175" t="s">
        <v>427</v>
      </c>
      <c r="N15" s="158"/>
      <c r="O15" s="158"/>
      <c r="P15" s="158"/>
      <c r="Q15" s="158"/>
      <c r="R15" s="158"/>
    </row>
    <row r="16" spans="1:18" ht="15" customHeight="1" x14ac:dyDescent="0.25">
      <c r="A16" s="176" t="s">
        <v>313</v>
      </c>
      <c r="B16" s="160">
        <v>30</v>
      </c>
      <c r="C16" s="161">
        <v>29</v>
      </c>
      <c r="D16" s="160">
        <v>41</v>
      </c>
      <c r="E16" s="160">
        <v>54</v>
      </c>
      <c r="F16" s="160">
        <v>61</v>
      </c>
      <c r="G16" s="162">
        <v>0</v>
      </c>
      <c r="H16" s="163">
        <v>5</v>
      </c>
      <c r="I16" s="163">
        <v>8</v>
      </c>
      <c r="J16" s="163">
        <v>11</v>
      </c>
      <c r="K16" s="164"/>
      <c r="L16" s="165">
        <v>3.5</v>
      </c>
      <c r="M16" s="165">
        <v>2.4</v>
      </c>
      <c r="N16" s="158"/>
      <c r="O16" s="158"/>
      <c r="P16" s="158"/>
      <c r="Q16" s="158"/>
      <c r="R16" s="158"/>
    </row>
    <row r="17" spans="1:18" ht="15" customHeight="1" x14ac:dyDescent="0.25">
      <c r="A17" s="176" t="s">
        <v>428</v>
      </c>
      <c r="B17" s="160">
        <v>139</v>
      </c>
      <c r="C17" s="161">
        <v>136</v>
      </c>
      <c r="D17" s="160">
        <v>116</v>
      </c>
      <c r="E17" s="160">
        <v>44</v>
      </c>
      <c r="F17" s="160">
        <v>17</v>
      </c>
      <c r="G17" s="162">
        <v>0</v>
      </c>
      <c r="H17" s="163">
        <v>23</v>
      </c>
      <c r="I17" s="163">
        <v>21</v>
      </c>
      <c r="J17" s="163">
        <v>3</v>
      </c>
      <c r="K17" s="164"/>
      <c r="L17" s="165">
        <v>-1.6</v>
      </c>
      <c r="M17" s="165">
        <v>-6.6</v>
      </c>
      <c r="N17" s="158"/>
      <c r="O17" s="158"/>
      <c r="P17" s="158"/>
      <c r="Q17" s="158"/>
      <c r="R17" s="158"/>
    </row>
    <row r="18" spans="1:18" ht="15" customHeight="1" x14ac:dyDescent="0.25">
      <c r="A18" s="176" t="s">
        <v>429</v>
      </c>
      <c r="B18" s="160">
        <v>0</v>
      </c>
      <c r="C18" s="161">
        <v>1</v>
      </c>
      <c r="D18" s="160">
        <v>13</v>
      </c>
      <c r="E18" s="160">
        <v>31</v>
      </c>
      <c r="F18" s="160">
        <v>43</v>
      </c>
      <c r="G18" s="162">
        <v>0</v>
      </c>
      <c r="H18" s="177">
        <v>0</v>
      </c>
      <c r="I18" s="163">
        <v>2</v>
      </c>
      <c r="J18" s="163">
        <v>8</v>
      </c>
      <c r="K18" s="164"/>
      <c r="L18" s="178">
        <v>37</v>
      </c>
      <c r="M18" s="178">
        <v>16</v>
      </c>
      <c r="N18" s="158"/>
      <c r="O18" s="158"/>
      <c r="P18" s="158"/>
      <c r="Q18" s="158"/>
      <c r="R18" s="158"/>
    </row>
    <row r="19" spans="1:18" ht="15" customHeight="1" x14ac:dyDescent="0.25">
      <c r="A19" s="176" t="s">
        <v>309</v>
      </c>
      <c r="B19" s="160">
        <v>190</v>
      </c>
      <c r="C19" s="161">
        <v>173</v>
      </c>
      <c r="D19" s="160">
        <v>137</v>
      </c>
      <c r="E19" s="160">
        <v>79</v>
      </c>
      <c r="F19" s="160">
        <v>42</v>
      </c>
      <c r="G19" s="162">
        <v>0</v>
      </c>
      <c r="H19" s="163">
        <v>29</v>
      </c>
      <c r="I19" s="163">
        <v>25</v>
      </c>
      <c r="J19" s="163">
        <v>8</v>
      </c>
      <c r="K19" s="164"/>
      <c r="L19" s="165">
        <v>-2.2999999999999998</v>
      </c>
      <c r="M19" s="165">
        <v>-4.5999999999999996</v>
      </c>
      <c r="N19" s="158"/>
      <c r="O19" s="158"/>
      <c r="P19" s="158"/>
      <c r="Q19" s="158"/>
      <c r="R19" s="158"/>
    </row>
    <row r="20" spans="1:18" ht="15" customHeight="1" x14ac:dyDescent="0.25">
      <c r="A20" s="166" t="s">
        <v>430</v>
      </c>
      <c r="B20" s="167">
        <v>28</v>
      </c>
      <c r="C20" s="168">
        <v>27</v>
      </c>
      <c r="D20" s="167">
        <v>32</v>
      </c>
      <c r="E20" s="167">
        <v>31</v>
      </c>
      <c r="F20" s="167">
        <v>29</v>
      </c>
      <c r="G20" s="169">
        <v>0</v>
      </c>
      <c r="H20" s="170">
        <v>5</v>
      </c>
      <c r="I20" s="170">
        <v>6</v>
      </c>
      <c r="J20" s="170">
        <v>5</v>
      </c>
      <c r="K20" s="171"/>
      <c r="L20" s="173">
        <v>1.4</v>
      </c>
      <c r="M20" s="173">
        <v>0.2</v>
      </c>
      <c r="N20" s="158"/>
      <c r="O20" s="158"/>
      <c r="P20" s="158"/>
      <c r="Q20" s="158"/>
      <c r="R20" s="158"/>
    </row>
    <row r="21" spans="1:18" ht="15" customHeight="1" x14ac:dyDescent="0.25">
      <c r="A21" s="159" t="s">
        <v>431</v>
      </c>
      <c r="B21" s="160">
        <v>160</v>
      </c>
      <c r="C21" s="161">
        <v>154</v>
      </c>
      <c r="D21" s="160">
        <v>68</v>
      </c>
      <c r="E21" s="160">
        <v>16</v>
      </c>
      <c r="F21" s="160">
        <v>3</v>
      </c>
      <c r="G21" s="162">
        <v>0</v>
      </c>
      <c r="H21" s="163">
        <v>26</v>
      </c>
      <c r="I21" s="163">
        <v>12</v>
      </c>
      <c r="J21" s="163">
        <v>1</v>
      </c>
      <c r="K21" s="164"/>
      <c r="L21" s="165">
        <v>-7.9</v>
      </c>
      <c r="M21" s="178">
        <v>-12</v>
      </c>
      <c r="N21" s="158"/>
      <c r="O21" s="158"/>
      <c r="P21" s="158"/>
      <c r="Q21" s="158"/>
      <c r="R21" s="158"/>
    </row>
    <row r="22" spans="1:18" s="188" customFormat="1" ht="15" customHeight="1" x14ac:dyDescent="0.25">
      <c r="A22" s="179" t="s">
        <v>432</v>
      </c>
      <c r="B22" s="180">
        <v>0</v>
      </c>
      <c r="C22" s="181">
        <v>0</v>
      </c>
      <c r="D22" s="182">
        <v>4</v>
      </c>
      <c r="E22" s="182">
        <v>16</v>
      </c>
      <c r="F22" s="182">
        <v>14</v>
      </c>
      <c r="G22" s="183">
        <v>0</v>
      </c>
      <c r="H22" s="184">
        <v>0</v>
      </c>
      <c r="I22" s="185">
        <v>1</v>
      </c>
      <c r="J22" s="185">
        <v>3</v>
      </c>
      <c r="K22" s="186"/>
      <c r="L22" s="187">
        <v>60</v>
      </c>
      <c r="M22" s="187">
        <v>22</v>
      </c>
      <c r="N22" s="158"/>
      <c r="O22" s="158"/>
      <c r="P22" s="158"/>
      <c r="Q22" s="158"/>
      <c r="R22" s="158"/>
    </row>
    <row r="23" spans="1:18" ht="15" customHeight="1" x14ac:dyDescent="0.25">
      <c r="A23" s="189" t="s">
        <v>433</v>
      </c>
      <c r="B23" s="190">
        <v>233</v>
      </c>
      <c r="C23" s="190">
        <v>230</v>
      </c>
      <c r="D23" s="190">
        <v>240</v>
      </c>
      <c r="E23" s="190">
        <v>308</v>
      </c>
      <c r="F23" s="190">
        <v>371</v>
      </c>
      <c r="G23" s="191">
        <v>0</v>
      </c>
      <c r="H23" s="192">
        <v>100</v>
      </c>
      <c r="I23" s="192">
        <v>100</v>
      </c>
      <c r="J23" s="192">
        <v>100</v>
      </c>
      <c r="K23" s="193"/>
      <c r="L23" s="194">
        <v>0.4</v>
      </c>
      <c r="M23" s="194">
        <v>1.6</v>
      </c>
      <c r="N23" s="158"/>
      <c r="O23" s="158"/>
      <c r="P23" s="158"/>
      <c r="Q23" s="158"/>
      <c r="R23" s="158"/>
    </row>
    <row r="24" spans="1:18" ht="15" customHeight="1" x14ac:dyDescent="0.25">
      <c r="A24" s="176" t="s">
        <v>421</v>
      </c>
      <c r="B24" s="160">
        <v>36</v>
      </c>
      <c r="C24" s="161">
        <v>38</v>
      </c>
      <c r="D24" s="160">
        <v>107</v>
      </c>
      <c r="E24" s="160">
        <v>220</v>
      </c>
      <c r="F24" s="160">
        <v>284</v>
      </c>
      <c r="G24" s="162">
        <v>0</v>
      </c>
      <c r="H24" s="163">
        <v>17</v>
      </c>
      <c r="I24" s="163">
        <v>44</v>
      </c>
      <c r="J24" s="163">
        <v>77</v>
      </c>
      <c r="K24" s="164"/>
      <c r="L24" s="178">
        <v>11</v>
      </c>
      <c r="M24" s="165">
        <v>6.9</v>
      </c>
      <c r="N24" s="158"/>
      <c r="O24" s="158"/>
      <c r="P24" s="158"/>
      <c r="Q24" s="158"/>
      <c r="R24" s="158"/>
    </row>
    <row r="25" spans="1:18" ht="15" customHeight="1" x14ac:dyDescent="0.25">
      <c r="A25" s="166" t="s">
        <v>340</v>
      </c>
      <c r="B25" s="167">
        <v>2</v>
      </c>
      <c r="C25" s="168">
        <v>3</v>
      </c>
      <c r="D25" s="167">
        <v>25</v>
      </c>
      <c r="E25" s="167">
        <v>61</v>
      </c>
      <c r="F25" s="167">
        <v>84</v>
      </c>
      <c r="G25" s="169">
        <v>0</v>
      </c>
      <c r="H25" s="170">
        <v>1</v>
      </c>
      <c r="I25" s="170">
        <v>10</v>
      </c>
      <c r="J25" s="170">
        <v>23</v>
      </c>
      <c r="K25" s="171"/>
      <c r="L25" s="172">
        <v>24</v>
      </c>
      <c r="M25" s="172">
        <v>12</v>
      </c>
      <c r="N25" s="158"/>
      <c r="O25" s="158"/>
      <c r="P25" s="158"/>
      <c r="Q25" s="158"/>
      <c r="R25" s="158"/>
    </row>
    <row r="26" spans="1:18" ht="15" customHeight="1" x14ac:dyDescent="0.25">
      <c r="A26" s="166" t="s">
        <v>339</v>
      </c>
      <c r="B26" s="167">
        <v>5</v>
      </c>
      <c r="C26" s="168">
        <v>6</v>
      </c>
      <c r="D26" s="167">
        <v>29</v>
      </c>
      <c r="E26" s="167">
        <v>67</v>
      </c>
      <c r="F26" s="167">
        <v>89</v>
      </c>
      <c r="G26" s="169">
        <v>0</v>
      </c>
      <c r="H26" s="170">
        <v>2</v>
      </c>
      <c r="I26" s="170">
        <v>12</v>
      </c>
      <c r="J26" s="170">
        <v>24</v>
      </c>
      <c r="K26" s="171"/>
      <c r="L26" s="172">
        <v>17</v>
      </c>
      <c r="M26" s="173">
        <v>9.6</v>
      </c>
      <c r="N26" s="158"/>
      <c r="O26" s="158"/>
      <c r="P26" s="158"/>
      <c r="Q26" s="158"/>
      <c r="R26" s="158"/>
    </row>
    <row r="27" spans="1:18" ht="15" customHeight="1" x14ac:dyDescent="0.25">
      <c r="A27" s="166" t="s">
        <v>317</v>
      </c>
      <c r="B27" s="167">
        <v>15</v>
      </c>
      <c r="C27" s="168">
        <v>16</v>
      </c>
      <c r="D27" s="167">
        <v>21</v>
      </c>
      <c r="E27" s="167">
        <v>27</v>
      </c>
      <c r="F27" s="167">
        <v>30</v>
      </c>
      <c r="G27" s="169">
        <v>0</v>
      </c>
      <c r="H27" s="170">
        <v>7</v>
      </c>
      <c r="I27" s="170">
        <v>9</v>
      </c>
      <c r="J27" s="170">
        <v>8</v>
      </c>
      <c r="K27" s="171"/>
      <c r="L27" s="173">
        <v>2.9</v>
      </c>
      <c r="M27" s="173">
        <v>2.2000000000000002</v>
      </c>
      <c r="N27" s="158"/>
      <c r="O27" s="158"/>
      <c r="P27" s="158"/>
      <c r="Q27" s="158"/>
      <c r="R27" s="158"/>
    </row>
    <row r="28" spans="1:18" ht="15" customHeight="1" x14ac:dyDescent="0.25">
      <c r="A28" s="166" t="s">
        <v>434</v>
      </c>
      <c r="B28" s="167">
        <v>9</v>
      </c>
      <c r="C28" s="168">
        <v>10</v>
      </c>
      <c r="D28" s="167">
        <v>18</v>
      </c>
      <c r="E28" s="167">
        <v>35</v>
      </c>
      <c r="F28" s="167">
        <v>39</v>
      </c>
      <c r="G28" s="169">
        <v>0</v>
      </c>
      <c r="H28" s="170">
        <v>4</v>
      </c>
      <c r="I28" s="170">
        <v>8</v>
      </c>
      <c r="J28" s="170">
        <v>10</v>
      </c>
      <c r="K28" s="171"/>
      <c r="L28" s="173">
        <v>6.3</v>
      </c>
      <c r="M28" s="173">
        <v>4.5999999999999996</v>
      </c>
      <c r="N28" s="158"/>
      <c r="O28" s="158"/>
      <c r="P28" s="158"/>
      <c r="Q28" s="158"/>
      <c r="R28" s="158"/>
    </row>
    <row r="29" spans="1:18" ht="15" customHeight="1" x14ac:dyDescent="0.25">
      <c r="A29" s="166" t="s">
        <v>323</v>
      </c>
      <c r="B29" s="167">
        <v>4</v>
      </c>
      <c r="C29" s="168">
        <v>4</v>
      </c>
      <c r="D29" s="167">
        <v>14</v>
      </c>
      <c r="E29" s="167">
        <v>30</v>
      </c>
      <c r="F29" s="167">
        <v>42</v>
      </c>
      <c r="G29" s="169">
        <v>0</v>
      </c>
      <c r="H29" s="170">
        <v>2</v>
      </c>
      <c r="I29" s="170">
        <v>6</v>
      </c>
      <c r="J29" s="170">
        <v>11</v>
      </c>
      <c r="K29" s="171"/>
      <c r="L29" s="172">
        <v>14</v>
      </c>
      <c r="M29" s="173">
        <v>8.5</v>
      </c>
      <c r="N29" s="158"/>
      <c r="O29" s="158"/>
      <c r="P29" s="158"/>
      <c r="Q29" s="158"/>
      <c r="R29" s="158"/>
    </row>
    <row r="30" spans="1:18" ht="15" customHeight="1" x14ac:dyDescent="0.25">
      <c r="A30" s="159" t="s">
        <v>343</v>
      </c>
      <c r="B30" s="160">
        <v>0</v>
      </c>
      <c r="C30" s="161">
        <v>0</v>
      </c>
      <c r="D30" s="160">
        <v>5</v>
      </c>
      <c r="E30" s="160">
        <v>11</v>
      </c>
      <c r="F30" s="160">
        <v>11</v>
      </c>
      <c r="G30" s="162">
        <v>0</v>
      </c>
      <c r="H30" s="163">
        <v>0</v>
      </c>
      <c r="I30" s="163">
        <v>2</v>
      </c>
      <c r="J30" s="163">
        <v>3</v>
      </c>
      <c r="K30" s="164"/>
      <c r="L30" s="175" t="s">
        <v>427</v>
      </c>
      <c r="M30" s="175" t="s">
        <v>427</v>
      </c>
      <c r="N30" s="158"/>
      <c r="O30" s="158"/>
      <c r="P30" s="158"/>
      <c r="Q30" s="158"/>
      <c r="R30" s="158"/>
    </row>
    <row r="31" spans="1:18" ht="15" customHeight="1" x14ac:dyDescent="0.25">
      <c r="A31" s="159" t="s">
        <v>74</v>
      </c>
      <c r="B31" s="160">
        <v>0</v>
      </c>
      <c r="C31" s="161">
        <v>0</v>
      </c>
      <c r="D31" s="160">
        <v>1</v>
      </c>
      <c r="E31" s="160">
        <v>2</v>
      </c>
      <c r="F31" s="160">
        <v>2</v>
      </c>
      <c r="G31" s="162">
        <v>0</v>
      </c>
      <c r="H31" s="163">
        <v>0</v>
      </c>
      <c r="I31" s="177">
        <v>0</v>
      </c>
      <c r="J31" s="177">
        <v>0</v>
      </c>
      <c r="K31" s="164"/>
      <c r="L31" s="175" t="s">
        <v>427</v>
      </c>
      <c r="M31" s="175" t="s">
        <v>427</v>
      </c>
      <c r="N31" s="158"/>
      <c r="O31" s="158"/>
      <c r="P31" s="158"/>
      <c r="Q31" s="158"/>
      <c r="R31" s="158"/>
    </row>
    <row r="32" spans="1:18" ht="15" customHeight="1" x14ac:dyDescent="0.25">
      <c r="A32" s="159" t="s">
        <v>313</v>
      </c>
      <c r="B32" s="160">
        <v>30</v>
      </c>
      <c r="C32" s="161">
        <v>29</v>
      </c>
      <c r="D32" s="160">
        <v>41</v>
      </c>
      <c r="E32" s="160">
        <v>54</v>
      </c>
      <c r="F32" s="160">
        <v>61</v>
      </c>
      <c r="G32" s="162">
        <v>0</v>
      </c>
      <c r="H32" s="163">
        <v>13</v>
      </c>
      <c r="I32" s="163">
        <v>17</v>
      </c>
      <c r="J32" s="163">
        <v>16</v>
      </c>
      <c r="K32" s="164"/>
      <c r="L32" s="165">
        <v>3.5</v>
      </c>
      <c r="M32" s="165">
        <v>2.4</v>
      </c>
      <c r="N32" s="158"/>
      <c r="O32" s="158"/>
      <c r="P32" s="158"/>
      <c r="Q32" s="158"/>
      <c r="R32" s="158"/>
    </row>
    <row r="33" spans="1:27" ht="15" customHeight="1" x14ac:dyDescent="0.25">
      <c r="A33" s="159" t="s">
        <v>428</v>
      </c>
      <c r="B33" s="160">
        <v>56</v>
      </c>
      <c r="C33" s="161">
        <v>55</v>
      </c>
      <c r="D33" s="160">
        <v>49</v>
      </c>
      <c r="E33" s="160">
        <v>4</v>
      </c>
      <c r="F33" s="160">
        <v>2</v>
      </c>
      <c r="G33" s="162">
        <v>0</v>
      </c>
      <c r="H33" s="163">
        <v>24</v>
      </c>
      <c r="I33" s="163">
        <v>21</v>
      </c>
      <c r="J33" s="177">
        <v>0</v>
      </c>
      <c r="K33" s="164"/>
      <c r="L33" s="165">
        <v>-1.1000000000000001</v>
      </c>
      <c r="M33" s="178">
        <v>-11</v>
      </c>
      <c r="N33" s="158"/>
      <c r="O33" s="158"/>
      <c r="P33" s="158"/>
      <c r="Q33" s="158"/>
      <c r="R33" s="158"/>
    </row>
    <row r="34" spans="1:27" ht="15" customHeight="1" x14ac:dyDescent="0.25">
      <c r="A34" s="159" t="s">
        <v>429</v>
      </c>
      <c r="B34" s="160">
        <v>0</v>
      </c>
      <c r="C34" s="161">
        <v>0</v>
      </c>
      <c r="D34" s="160">
        <v>1</v>
      </c>
      <c r="E34" s="160">
        <v>5</v>
      </c>
      <c r="F34" s="160">
        <v>5</v>
      </c>
      <c r="G34" s="162">
        <v>0</v>
      </c>
      <c r="H34" s="163">
        <v>0</v>
      </c>
      <c r="I34" s="163">
        <v>1</v>
      </c>
      <c r="J34" s="163">
        <v>1</v>
      </c>
      <c r="K34" s="164"/>
      <c r="L34" s="175" t="s">
        <v>427</v>
      </c>
      <c r="M34" s="175" t="s">
        <v>427</v>
      </c>
      <c r="N34" s="158"/>
      <c r="O34" s="158"/>
      <c r="P34" s="158"/>
      <c r="Q34" s="158"/>
      <c r="R34" s="158"/>
    </row>
    <row r="35" spans="1:27" ht="15" customHeight="1" x14ac:dyDescent="0.25">
      <c r="A35" s="159" t="s">
        <v>309</v>
      </c>
      <c r="B35" s="160">
        <v>9</v>
      </c>
      <c r="C35" s="161">
        <v>8</v>
      </c>
      <c r="D35" s="160">
        <v>2</v>
      </c>
      <c r="E35" s="195">
        <v>0</v>
      </c>
      <c r="F35" s="195">
        <v>0</v>
      </c>
      <c r="G35" s="162">
        <v>0</v>
      </c>
      <c r="H35" s="163">
        <v>4</v>
      </c>
      <c r="I35" s="163">
        <v>1</v>
      </c>
      <c r="J35" s="177">
        <v>0</v>
      </c>
      <c r="K35" s="164"/>
      <c r="L35" s="178">
        <v>-12</v>
      </c>
      <c r="M35" s="178">
        <v>-14</v>
      </c>
      <c r="N35" s="158"/>
      <c r="O35" s="158"/>
      <c r="P35" s="158"/>
      <c r="Q35" s="158"/>
      <c r="R35" s="158"/>
    </row>
    <row r="36" spans="1:27" ht="15" customHeight="1" x14ac:dyDescent="0.25">
      <c r="A36" s="159" t="s">
        <v>431</v>
      </c>
      <c r="B36" s="160">
        <v>102</v>
      </c>
      <c r="C36" s="161">
        <v>100</v>
      </c>
      <c r="D36" s="160">
        <v>30</v>
      </c>
      <c r="E36" s="195">
        <v>0</v>
      </c>
      <c r="F36" s="195">
        <v>0</v>
      </c>
      <c r="G36" s="162">
        <v>0</v>
      </c>
      <c r="H36" s="163">
        <v>43</v>
      </c>
      <c r="I36" s="163">
        <v>12</v>
      </c>
      <c r="J36" s="177">
        <v>0</v>
      </c>
      <c r="K36" s="164"/>
      <c r="L36" s="178">
        <v>-11</v>
      </c>
      <c r="M36" s="178">
        <v>-34</v>
      </c>
      <c r="N36" s="158"/>
      <c r="O36" s="158"/>
      <c r="P36" s="158"/>
      <c r="Q36" s="158"/>
      <c r="R36" s="158"/>
    </row>
    <row r="37" spans="1:27" ht="15" customHeight="1" x14ac:dyDescent="0.25">
      <c r="A37" s="196" t="s">
        <v>432</v>
      </c>
      <c r="B37" s="180">
        <v>0</v>
      </c>
      <c r="C37" s="181">
        <v>0</v>
      </c>
      <c r="D37" s="182">
        <v>3</v>
      </c>
      <c r="E37" s="182">
        <v>10</v>
      </c>
      <c r="F37" s="182">
        <v>7</v>
      </c>
      <c r="G37" s="183">
        <v>0</v>
      </c>
      <c r="H37" s="184">
        <v>0</v>
      </c>
      <c r="I37" s="185">
        <v>1</v>
      </c>
      <c r="J37" s="185">
        <v>2</v>
      </c>
      <c r="K37" s="186"/>
      <c r="L37" s="187">
        <v>55</v>
      </c>
      <c r="M37" s="187">
        <v>19</v>
      </c>
      <c r="N37" s="158"/>
      <c r="O37" s="158"/>
      <c r="P37" s="158"/>
      <c r="Q37" s="158"/>
      <c r="R37" s="158"/>
    </row>
    <row r="38" spans="1:27" ht="15" customHeight="1" x14ac:dyDescent="0.25">
      <c r="A38" s="152" t="s">
        <v>435</v>
      </c>
      <c r="B38" s="153">
        <v>57</v>
      </c>
      <c r="C38" s="153">
        <v>57</v>
      </c>
      <c r="D38" s="153">
        <v>61</v>
      </c>
      <c r="E38" s="153">
        <v>76</v>
      </c>
      <c r="F38" s="153">
        <v>91</v>
      </c>
      <c r="G38" s="154">
        <v>0</v>
      </c>
      <c r="H38" s="155">
        <v>100</v>
      </c>
      <c r="I38" s="155">
        <v>100</v>
      </c>
      <c r="J38" s="155">
        <v>100</v>
      </c>
      <c r="K38" s="156"/>
      <c r="L38" s="157">
        <v>0.7</v>
      </c>
      <c r="M38" s="194">
        <v>1.5</v>
      </c>
      <c r="N38" s="158"/>
      <c r="O38" s="158"/>
      <c r="P38" s="158"/>
      <c r="Q38" s="158"/>
      <c r="R38" s="158"/>
    </row>
    <row r="39" spans="1:27" ht="15" customHeight="1" x14ac:dyDescent="0.25">
      <c r="A39" s="159" t="s">
        <v>436</v>
      </c>
      <c r="B39" s="160">
        <v>0</v>
      </c>
      <c r="C39" s="197">
        <v>0</v>
      </c>
      <c r="D39" s="160">
        <v>21</v>
      </c>
      <c r="E39" s="160">
        <v>49</v>
      </c>
      <c r="F39" s="160">
        <v>70</v>
      </c>
      <c r="G39" s="162">
        <v>0</v>
      </c>
      <c r="H39" s="198">
        <v>0</v>
      </c>
      <c r="I39" s="163">
        <v>35</v>
      </c>
      <c r="J39" s="163">
        <v>77</v>
      </c>
      <c r="K39" s="164"/>
      <c r="L39" s="178">
        <v>66</v>
      </c>
      <c r="M39" s="178">
        <v>23</v>
      </c>
      <c r="N39" s="158"/>
      <c r="O39" s="158"/>
      <c r="P39" s="158"/>
      <c r="Q39" s="158"/>
      <c r="R39" s="158"/>
    </row>
    <row r="40" spans="1:27" s="206" customFormat="1" ht="15" customHeight="1" thickBot="1" x14ac:dyDescent="0.3">
      <c r="A40" s="199" t="s">
        <v>437</v>
      </c>
      <c r="B40" s="200">
        <v>5</v>
      </c>
      <c r="C40" s="201">
        <v>6</v>
      </c>
      <c r="D40" s="200">
        <v>12</v>
      </c>
      <c r="E40" s="200">
        <v>15</v>
      </c>
      <c r="F40" s="200">
        <v>12</v>
      </c>
      <c r="G40" s="202">
        <v>0</v>
      </c>
      <c r="H40" s="203">
        <v>10</v>
      </c>
      <c r="I40" s="203">
        <v>20</v>
      </c>
      <c r="J40" s="203">
        <v>13</v>
      </c>
      <c r="K40" s="204"/>
      <c r="L40" s="205">
        <v>8.3000000000000007</v>
      </c>
      <c r="M40" s="205">
        <v>2.7</v>
      </c>
      <c r="N40" s="158"/>
      <c r="O40" s="158"/>
      <c r="P40" s="158"/>
      <c r="Q40" s="158"/>
      <c r="R40" s="158"/>
    </row>
    <row r="41" spans="1:27" s="134" customFormat="1" ht="42.75" customHeight="1" x14ac:dyDescent="0.25">
      <c r="A41" s="666" t="s">
        <v>438</v>
      </c>
      <c r="B41" s="666"/>
      <c r="C41" s="666"/>
      <c r="D41" s="666"/>
      <c r="E41" s="666"/>
      <c r="F41" s="666"/>
      <c r="G41" s="666"/>
      <c r="H41" s="666"/>
      <c r="I41" s="666"/>
      <c r="J41" s="666"/>
      <c r="K41" s="666"/>
      <c r="L41" s="666"/>
      <c r="M41" s="666"/>
    </row>
    <row r="42" spans="1:27" s="138" customFormat="1" ht="12" customHeight="1" x14ac:dyDescent="0.25">
      <c r="A42" s="135"/>
      <c r="B42" s="136" t="s">
        <v>415</v>
      </c>
      <c r="C42" s="136" t="s">
        <v>415</v>
      </c>
      <c r="D42" s="136" t="s">
        <v>415</v>
      </c>
      <c r="E42" s="136" t="s">
        <v>415</v>
      </c>
      <c r="F42" s="136" t="s">
        <v>415</v>
      </c>
      <c r="G42" s="136"/>
      <c r="H42" s="135"/>
      <c r="I42" s="135"/>
      <c r="J42" s="135"/>
      <c r="K42" s="135"/>
      <c r="L42" s="137">
        <v>10</v>
      </c>
      <c r="M42" s="137">
        <v>30</v>
      </c>
    </row>
    <row r="43" spans="1:27" s="142" customFormat="1" ht="12" customHeight="1" x14ac:dyDescent="0.25">
      <c r="A43" s="139" t="s">
        <v>439</v>
      </c>
      <c r="B43" s="140"/>
      <c r="C43" s="207"/>
      <c r="D43" s="207"/>
      <c r="E43" s="207"/>
      <c r="F43" s="207"/>
      <c r="G43" s="207"/>
      <c r="H43" s="207"/>
      <c r="I43" s="207"/>
      <c r="J43" s="207"/>
      <c r="K43" s="207"/>
      <c r="L43" s="207"/>
      <c r="M43" s="207"/>
    </row>
    <row r="44" spans="1:27" ht="15" customHeight="1" x14ac:dyDescent="0.25">
      <c r="A44" s="143"/>
      <c r="B44" s="144" t="s">
        <v>440</v>
      </c>
      <c r="C44" s="144"/>
      <c r="D44" s="144"/>
      <c r="E44" s="144"/>
      <c r="F44" s="144"/>
      <c r="G44" s="144"/>
      <c r="H44" s="145" t="s">
        <v>417</v>
      </c>
      <c r="I44" s="145"/>
      <c r="J44" s="146"/>
      <c r="K44" s="146"/>
      <c r="L44" s="145" t="s">
        <v>441</v>
      </c>
      <c r="M44" s="145"/>
      <c r="O44" s="143"/>
      <c r="P44" s="144" t="s">
        <v>440</v>
      </c>
      <c r="Q44" s="144"/>
      <c r="R44" s="144"/>
      <c r="S44" s="144"/>
      <c r="T44" s="144"/>
      <c r="U44" s="144"/>
      <c r="V44" s="145" t="s">
        <v>417</v>
      </c>
      <c r="W44" s="145"/>
      <c r="X44" s="146"/>
      <c r="Y44" s="146"/>
      <c r="Z44" s="145" t="s">
        <v>441</v>
      </c>
      <c r="AA44" s="145"/>
    </row>
    <row r="45" spans="1:27" ht="24" x14ac:dyDescent="0.25">
      <c r="A45" s="148"/>
      <c r="B45" s="149">
        <v>2019</v>
      </c>
      <c r="C45" s="149">
        <v>2020</v>
      </c>
      <c r="D45" s="149">
        <v>2030</v>
      </c>
      <c r="E45" s="149">
        <v>2040</v>
      </c>
      <c r="F45" s="149">
        <v>2050</v>
      </c>
      <c r="G45" s="208"/>
      <c r="H45" s="149">
        <v>2020</v>
      </c>
      <c r="I45" s="149">
        <v>2030</v>
      </c>
      <c r="J45" s="149">
        <v>2050</v>
      </c>
      <c r="K45" s="209"/>
      <c r="L45" s="151" t="s">
        <v>419</v>
      </c>
      <c r="M45" s="151" t="s">
        <v>299</v>
      </c>
      <c r="O45" s="148"/>
      <c r="P45" s="149">
        <v>2019</v>
      </c>
      <c r="Q45" s="149">
        <v>2020</v>
      </c>
      <c r="R45" s="149">
        <v>2030</v>
      </c>
      <c r="S45" s="149">
        <v>2040</v>
      </c>
      <c r="T45" s="149">
        <v>2050</v>
      </c>
      <c r="U45" s="208"/>
      <c r="V45" s="149">
        <v>2020</v>
      </c>
      <c r="W45" s="149">
        <v>2030</v>
      </c>
      <c r="X45" s="149">
        <v>2050</v>
      </c>
      <c r="Y45" s="209"/>
      <c r="Z45" s="151" t="s">
        <v>419</v>
      </c>
      <c r="AA45" s="151" t="s">
        <v>299</v>
      </c>
    </row>
    <row r="46" spans="1:27" ht="15" customHeight="1" x14ac:dyDescent="0.25">
      <c r="A46" s="152" t="s">
        <v>442</v>
      </c>
      <c r="B46" s="153">
        <v>435</v>
      </c>
      <c r="C46" s="153">
        <v>412</v>
      </c>
      <c r="D46" s="153">
        <v>394</v>
      </c>
      <c r="E46" s="153">
        <v>363</v>
      </c>
      <c r="F46" s="153">
        <v>344</v>
      </c>
      <c r="G46" s="154">
        <v>0</v>
      </c>
      <c r="H46" s="155">
        <v>100</v>
      </c>
      <c r="I46" s="155">
        <v>100</v>
      </c>
      <c r="J46" s="155">
        <v>100</v>
      </c>
      <c r="K46" s="210">
        <v>0</v>
      </c>
      <c r="L46" s="211">
        <v>-0.4</v>
      </c>
      <c r="M46" s="157">
        <v>-0.6</v>
      </c>
      <c r="O46" s="152" t="s">
        <v>389</v>
      </c>
      <c r="P46" s="153">
        <v>122</v>
      </c>
      <c r="Q46" s="153">
        <v>105</v>
      </c>
      <c r="R46" s="153">
        <v>102</v>
      </c>
      <c r="S46" s="153">
        <v>85</v>
      </c>
      <c r="T46" s="153">
        <v>80</v>
      </c>
      <c r="U46" s="154">
        <v>0</v>
      </c>
      <c r="V46" s="155">
        <v>100</v>
      </c>
      <c r="W46" s="155">
        <v>100</v>
      </c>
      <c r="X46" s="155">
        <v>100</v>
      </c>
      <c r="Y46" s="210">
        <v>0</v>
      </c>
      <c r="Z46" s="211">
        <v>-0.3</v>
      </c>
      <c r="AA46" s="157">
        <v>-0.9</v>
      </c>
    </row>
    <row r="47" spans="1:27" ht="15" customHeight="1" x14ac:dyDescent="0.25">
      <c r="A47" s="159" t="s">
        <v>255</v>
      </c>
      <c r="B47" s="160">
        <v>82</v>
      </c>
      <c r="C47" s="161">
        <v>81</v>
      </c>
      <c r="D47" s="160">
        <v>103</v>
      </c>
      <c r="E47" s="160">
        <v>140</v>
      </c>
      <c r="F47" s="160">
        <v>169</v>
      </c>
      <c r="G47" s="162">
        <v>0</v>
      </c>
      <c r="H47" s="163">
        <v>20</v>
      </c>
      <c r="I47" s="163">
        <v>26</v>
      </c>
      <c r="J47" s="163">
        <v>49</v>
      </c>
      <c r="K47" s="212">
        <v>0</v>
      </c>
      <c r="L47" s="213">
        <v>2.4</v>
      </c>
      <c r="M47" s="165">
        <v>2.5</v>
      </c>
      <c r="O47" s="159" t="s">
        <v>255</v>
      </c>
      <c r="P47" s="160">
        <v>1</v>
      </c>
      <c r="Q47" s="161">
        <v>1</v>
      </c>
      <c r="R47" s="160">
        <v>7</v>
      </c>
      <c r="S47" s="160">
        <v>22</v>
      </c>
      <c r="T47" s="160">
        <v>35</v>
      </c>
      <c r="U47" s="162">
        <v>0</v>
      </c>
      <c r="V47" s="163">
        <v>1</v>
      </c>
      <c r="W47" s="163">
        <v>7</v>
      </c>
      <c r="X47" s="163">
        <v>44</v>
      </c>
      <c r="Y47" s="212">
        <v>0</v>
      </c>
      <c r="Z47" s="214">
        <v>17</v>
      </c>
      <c r="AA47" s="178">
        <v>11</v>
      </c>
    </row>
    <row r="48" spans="1:27" ht="15" customHeight="1" x14ac:dyDescent="0.25">
      <c r="A48" s="159" t="s">
        <v>443</v>
      </c>
      <c r="B48" s="160">
        <v>175</v>
      </c>
      <c r="C48" s="161">
        <v>158</v>
      </c>
      <c r="D48" s="160">
        <v>143</v>
      </c>
      <c r="E48" s="160">
        <v>96</v>
      </c>
      <c r="F48" s="160">
        <v>66</v>
      </c>
      <c r="G48" s="162">
        <v>0</v>
      </c>
      <c r="H48" s="163">
        <v>38</v>
      </c>
      <c r="I48" s="163">
        <v>36</v>
      </c>
      <c r="J48" s="163">
        <v>19</v>
      </c>
      <c r="K48" s="212">
        <v>0</v>
      </c>
      <c r="L48" s="213">
        <v>-1</v>
      </c>
      <c r="M48" s="165">
        <v>-2.9</v>
      </c>
      <c r="O48" s="159" t="s">
        <v>443</v>
      </c>
      <c r="P48" s="160">
        <v>115</v>
      </c>
      <c r="Q48" s="161">
        <v>99</v>
      </c>
      <c r="R48" s="160">
        <v>89</v>
      </c>
      <c r="S48" s="160">
        <v>53</v>
      </c>
      <c r="T48" s="160">
        <v>30</v>
      </c>
      <c r="U48" s="162">
        <v>0</v>
      </c>
      <c r="V48" s="163">
        <v>94</v>
      </c>
      <c r="W48" s="163">
        <v>87</v>
      </c>
      <c r="X48" s="163">
        <v>38</v>
      </c>
      <c r="Y48" s="212">
        <v>0</v>
      </c>
      <c r="Z48" s="213">
        <v>-1</v>
      </c>
      <c r="AA48" s="165">
        <v>-3.9</v>
      </c>
    </row>
    <row r="49" spans="1:27" s="206" customFormat="1" ht="15" customHeight="1" x14ac:dyDescent="0.25">
      <c r="A49" s="166" t="s">
        <v>444</v>
      </c>
      <c r="B49" s="167">
        <v>4</v>
      </c>
      <c r="C49" s="168">
        <v>3</v>
      </c>
      <c r="D49" s="167">
        <v>12</v>
      </c>
      <c r="E49" s="167">
        <v>14</v>
      </c>
      <c r="F49" s="167">
        <v>15</v>
      </c>
      <c r="G49" s="169">
        <v>0</v>
      </c>
      <c r="H49" s="170">
        <v>1</v>
      </c>
      <c r="I49" s="170">
        <v>3</v>
      </c>
      <c r="J49" s="170">
        <v>4</v>
      </c>
      <c r="K49" s="215">
        <v>0</v>
      </c>
      <c r="L49" s="216">
        <v>14</v>
      </c>
      <c r="M49" s="173">
        <v>4.9000000000000004</v>
      </c>
      <c r="N49" s="147"/>
      <c r="O49" s="217" t="s">
        <v>444</v>
      </c>
      <c r="P49" s="167">
        <v>4.0244064331054688</v>
      </c>
      <c r="Q49" s="168">
        <v>3.2081572423173834</v>
      </c>
      <c r="R49" s="167">
        <v>11.46739387512207</v>
      </c>
      <c r="S49" s="167">
        <v>11.951639175415039</v>
      </c>
      <c r="T49" s="167">
        <v>11.377335548400879</v>
      </c>
      <c r="U49" s="169"/>
      <c r="V49" s="170">
        <v>3.0482218097411815</v>
      </c>
      <c r="W49" s="170">
        <v>11.203995858174608</v>
      </c>
      <c r="X49" s="170">
        <v>14.302939984053603</v>
      </c>
      <c r="Y49" s="215"/>
      <c r="Z49" s="216">
        <v>13.584980636978461</v>
      </c>
      <c r="AA49" s="173">
        <v>4.3100525069406537</v>
      </c>
    </row>
    <row r="50" spans="1:27" s="206" customFormat="1" ht="15" customHeight="1" x14ac:dyDescent="0.25">
      <c r="A50" s="166" t="s">
        <v>74</v>
      </c>
      <c r="B50" s="167">
        <v>0</v>
      </c>
      <c r="C50" s="168">
        <v>0</v>
      </c>
      <c r="D50" s="167">
        <v>1</v>
      </c>
      <c r="E50" s="167">
        <v>3</v>
      </c>
      <c r="F50" s="167">
        <v>5</v>
      </c>
      <c r="G50" s="169">
        <v>0</v>
      </c>
      <c r="H50" s="170">
        <v>0</v>
      </c>
      <c r="I50" s="174">
        <v>0</v>
      </c>
      <c r="J50" s="170">
        <v>1</v>
      </c>
      <c r="K50" s="215">
        <v>0</v>
      </c>
      <c r="L50" s="218" t="s">
        <v>445</v>
      </c>
      <c r="M50" s="219" t="s">
        <v>445</v>
      </c>
      <c r="N50" s="147"/>
      <c r="O50" s="217" t="s">
        <v>309</v>
      </c>
      <c r="P50" s="167">
        <v>111</v>
      </c>
      <c r="Q50" s="168">
        <v>96</v>
      </c>
      <c r="R50" s="167">
        <v>76</v>
      </c>
      <c r="S50" s="167">
        <v>35</v>
      </c>
      <c r="T50" s="167">
        <v>9</v>
      </c>
      <c r="U50" s="169">
        <v>0</v>
      </c>
      <c r="V50" s="170">
        <v>91</v>
      </c>
      <c r="W50" s="170">
        <v>74</v>
      </c>
      <c r="X50" s="170">
        <v>12</v>
      </c>
      <c r="Y50" s="215">
        <v>0</v>
      </c>
      <c r="Z50" s="220">
        <v>-2.2000000000000002</v>
      </c>
      <c r="AA50" s="173">
        <v>-7.4</v>
      </c>
    </row>
    <row r="51" spans="1:27" s="206" customFormat="1" ht="15" customHeight="1" x14ac:dyDescent="0.25">
      <c r="A51" s="166" t="s">
        <v>446</v>
      </c>
      <c r="B51" s="167">
        <v>0</v>
      </c>
      <c r="C51" s="168">
        <v>0</v>
      </c>
      <c r="D51" s="221">
        <v>0</v>
      </c>
      <c r="E51" s="167">
        <v>2</v>
      </c>
      <c r="F51" s="167">
        <v>5</v>
      </c>
      <c r="G51" s="169">
        <v>0</v>
      </c>
      <c r="H51" s="170">
        <v>0</v>
      </c>
      <c r="I51" s="174">
        <v>0</v>
      </c>
      <c r="J51" s="170">
        <v>1</v>
      </c>
      <c r="K51" s="215">
        <v>0</v>
      </c>
      <c r="L51" s="218" t="s">
        <v>445</v>
      </c>
      <c r="M51" s="219" t="s">
        <v>445</v>
      </c>
      <c r="N51" s="147"/>
      <c r="O51" s="159" t="s">
        <v>447</v>
      </c>
      <c r="P51" s="160">
        <v>5</v>
      </c>
      <c r="Q51" s="161">
        <v>5</v>
      </c>
      <c r="R51" s="160">
        <v>6</v>
      </c>
      <c r="S51" s="160">
        <v>10</v>
      </c>
      <c r="T51" s="160">
        <v>15</v>
      </c>
      <c r="U51" s="162">
        <v>0</v>
      </c>
      <c r="V51" s="163">
        <v>5</v>
      </c>
      <c r="W51" s="163">
        <v>6</v>
      </c>
      <c r="X51" s="163">
        <v>18</v>
      </c>
      <c r="Y51" s="212">
        <v>0</v>
      </c>
      <c r="Z51" s="213">
        <v>2.1</v>
      </c>
      <c r="AA51" s="165">
        <v>3.7</v>
      </c>
    </row>
    <row r="52" spans="1:27" s="206" customFormat="1" ht="15" customHeight="1" x14ac:dyDescent="0.25">
      <c r="A52" s="166" t="s">
        <v>309</v>
      </c>
      <c r="B52" s="167">
        <v>171</v>
      </c>
      <c r="C52" s="168">
        <v>154</v>
      </c>
      <c r="D52" s="167">
        <v>129</v>
      </c>
      <c r="E52" s="167">
        <v>77</v>
      </c>
      <c r="F52" s="167">
        <v>42</v>
      </c>
      <c r="G52" s="169">
        <v>0</v>
      </c>
      <c r="H52" s="170">
        <v>37</v>
      </c>
      <c r="I52" s="170">
        <v>33</v>
      </c>
      <c r="J52" s="170">
        <v>12</v>
      </c>
      <c r="K52" s="215">
        <v>0</v>
      </c>
      <c r="L52" s="220">
        <v>-1.8</v>
      </c>
      <c r="M52" s="173">
        <v>-4.2</v>
      </c>
      <c r="N52" s="147"/>
      <c r="O52" s="166" t="s">
        <v>448</v>
      </c>
      <c r="P52" s="222">
        <v>0</v>
      </c>
      <c r="Q52" s="223">
        <v>0</v>
      </c>
      <c r="R52" s="167">
        <v>1</v>
      </c>
      <c r="S52" s="167">
        <v>1</v>
      </c>
      <c r="T52" s="167">
        <v>2</v>
      </c>
      <c r="U52" s="169">
        <v>0</v>
      </c>
      <c r="V52" s="224">
        <v>0</v>
      </c>
      <c r="W52" s="224">
        <v>0</v>
      </c>
      <c r="X52" s="170">
        <v>2</v>
      </c>
      <c r="Y52" s="215">
        <v>0</v>
      </c>
      <c r="Z52" s="216">
        <v>23</v>
      </c>
      <c r="AA52" s="172">
        <v>11</v>
      </c>
    </row>
    <row r="53" spans="1:27" ht="15" customHeight="1" x14ac:dyDescent="0.25">
      <c r="A53" s="159" t="s">
        <v>447</v>
      </c>
      <c r="B53" s="160">
        <v>70</v>
      </c>
      <c r="C53" s="161">
        <v>68</v>
      </c>
      <c r="D53" s="160">
        <v>68</v>
      </c>
      <c r="E53" s="160">
        <v>60</v>
      </c>
      <c r="F53" s="160">
        <v>53</v>
      </c>
      <c r="G53" s="162">
        <v>0</v>
      </c>
      <c r="H53" s="163">
        <v>16</v>
      </c>
      <c r="I53" s="163">
        <v>17</v>
      </c>
      <c r="J53" s="163">
        <v>15</v>
      </c>
      <c r="K53" s="212">
        <v>0</v>
      </c>
      <c r="L53" s="213">
        <v>0.1</v>
      </c>
      <c r="M53" s="165">
        <v>-0.8</v>
      </c>
      <c r="O53" s="166" t="s">
        <v>343</v>
      </c>
      <c r="P53" s="222">
        <v>0</v>
      </c>
      <c r="Q53" s="223">
        <v>0</v>
      </c>
      <c r="R53" s="167">
        <v>1</v>
      </c>
      <c r="S53" s="167">
        <v>6</v>
      </c>
      <c r="T53" s="167">
        <v>13</v>
      </c>
      <c r="U53" s="169">
        <v>0</v>
      </c>
      <c r="V53" s="224">
        <v>0</v>
      </c>
      <c r="W53" s="170">
        <v>1</v>
      </c>
      <c r="X53" s="170">
        <v>16</v>
      </c>
      <c r="Y53" s="215">
        <v>0</v>
      </c>
      <c r="Z53" s="216">
        <v>92</v>
      </c>
      <c r="AA53" s="172">
        <v>34</v>
      </c>
    </row>
    <row r="54" spans="1:27" s="206" customFormat="1" ht="15" customHeight="1" x14ac:dyDescent="0.25">
      <c r="A54" s="166" t="s">
        <v>448</v>
      </c>
      <c r="B54" s="222">
        <v>0</v>
      </c>
      <c r="C54" s="223">
        <v>0</v>
      </c>
      <c r="D54" s="167">
        <v>2</v>
      </c>
      <c r="E54" s="167">
        <v>5</v>
      </c>
      <c r="F54" s="167">
        <v>8</v>
      </c>
      <c r="G54" s="169">
        <v>0</v>
      </c>
      <c r="H54" s="224">
        <v>0</v>
      </c>
      <c r="I54" s="170">
        <v>1</v>
      </c>
      <c r="J54" s="170">
        <v>2</v>
      </c>
      <c r="K54" s="215">
        <v>0</v>
      </c>
      <c r="L54" s="216">
        <v>25</v>
      </c>
      <c r="M54" s="172">
        <v>13</v>
      </c>
      <c r="N54" s="147"/>
      <c r="O54" s="217" t="s">
        <v>312</v>
      </c>
      <c r="P54" s="167">
        <v>5</v>
      </c>
      <c r="Q54" s="168">
        <v>5</v>
      </c>
      <c r="R54" s="167">
        <v>4</v>
      </c>
      <c r="S54" s="167">
        <v>2</v>
      </c>
      <c r="T54" s="222">
        <v>0</v>
      </c>
      <c r="U54" s="169">
        <v>0</v>
      </c>
      <c r="V54" s="170">
        <v>5</v>
      </c>
      <c r="W54" s="170">
        <v>4</v>
      </c>
      <c r="X54" s="170">
        <v>0</v>
      </c>
      <c r="Y54" s="215">
        <v>0</v>
      </c>
      <c r="Z54" s="220">
        <v>-1.5</v>
      </c>
      <c r="AA54" s="172">
        <v>12</v>
      </c>
    </row>
    <row r="55" spans="1:27" s="206" customFormat="1" ht="15" customHeight="1" x14ac:dyDescent="0.25">
      <c r="A55" s="166" t="s">
        <v>343</v>
      </c>
      <c r="B55" s="222">
        <v>0</v>
      </c>
      <c r="C55" s="223">
        <v>0</v>
      </c>
      <c r="D55" s="167">
        <v>6</v>
      </c>
      <c r="E55" s="167">
        <v>12</v>
      </c>
      <c r="F55" s="167">
        <v>20</v>
      </c>
      <c r="G55" s="169">
        <v>0</v>
      </c>
      <c r="H55" s="224">
        <v>0</v>
      </c>
      <c r="I55" s="170">
        <v>2</v>
      </c>
      <c r="J55" s="170">
        <v>6</v>
      </c>
      <c r="K55" s="215">
        <v>0</v>
      </c>
      <c r="L55" s="216">
        <v>54</v>
      </c>
      <c r="M55" s="172">
        <v>20</v>
      </c>
      <c r="N55" s="147"/>
      <c r="O55" s="225" t="s">
        <v>449</v>
      </c>
      <c r="P55" s="226">
        <v>90</v>
      </c>
      <c r="Q55" s="227">
        <v>81</v>
      </c>
      <c r="R55" s="226">
        <v>73</v>
      </c>
      <c r="S55" s="226">
        <v>57</v>
      </c>
      <c r="T55" s="226">
        <v>50</v>
      </c>
      <c r="U55" s="228">
        <v>0</v>
      </c>
      <c r="V55" s="229">
        <v>77</v>
      </c>
      <c r="W55" s="229">
        <v>72</v>
      </c>
      <c r="X55" s="229">
        <v>63</v>
      </c>
      <c r="Y55" s="230">
        <v>0</v>
      </c>
      <c r="Z55" s="231">
        <v>-0.9</v>
      </c>
      <c r="AA55" s="232">
        <v>-1.6</v>
      </c>
    </row>
    <row r="56" spans="1:27" s="206" customFormat="1" ht="15" customHeight="1" x14ac:dyDescent="0.25">
      <c r="A56" s="166" t="s">
        <v>450</v>
      </c>
      <c r="B56" s="167">
        <v>0</v>
      </c>
      <c r="C56" s="168">
        <v>0</v>
      </c>
      <c r="D56" s="222">
        <v>0</v>
      </c>
      <c r="E56" s="167">
        <v>1</v>
      </c>
      <c r="F56" s="167">
        <v>4</v>
      </c>
      <c r="G56" s="169">
        <v>0</v>
      </c>
      <c r="H56" s="170">
        <v>0</v>
      </c>
      <c r="I56" s="224">
        <v>0</v>
      </c>
      <c r="J56" s="170">
        <v>1</v>
      </c>
      <c r="K56" s="215">
        <v>0</v>
      </c>
      <c r="L56" s="218" t="s">
        <v>445</v>
      </c>
      <c r="M56" s="219" t="s">
        <v>445</v>
      </c>
      <c r="N56" s="147"/>
      <c r="O56" s="217" t="s">
        <v>451</v>
      </c>
      <c r="P56" s="167">
        <v>47</v>
      </c>
      <c r="Q56" s="168">
        <v>41</v>
      </c>
      <c r="R56" s="167">
        <v>30</v>
      </c>
      <c r="S56" s="167">
        <v>19</v>
      </c>
      <c r="T56" s="167">
        <v>17</v>
      </c>
      <c r="U56" s="169">
        <v>0</v>
      </c>
      <c r="V56" s="170">
        <v>39</v>
      </c>
      <c r="W56" s="170">
        <v>29</v>
      </c>
      <c r="X56" s="170">
        <v>21</v>
      </c>
      <c r="Y56" s="215">
        <v>0</v>
      </c>
      <c r="Z56" s="220">
        <v>-3.1</v>
      </c>
      <c r="AA56" s="173">
        <v>-2.9</v>
      </c>
    </row>
    <row r="57" spans="1:27" s="206" customFormat="1" ht="15" customHeight="1" x14ac:dyDescent="0.25">
      <c r="A57" s="166" t="s">
        <v>312</v>
      </c>
      <c r="B57" s="167">
        <v>70</v>
      </c>
      <c r="C57" s="168">
        <v>67</v>
      </c>
      <c r="D57" s="167">
        <v>58</v>
      </c>
      <c r="E57" s="167">
        <v>40</v>
      </c>
      <c r="F57" s="167">
        <v>20</v>
      </c>
      <c r="G57" s="169">
        <v>0</v>
      </c>
      <c r="H57" s="170">
        <v>16</v>
      </c>
      <c r="I57" s="170">
        <v>15</v>
      </c>
      <c r="J57" s="170">
        <v>6</v>
      </c>
      <c r="K57" s="215">
        <v>0</v>
      </c>
      <c r="L57" s="220">
        <v>-1.4</v>
      </c>
      <c r="M57" s="173">
        <v>-4</v>
      </c>
      <c r="N57" s="147"/>
      <c r="O57" s="217" t="s">
        <v>452</v>
      </c>
      <c r="P57" s="167">
        <v>27</v>
      </c>
      <c r="Q57" s="168">
        <v>25</v>
      </c>
      <c r="R57" s="167">
        <v>28</v>
      </c>
      <c r="S57" s="167">
        <v>24</v>
      </c>
      <c r="T57" s="167">
        <v>22</v>
      </c>
      <c r="U57" s="169">
        <v>0</v>
      </c>
      <c r="V57" s="170">
        <v>24</v>
      </c>
      <c r="W57" s="170">
        <v>27</v>
      </c>
      <c r="X57" s="170">
        <v>28</v>
      </c>
      <c r="Y57" s="215">
        <v>0</v>
      </c>
      <c r="Z57" s="220">
        <v>1.1000000000000001</v>
      </c>
      <c r="AA57" s="173">
        <v>-0.4</v>
      </c>
    </row>
    <row r="58" spans="1:27" x14ac:dyDescent="0.25">
      <c r="A58" s="147" t="s">
        <v>453</v>
      </c>
      <c r="B58" s="158">
        <v>92</v>
      </c>
      <c r="C58" s="161">
        <v>89</v>
      </c>
      <c r="D58" s="158">
        <v>61</v>
      </c>
      <c r="E58" s="158">
        <v>46</v>
      </c>
      <c r="F58" s="158">
        <v>35</v>
      </c>
      <c r="G58" s="233">
        <v>0</v>
      </c>
      <c r="H58" s="163">
        <v>22</v>
      </c>
      <c r="I58" s="163">
        <v>16</v>
      </c>
      <c r="J58" s="163">
        <v>10</v>
      </c>
      <c r="K58" s="212">
        <v>0</v>
      </c>
      <c r="L58" s="213">
        <v>-3.6</v>
      </c>
      <c r="M58" s="165">
        <v>-3</v>
      </c>
      <c r="O58" s="234" t="s">
        <v>454</v>
      </c>
      <c r="P58" s="235">
        <v>14</v>
      </c>
      <c r="Q58" s="236">
        <v>8</v>
      </c>
      <c r="R58" s="235">
        <v>13</v>
      </c>
      <c r="S58" s="235">
        <v>13</v>
      </c>
      <c r="T58" s="235">
        <v>14</v>
      </c>
      <c r="U58" s="237">
        <v>0</v>
      </c>
      <c r="V58" s="238">
        <v>8</v>
      </c>
      <c r="W58" s="238">
        <v>13</v>
      </c>
      <c r="X58" s="238">
        <v>18</v>
      </c>
      <c r="Y58" s="239">
        <v>0</v>
      </c>
      <c r="Z58" s="240">
        <v>4.5999999999999996</v>
      </c>
      <c r="AA58" s="241">
        <v>1.7</v>
      </c>
    </row>
    <row r="59" spans="1:27" s="206" customFormat="1" ht="15" customHeight="1" x14ac:dyDescent="0.25">
      <c r="A59" s="166" t="s">
        <v>318</v>
      </c>
      <c r="B59" s="167">
        <v>39</v>
      </c>
      <c r="C59" s="168">
        <v>39</v>
      </c>
      <c r="D59" s="167">
        <v>24</v>
      </c>
      <c r="E59" s="167">
        <v>25</v>
      </c>
      <c r="F59" s="167">
        <v>25</v>
      </c>
      <c r="G59" s="169">
        <v>0</v>
      </c>
      <c r="H59" s="170">
        <v>9</v>
      </c>
      <c r="I59" s="170">
        <v>6</v>
      </c>
      <c r="J59" s="170">
        <v>7</v>
      </c>
      <c r="K59" s="215">
        <v>0</v>
      </c>
      <c r="L59" s="220">
        <v>-4.8</v>
      </c>
      <c r="M59" s="173">
        <v>-1.4</v>
      </c>
      <c r="N59" s="147"/>
      <c r="O59" s="242" t="s">
        <v>455</v>
      </c>
      <c r="P59" s="243">
        <v>12</v>
      </c>
      <c r="Q59" s="244">
        <v>11</v>
      </c>
      <c r="R59" s="243">
        <v>11</v>
      </c>
      <c r="S59" s="243">
        <v>10</v>
      </c>
      <c r="T59" s="243">
        <v>10</v>
      </c>
      <c r="U59" s="245">
        <v>0</v>
      </c>
      <c r="V59" s="246">
        <v>10</v>
      </c>
      <c r="W59" s="246">
        <v>11</v>
      </c>
      <c r="X59" s="246">
        <v>12</v>
      </c>
      <c r="Y59" s="247">
        <v>0</v>
      </c>
      <c r="Z59" s="248">
        <v>0.4</v>
      </c>
      <c r="AA59" s="249">
        <v>-0.3</v>
      </c>
    </row>
    <row r="60" spans="1:27" s="206" customFormat="1" ht="15" customHeight="1" x14ac:dyDescent="0.25">
      <c r="A60" s="166" t="s">
        <v>310</v>
      </c>
      <c r="B60" s="167">
        <v>53</v>
      </c>
      <c r="C60" s="168">
        <v>50</v>
      </c>
      <c r="D60" s="167">
        <v>38</v>
      </c>
      <c r="E60" s="167">
        <v>21</v>
      </c>
      <c r="F60" s="167">
        <v>10</v>
      </c>
      <c r="G60" s="169">
        <v>0</v>
      </c>
      <c r="H60" s="170">
        <v>12</v>
      </c>
      <c r="I60" s="170">
        <v>10</v>
      </c>
      <c r="J60" s="170">
        <v>3</v>
      </c>
      <c r="K60" s="215">
        <v>0</v>
      </c>
      <c r="L60" s="220">
        <v>-2.8</v>
      </c>
      <c r="M60" s="173">
        <v>-5.3</v>
      </c>
      <c r="N60" s="147"/>
      <c r="O60" s="152" t="s">
        <v>301</v>
      </c>
      <c r="P60" s="153">
        <v>129</v>
      </c>
      <c r="Q60" s="153">
        <v>127</v>
      </c>
      <c r="R60" s="153">
        <v>99</v>
      </c>
      <c r="S60" s="153">
        <v>89</v>
      </c>
      <c r="T60" s="153">
        <v>86</v>
      </c>
      <c r="U60" s="154">
        <v>0</v>
      </c>
      <c r="V60" s="155">
        <v>100</v>
      </c>
      <c r="W60" s="155">
        <v>100</v>
      </c>
      <c r="X60" s="155">
        <v>100</v>
      </c>
      <c r="Y60" s="210">
        <v>0</v>
      </c>
      <c r="Z60" s="211">
        <v>-2.4</v>
      </c>
      <c r="AA60" s="194">
        <v>-1.3</v>
      </c>
    </row>
    <row r="61" spans="1:27" ht="15" customHeight="1" x14ac:dyDescent="0.25">
      <c r="A61" s="159" t="s">
        <v>315</v>
      </c>
      <c r="B61" s="160">
        <v>13</v>
      </c>
      <c r="C61" s="161">
        <v>13</v>
      </c>
      <c r="D61" s="160">
        <v>12</v>
      </c>
      <c r="E61" s="160">
        <v>9</v>
      </c>
      <c r="F61" s="160">
        <v>6</v>
      </c>
      <c r="G61" s="162">
        <v>0</v>
      </c>
      <c r="H61" s="163">
        <v>3</v>
      </c>
      <c r="I61" s="163">
        <v>3</v>
      </c>
      <c r="J61" s="163">
        <v>2</v>
      </c>
      <c r="K61" s="212">
        <v>0</v>
      </c>
      <c r="L61" s="213">
        <v>-1.2</v>
      </c>
      <c r="M61" s="165">
        <v>-2.7</v>
      </c>
      <c r="O61" s="159" t="s">
        <v>255</v>
      </c>
      <c r="P61" s="160">
        <v>43</v>
      </c>
      <c r="Q61" s="161">
        <v>42</v>
      </c>
      <c r="R61" s="160">
        <v>45</v>
      </c>
      <c r="S61" s="160">
        <v>51</v>
      </c>
      <c r="T61" s="160">
        <v>57</v>
      </c>
      <c r="U61" s="162">
        <v>0</v>
      </c>
      <c r="V61" s="163">
        <v>33</v>
      </c>
      <c r="W61" s="163">
        <v>46</v>
      </c>
      <c r="X61" s="163">
        <v>66</v>
      </c>
      <c r="Y61" s="212">
        <v>0</v>
      </c>
      <c r="Z61" s="213">
        <v>0.7</v>
      </c>
      <c r="AA61" s="165">
        <v>1</v>
      </c>
    </row>
    <row r="62" spans="1:27" ht="15" customHeight="1" x14ac:dyDescent="0.25">
      <c r="A62" s="196" t="s">
        <v>456</v>
      </c>
      <c r="B62" s="182">
        <v>3</v>
      </c>
      <c r="C62" s="250">
        <v>3</v>
      </c>
      <c r="D62" s="182">
        <v>7</v>
      </c>
      <c r="E62" s="182">
        <v>11</v>
      </c>
      <c r="F62" s="182">
        <v>15</v>
      </c>
      <c r="G62" s="183">
        <v>0</v>
      </c>
      <c r="H62" s="185">
        <v>1</v>
      </c>
      <c r="I62" s="185">
        <v>2</v>
      </c>
      <c r="J62" s="185">
        <v>4</v>
      </c>
      <c r="K62" s="251">
        <v>0</v>
      </c>
      <c r="L62" s="252">
        <v>8.1999999999999993</v>
      </c>
      <c r="M62" s="253">
        <v>5.2</v>
      </c>
      <c r="O62" s="159" t="s">
        <v>443</v>
      </c>
      <c r="P62" s="160">
        <v>13</v>
      </c>
      <c r="Q62" s="161">
        <v>13</v>
      </c>
      <c r="R62" s="160">
        <v>9</v>
      </c>
      <c r="S62" s="160">
        <v>4</v>
      </c>
      <c r="T62" s="160">
        <v>2</v>
      </c>
      <c r="U62" s="162">
        <v>0</v>
      </c>
      <c r="V62" s="163">
        <v>10</v>
      </c>
      <c r="W62" s="163">
        <v>10</v>
      </c>
      <c r="X62" s="163">
        <v>2</v>
      </c>
      <c r="Y62" s="212">
        <v>0</v>
      </c>
      <c r="Z62" s="213">
        <v>-3.2</v>
      </c>
      <c r="AA62" s="165">
        <v>-6</v>
      </c>
    </row>
    <row r="63" spans="1:27" ht="15" customHeight="1" x14ac:dyDescent="0.25">
      <c r="A63" s="152" t="s">
        <v>387</v>
      </c>
      <c r="B63" s="153">
        <v>162</v>
      </c>
      <c r="C63" s="153">
        <v>157</v>
      </c>
      <c r="D63" s="153">
        <v>170</v>
      </c>
      <c r="E63" s="153">
        <v>169</v>
      </c>
      <c r="F63" s="153">
        <v>160</v>
      </c>
      <c r="G63" s="154">
        <v>0</v>
      </c>
      <c r="H63" s="155">
        <v>100</v>
      </c>
      <c r="I63" s="155">
        <v>100</v>
      </c>
      <c r="J63" s="155">
        <v>100</v>
      </c>
      <c r="K63" s="210">
        <v>0</v>
      </c>
      <c r="L63" s="211">
        <v>0.8</v>
      </c>
      <c r="M63" s="194">
        <v>0.1</v>
      </c>
      <c r="O63" s="217" t="s">
        <v>444</v>
      </c>
      <c r="P63" s="222">
        <v>0</v>
      </c>
      <c r="Q63" s="223">
        <v>0</v>
      </c>
      <c r="R63" s="222">
        <v>0</v>
      </c>
      <c r="S63" s="167">
        <v>1</v>
      </c>
      <c r="T63" s="167">
        <v>1</v>
      </c>
      <c r="U63" s="169">
        <v>0</v>
      </c>
      <c r="V63" s="224">
        <v>0</v>
      </c>
      <c r="W63" s="224">
        <v>0</v>
      </c>
      <c r="X63" s="170">
        <v>1</v>
      </c>
      <c r="Y63" s="215">
        <v>0</v>
      </c>
      <c r="Z63" s="216">
        <v>26</v>
      </c>
      <c r="AA63" s="172">
        <v>12</v>
      </c>
    </row>
    <row r="64" spans="1:27" ht="15" customHeight="1" x14ac:dyDescent="0.25">
      <c r="A64" s="159" t="s">
        <v>255</v>
      </c>
      <c r="B64" s="160">
        <v>35</v>
      </c>
      <c r="C64" s="161">
        <v>35</v>
      </c>
      <c r="D64" s="160">
        <v>47</v>
      </c>
      <c r="E64" s="160">
        <v>62</v>
      </c>
      <c r="F64" s="160">
        <v>74</v>
      </c>
      <c r="G64" s="162">
        <v>0</v>
      </c>
      <c r="H64" s="163">
        <v>22</v>
      </c>
      <c r="I64" s="163">
        <v>28</v>
      </c>
      <c r="J64" s="163">
        <v>46</v>
      </c>
      <c r="K64" s="212">
        <v>0</v>
      </c>
      <c r="L64" s="213">
        <v>3</v>
      </c>
      <c r="M64" s="165">
        <v>2.5</v>
      </c>
      <c r="O64" s="217" t="s">
        <v>309</v>
      </c>
      <c r="P64" s="167">
        <v>13</v>
      </c>
      <c r="Q64" s="168">
        <v>13</v>
      </c>
      <c r="R64" s="167">
        <v>9</v>
      </c>
      <c r="S64" s="167">
        <v>4</v>
      </c>
      <c r="T64" s="167">
        <v>1</v>
      </c>
      <c r="U64" s="169">
        <v>0</v>
      </c>
      <c r="V64" s="170">
        <v>10</v>
      </c>
      <c r="W64" s="170">
        <v>9</v>
      </c>
      <c r="X64" s="170">
        <v>1</v>
      </c>
      <c r="Y64" s="215">
        <v>0</v>
      </c>
      <c r="Z64" s="220">
        <v>-3.4</v>
      </c>
      <c r="AA64" s="173">
        <v>-7.7</v>
      </c>
    </row>
    <row r="65" spans="1:27" ht="15" customHeight="1" x14ac:dyDescent="0.25">
      <c r="A65" s="159" t="s">
        <v>443</v>
      </c>
      <c r="B65" s="160">
        <v>31</v>
      </c>
      <c r="C65" s="161">
        <v>31</v>
      </c>
      <c r="D65" s="160">
        <v>31</v>
      </c>
      <c r="E65" s="160">
        <v>27</v>
      </c>
      <c r="F65" s="160">
        <v>23</v>
      </c>
      <c r="G65" s="162">
        <v>0</v>
      </c>
      <c r="H65" s="163">
        <v>20</v>
      </c>
      <c r="I65" s="163">
        <v>18</v>
      </c>
      <c r="J65" s="163">
        <v>15</v>
      </c>
      <c r="K65" s="212">
        <v>0</v>
      </c>
      <c r="L65" s="213">
        <v>-0.2</v>
      </c>
      <c r="M65" s="165">
        <v>-0.9</v>
      </c>
      <c r="O65" s="159" t="s">
        <v>447</v>
      </c>
      <c r="P65" s="160">
        <v>30</v>
      </c>
      <c r="Q65" s="161">
        <v>28</v>
      </c>
      <c r="R65" s="160">
        <v>23</v>
      </c>
      <c r="S65" s="160">
        <v>13</v>
      </c>
      <c r="T65" s="160">
        <v>6</v>
      </c>
      <c r="U65" s="162">
        <v>0</v>
      </c>
      <c r="V65" s="163">
        <v>22</v>
      </c>
      <c r="W65" s="163">
        <v>23</v>
      </c>
      <c r="X65" s="163">
        <v>7</v>
      </c>
      <c r="Y65" s="212">
        <v>0</v>
      </c>
      <c r="Z65" s="213">
        <v>-2.1</v>
      </c>
      <c r="AA65" s="165">
        <v>-4.9000000000000004</v>
      </c>
    </row>
    <row r="66" spans="1:27" s="206" customFormat="1" ht="15" customHeight="1" x14ac:dyDescent="0.25">
      <c r="A66" s="166" t="s">
        <v>309</v>
      </c>
      <c r="B66" s="167">
        <v>31</v>
      </c>
      <c r="C66" s="168">
        <v>31</v>
      </c>
      <c r="D66" s="167">
        <v>31</v>
      </c>
      <c r="E66" s="167">
        <v>27</v>
      </c>
      <c r="F66" s="167">
        <v>23</v>
      </c>
      <c r="G66" s="169">
        <v>0</v>
      </c>
      <c r="H66" s="170">
        <v>20</v>
      </c>
      <c r="I66" s="170">
        <v>18</v>
      </c>
      <c r="J66" s="170">
        <v>15</v>
      </c>
      <c r="K66" s="215">
        <v>0</v>
      </c>
      <c r="L66" s="220">
        <v>-0.2</v>
      </c>
      <c r="M66" s="173">
        <v>-0.9</v>
      </c>
      <c r="N66" s="147"/>
      <c r="O66" s="217" t="s">
        <v>448</v>
      </c>
      <c r="P66" s="222">
        <v>0</v>
      </c>
      <c r="Q66" s="223">
        <v>0</v>
      </c>
      <c r="R66" s="167">
        <v>1</v>
      </c>
      <c r="S66" s="167">
        <v>2</v>
      </c>
      <c r="T66" s="167">
        <v>2</v>
      </c>
      <c r="U66" s="169">
        <v>0</v>
      </c>
      <c r="V66" s="224">
        <v>0</v>
      </c>
      <c r="W66" s="170">
        <v>1</v>
      </c>
      <c r="X66" s="170">
        <v>2</v>
      </c>
      <c r="Y66" s="215">
        <v>0</v>
      </c>
      <c r="Z66" s="216">
        <v>29</v>
      </c>
      <c r="AA66" s="172">
        <v>11</v>
      </c>
    </row>
    <row r="67" spans="1:27" ht="15" customHeight="1" x14ac:dyDescent="0.25">
      <c r="A67" s="159" t="s">
        <v>447</v>
      </c>
      <c r="B67" s="160">
        <v>32</v>
      </c>
      <c r="C67" s="161">
        <v>32</v>
      </c>
      <c r="D67" s="160">
        <v>35</v>
      </c>
      <c r="E67" s="160">
        <v>34</v>
      </c>
      <c r="F67" s="160">
        <v>28</v>
      </c>
      <c r="G67" s="162">
        <v>0</v>
      </c>
      <c r="H67" s="163">
        <v>20</v>
      </c>
      <c r="I67" s="163">
        <v>21</v>
      </c>
      <c r="J67" s="163">
        <v>18</v>
      </c>
      <c r="K67" s="212">
        <v>0</v>
      </c>
      <c r="L67" s="213">
        <v>1</v>
      </c>
      <c r="M67" s="165">
        <v>-0.4</v>
      </c>
      <c r="O67" s="217" t="s">
        <v>343</v>
      </c>
      <c r="P67" s="167">
        <v>0</v>
      </c>
      <c r="Q67" s="223">
        <v>0</v>
      </c>
      <c r="R67" s="167">
        <v>2</v>
      </c>
      <c r="S67" s="167">
        <v>2</v>
      </c>
      <c r="T67" s="167">
        <v>2</v>
      </c>
      <c r="U67" s="169">
        <v>0</v>
      </c>
      <c r="V67" s="224">
        <v>0</v>
      </c>
      <c r="W67" s="170">
        <v>2</v>
      </c>
      <c r="X67" s="170">
        <v>2</v>
      </c>
      <c r="Y67" s="215">
        <v>0</v>
      </c>
      <c r="Z67" s="216">
        <v>103</v>
      </c>
      <c r="AA67" s="172">
        <v>27</v>
      </c>
    </row>
    <row r="68" spans="1:27" s="206" customFormat="1" ht="15" customHeight="1" x14ac:dyDescent="0.25">
      <c r="A68" s="166" t="s">
        <v>448</v>
      </c>
      <c r="B68" s="222">
        <v>0</v>
      </c>
      <c r="C68" s="223">
        <v>0</v>
      </c>
      <c r="D68" s="167">
        <v>1</v>
      </c>
      <c r="E68" s="167">
        <v>2</v>
      </c>
      <c r="F68" s="167">
        <v>4</v>
      </c>
      <c r="G68" s="169">
        <v>0</v>
      </c>
      <c r="H68" s="224">
        <v>0</v>
      </c>
      <c r="I68" s="224">
        <v>0</v>
      </c>
      <c r="J68" s="170">
        <v>3</v>
      </c>
      <c r="K68" s="215">
        <v>0</v>
      </c>
      <c r="L68" s="216">
        <v>22</v>
      </c>
      <c r="M68" s="172">
        <v>15</v>
      </c>
      <c r="N68" s="147"/>
      <c r="O68" s="217" t="s">
        <v>312</v>
      </c>
      <c r="P68" s="167">
        <v>30</v>
      </c>
      <c r="Q68" s="168">
        <v>28</v>
      </c>
      <c r="R68" s="167">
        <v>19</v>
      </c>
      <c r="S68" s="167">
        <v>7</v>
      </c>
      <c r="T68" s="167">
        <v>1</v>
      </c>
      <c r="U68" s="169">
        <v>0</v>
      </c>
      <c r="V68" s="170">
        <v>22</v>
      </c>
      <c r="W68" s="170">
        <v>20</v>
      </c>
      <c r="X68" s="170">
        <v>1</v>
      </c>
      <c r="Y68" s="215">
        <v>0</v>
      </c>
      <c r="Z68" s="220">
        <v>-3.8</v>
      </c>
      <c r="AA68" s="172">
        <v>-12</v>
      </c>
    </row>
    <row r="69" spans="1:27" s="206" customFormat="1" ht="15" customHeight="1" x14ac:dyDescent="0.25">
      <c r="A69" s="166" t="s">
        <v>343</v>
      </c>
      <c r="B69" s="167">
        <v>0</v>
      </c>
      <c r="C69" s="223">
        <v>0</v>
      </c>
      <c r="D69" s="167">
        <v>3</v>
      </c>
      <c r="E69" s="167">
        <v>4</v>
      </c>
      <c r="F69" s="167">
        <v>5</v>
      </c>
      <c r="G69" s="169">
        <v>0</v>
      </c>
      <c r="H69" s="224">
        <v>0</v>
      </c>
      <c r="I69" s="170">
        <v>2</v>
      </c>
      <c r="J69" s="170">
        <v>3</v>
      </c>
      <c r="K69" s="215">
        <v>0</v>
      </c>
      <c r="L69" s="216">
        <v>44</v>
      </c>
      <c r="M69" s="172">
        <v>15</v>
      </c>
      <c r="N69" s="147"/>
      <c r="O69" s="147" t="s">
        <v>453</v>
      </c>
      <c r="P69" s="160">
        <v>34</v>
      </c>
      <c r="Q69" s="161">
        <v>34</v>
      </c>
      <c r="R69" s="160">
        <v>10</v>
      </c>
      <c r="S69" s="160">
        <v>7</v>
      </c>
      <c r="T69" s="160">
        <v>6</v>
      </c>
      <c r="U69" s="162">
        <v>0</v>
      </c>
      <c r="V69" s="163">
        <v>27</v>
      </c>
      <c r="W69" s="163">
        <v>10</v>
      </c>
      <c r="X69" s="163">
        <v>7</v>
      </c>
      <c r="Y69" s="212">
        <v>0</v>
      </c>
      <c r="Z69" s="214">
        <v>-11</v>
      </c>
      <c r="AA69" s="165">
        <v>-5.5</v>
      </c>
    </row>
    <row r="70" spans="1:27" s="206" customFormat="1" ht="15" customHeight="1" x14ac:dyDescent="0.25">
      <c r="A70" s="166" t="s">
        <v>428</v>
      </c>
      <c r="B70" s="167">
        <v>32</v>
      </c>
      <c r="C70" s="168">
        <v>32</v>
      </c>
      <c r="D70" s="167">
        <v>30</v>
      </c>
      <c r="E70" s="167">
        <v>22</v>
      </c>
      <c r="F70" s="167">
        <v>9</v>
      </c>
      <c r="G70" s="169">
        <v>0</v>
      </c>
      <c r="H70" s="170">
        <v>20</v>
      </c>
      <c r="I70" s="170">
        <v>18</v>
      </c>
      <c r="J70" s="170">
        <v>6</v>
      </c>
      <c r="K70" s="215">
        <v>0</v>
      </c>
      <c r="L70" s="220">
        <v>-0.5</v>
      </c>
      <c r="M70" s="173">
        <v>-4</v>
      </c>
      <c r="N70" s="147"/>
      <c r="O70" s="217" t="s">
        <v>457</v>
      </c>
      <c r="P70" s="167">
        <v>5</v>
      </c>
      <c r="Q70" s="168">
        <v>5</v>
      </c>
      <c r="R70" s="167">
        <v>9</v>
      </c>
      <c r="S70" s="167">
        <v>7</v>
      </c>
      <c r="T70" s="167">
        <v>6</v>
      </c>
      <c r="U70" s="169">
        <v>0</v>
      </c>
      <c r="V70" s="170">
        <v>4</v>
      </c>
      <c r="W70" s="170">
        <v>9</v>
      </c>
      <c r="X70" s="170">
        <v>7</v>
      </c>
      <c r="Y70" s="215">
        <v>0</v>
      </c>
      <c r="Z70" s="220">
        <v>6.9</v>
      </c>
      <c r="AA70" s="173">
        <v>0.9</v>
      </c>
    </row>
    <row r="71" spans="1:27" ht="15" customHeight="1" x14ac:dyDescent="0.25">
      <c r="A71" s="166" t="s">
        <v>429</v>
      </c>
      <c r="B71" s="222">
        <v>0</v>
      </c>
      <c r="C71" s="223">
        <v>0</v>
      </c>
      <c r="D71" s="167">
        <v>1</v>
      </c>
      <c r="E71" s="167">
        <v>5</v>
      </c>
      <c r="F71" s="167">
        <v>7</v>
      </c>
      <c r="G71" s="169">
        <v>0</v>
      </c>
      <c r="H71" s="224">
        <v>0</v>
      </c>
      <c r="I71" s="170">
        <v>1</v>
      </c>
      <c r="J71" s="170">
        <v>4</v>
      </c>
      <c r="K71" s="215">
        <v>0</v>
      </c>
      <c r="L71" s="216">
        <v>38</v>
      </c>
      <c r="M71" s="172">
        <v>18</v>
      </c>
      <c r="O71" s="254" t="s">
        <v>426</v>
      </c>
      <c r="P71" s="167">
        <v>25</v>
      </c>
      <c r="Q71" s="168">
        <v>25</v>
      </c>
      <c r="R71" s="167">
        <v>0</v>
      </c>
      <c r="S71" s="167">
        <v>0</v>
      </c>
      <c r="T71" s="167">
        <v>0</v>
      </c>
      <c r="U71" s="169">
        <v>0</v>
      </c>
      <c r="V71" s="170">
        <v>20</v>
      </c>
      <c r="W71" s="170">
        <v>0</v>
      </c>
      <c r="X71" s="170">
        <v>0</v>
      </c>
      <c r="Y71" s="215">
        <v>0</v>
      </c>
      <c r="Z71" s="218" t="s">
        <v>445</v>
      </c>
      <c r="AA71" s="219" t="s">
        <v>445</v>
      </c>
    </row>
    <row r="72" spans="1:27" x14ac:dyDescent="0.25">
      <c r="A72" s="147" t="s">
        <v>453</v>
      </c>
      <c r="B72" s="160">
        <v>58</v>
      </c>
      <c r="C72" s="161">
        <v>52</v>
      </c>
      <c r="D72" s="160">
        <v>51</v>
      </c>
      <c r="E72" s="160">
        <v>40</v>
      </c>
      <c r="F72" s="160">
        <v>30</v>
      </c>
      <c r="G72" s="162">
        <v>0</v>
      </c>
      <c r="H72" s="163">
        <v>34</v>
      </c>
      <c r="I72" s="163">
        <v>30</v>
      </c>
      <c r="J72" s="163">
        <v>18</v>
      </c>
      <c r="K72" s="212">
        <v>0</v>
      </c>
      <c r="L72" s="213">
        <v>-0.3</v>
      </c>
      <c r="M72" s="165">
        <v>-1.9</v>
      </c>
      <c r="O72" s="217" t="s">
        <v>310</v>
      </c>
      <c r="P72" s="167">
        <v>4</v>
      </c>
      <c r="Q72" s="168">
        <v>4</v>
      </c>
      <c r="R72" s="167">
        <v>1</v>
      </c>
      <c r="S72" s="222">
        <v>0</v>
      </c>
      <c r="T72" s="222">
        <v>0</v>
      </c>
      <c r="U72" s="169">
        <v>0</v>
      </c>
      <c r="V72" s="170">
        <v>3</v>
      </c>
      <c r="W72" s="170">
        <v>1</v>
      </c>
      <c r="X72" s="224">
        <v>0</v>
      </c>
      <c r="Y72" s="215">
        <v>0</v>
      </c>
      <c r="Z72" s="216">
        <v>-12</v>
      </c>
      <c r="AA72" s="172">
        <v>-21</v>
      </c>
    </row>
    <row r="73" spans="1:27" s="206" customFormat="1" ht="15" customHeight="1" x14ac:dyDescent="0.25">
      <c r="A73" s="166" t="s">
        <v>318</v>
      </c>
      <c r="B73" s="167">
        <v>10</v>
      </c>
      <c r="C73" s="168">
        <v>9</v>
      </c>
      <c r="D73" s="167">
        <v>15</v>
      </c>
      <c r="E73" s="167">
        <v>19</v>
      </c>
      <c r="F73" s="167">
        <v>20</v>
      </c>
      <c r="G73" s="169">
        <v>0</v>
      </c>
      <c r="H73" s="170">
        <v>6</v>
      </c>
      <c r="I73" s="170">
        <v>9</v>
      </c>
      <c r="J73" s="170">
        <v>13</v>
      </c>
      <c r="K73" s="215">
        <v>0</v>
      </c>
      <c r="L73" s="220">
        <v>5.2</v>
      </c>
      <c r="M73" s="173">
        <v>2.8</v>
      </c>
      <c r="N73" s="147"/>
      <c r="O73" s="159" t="s">
        <v>315</v>
      </c>
      <c r="P73" s="160">
        <v>7</v>
      </c>
      <c r="Q73" s="161">
        <v>7</v>
      </c>
      <c r="R73" s="160">
        <v>6</v>
      </c>
      <c r="S73" s="160">
        <v>5</v>
      </c>
      <c r="T73" s="160">
        <v>4</v>
      </c>
      <c r="U73" s="162">
        <v>0</v>
      </c>
      <c r="V73" s="163">
        <v>5</v>
      </c>
      <c r="W73" s="163">
        <v>6</v>
      </c>
      <c r="X73" s="163">
        <v>5</v>
      </c>
      <c r="Y73" s="212">
        <v>0</v>
      </c>
      <c r="Z73" s="213">
        <v>-1.2</v>
      </c>
      <c r="AA73" s="165">
        <v>-1.6</v>
      </c>
    </row>
    <row r="74" spans="1:27" s="206" customFormat="1" ht="15" customHeight="1" x14ac:dyDescent="0.25">
      <c r="A74" s="166" t="s">
        <v>431</v>
      </c>
      <c r="B74" s="167">
        <v>48</v>
      </c>
      <c r="C74" s="168">
        <v>44</v>
      </c>
      <c r="D74" s="167">
        <v>35</v>
      </c>
      <c r="E74" s="167">
        <v>15</v>
      </c>
      <c r="F74" s="167">
        <v>3</v>
      </c>
      <c r="G74" s="169">
        <v>0</v>
      </c>
      <c r="H74" s="170">
        <v>28</v>
      </c>
      <c r="I74" s="170">
        <v>20</v>
      </c>
      <c r="J74" s="170">
        <v>2</v>
      </c>
      <c r="K74" s="215">
        <v>0</v>
      </c>
      <c r="L74" s="220">
        <v>-2.2999999999999998</v>
      </c>
      <c r="M74" s="173">
        <v>-9</v>
      </c>
      <c r="N74" s="147"/>
      <c r="O74" s="159" t="s">
        <v>320</v>
      </c>
      <c r="P74" s="160">
        <v>2</v>
      </c>
      <c r="Q74" s="161">
        <v>3</v>
      </c>
      <c r="R74" s="160">
        <v>5</v>
      </c>
      <c r="S74" s="160">
        <v>8</v>
      </c>
      <c r="T74" s="160">
        <v>11</v>
      </c>
      <c r="U74" s="162">
        <v>0</v>
      </c>
      <c r="V74" s="163">
        <v>2</v>
      </c>
      <c r="W74" s="163">
        <v>5</v>
      </c>
      <c r="X74" s="163">
        <v>12</v>
      </c>
      <c r="Y74" s="212">
        <v>0</v>
      </c>
      <c r="Z74" s="213">
        <v>7.1</v>
      </c>
      <c r="AA74" s="165">
        <v>4.8</v>
      </c>
    </row>
    <row r="75" spans="1:27" ht="15" customHeight="1" x14ac:dyDescent="0.25">
      <c r="A75" s="166" t="s">
        <v>432</v>
      </c>
      <c r="B75" s="222">
        <v>0</v>
      </c>
      <c r="C75" s="223">
        <v>0</v>
      </c>
      <c r="D75" s="167">
        <v>1</v>
      </c>
      <c r="E75" s="167">
        <v>5</v>
      </c>
      <c r="F75" s="167">
        <v>7</v>
      </c>
      <c r="G75" s="169">
        <v>0</v>
      </c>
      <c r="H75" s="224">
        <v>0</v>
      </c>
      <c r="I75" s="170">
        <v>1</v>
      </c>
      <c r="J75" s="170">
        <v>4</v>
      </c>
      <c r="K75" s="215">
        <v>0</v>
      </c>
      <c r="L75" s="216">
        <v>91</v>
      </c>
      <c r="M75" s="172">
        <v>31</v>
      </c>
      <c r="O75" s="225" t="s">
        <v>458</v>
      </c>
      <c r="P75" s="226">
        <v>91</v>
      </c>
      <c r="Q75" s="227">
        <v>90</v>
      </c>
      <c r="R75" s="226">
        <v>67</v>
      </c>
      <c r="S75" s="226">
        <v>59</v>
      </c>
      <c r="T75" s="226">
        <v>58</v>
      </c>
      <c r="U75" s="228">
        <v>0</v>
      </c>
      <c r="V75" s="229">
        <v>71</v>
      </c>
      <c r="W75" s="229">
        <v>67</v>
      </c>
      <c r="X75" s="229">
        <v>67</v>
      </c>
      <c r="Y75" s="230">
        <v>0</v>
      </c>
      <c r="Z75" s="231">
        <v>-3</v>
      </c>
      <c r="AA75" s="232">
        <v>-1.5</v>
      </c>
    </row>
    <row r="76" spans="1:27" ht="15" customHeight="1" x14ac:dyDescent="0.25">
      <c r="A76" s="159" t="s">
        <v>315</v>
      </c>
      <c r="B76" s="160">
        <v>6</v>
      </c>
      <c r="C76" s="161">
        <v>6</v>
      </c>
      <c r="D76" s="160">
        <v>6</v>
      </c>
      <c r="E76" s="160">
        <v>3</v>
      </c>
      <c r="F76" s="160">
        <v>2</v>
      </c>
      <c r="G76" s="162">
        <v>0</v>
      </c>
      <c r="H76" s="163">
        <v>4</v>
      </c>
      <c r="I76" s="163">
        <v>3</v>
      </c>
      <c r="J76" s="163">
        <v>1</v>
      </c>
      <c r="K76" s="212">
        <v>0</v>
      </c>
      <c r="L76" s="213">
        <v>-1.2</v>
      </c>
      <c r="M76" s="165">
        <v>-4.5</v>
      </c>
      <c r="O76" s="242" t="s">
        <v>459</v>
      </c>
      <c r="P76" s="243">
        <v>38</v>
      </c>
      <c r="Q76" s="244">
        <v>36</v>
      </c>
      <c r="R76" s="243">
        <v>32</v>
      </c>
      <c r="S76" s="243">
        <v>30</v>
      </c>
      <c r="T76" s="243">
        <v>28</v>
      </c>
      <c r="U76" s="245">
        <v>0</v>
      </c>
      <c r="V76" s="246">
        <v>29</v>
      </c>
      <c r="W76" s="246">
        <v>33</v>
      </c>
      <c r="X76" s="246">
        <v>33</v>
      </c>
      <c r="Y76" s="247">
        <v>0</v>
      </c>
      <c r="Z76" s="248">
        <v>-1.2</v>
      </c>
      <c r="AA76" s="249">
        <v>-0.9</v>
      </c>
    </row>
    <row r="77" spans="1:27" ht="15" customHeight="1" thickBot="1" x14ac:dyDescent="0.3">
      <c r="A77" s="159" t="s">
        <v>320</v>
      </c>
      <c r="B77" s="195">
        <v>0</v>
      </c>
      <c r="C77" s="197">
        <v>0</v>
      </c>
      <c r="D77" s="160">
        <v>1</v>
      </c>
      <c r="E77" s="160">
        <v>3</v>
      </c>
      <c r="F77" s="160">
        <v>4</v>
      </c>
      <c r="G77" s="162">
        <v>0</v>
      </c>
      <c r="H77" s="198">
        <v>0</v>
      </c>
      <c r="I77" s="163">
        <v>1</v>
      </c>
      <c r="J77" s="163">
        <v>2</v>
      </c>
      <c r="K77" s="212">
        <v>0</v>
      </c>
      <c r="L77" s="214">
        <v>33</v>
      </c>
      <c r="M77" s="178">
        <v>14</v>
      </c>
      <c r="O77" s="255" t="s">
        <v>320</v>
      </c>
      <c r="P77" s="256">
        <v>22</v>
      </c>
      <c r="Q77" s="256">
        <v>23</v>
      </c>
      <c r="R77" s="256">
        <v>22</v>
      </c>
      <c r="S77" s="256">
        <v>20</v>
      </c>
      <c r="T77" s="256">
        <v>18</v>
      </c>
      <c r="U77" s="257">
        <v>0</v>
      </c>
      <c r="V77" s="258">
        <v>100</v>
      </c>
      <c r="W77" s="258">
        <v>100</v>
      </c>
      <c r="X77" s="258">
        <v>100</v>
      </c>
      <c r="Y77" s="259">
        <v>0</v>
      </c>
      <c r="Z77" s="260">
        <v>-0.5</v>
      </c>
      <c r="AA77" s="261">
        <v>-0.9</v>
      </c>
    </row>
    <row r="78" spans="1:27" ht="15" customHeight="1" x14ac:dyDescent="0.25">
      <c r="A78" s="225" t="s">
        <v>284</v>
      </c>
      <c r="B78" s="226">
        <v>36</v>
      </c>
      <c r="C78" s="227">
        <v>33</v>
      </c>
      <c r="D78" s="226">
        <v>37</v>
      </c>
      <c r="E78" s="226">
        <v>36</v>
      </c>
      <c r="F78" s="226">
        <v>32</v>
      </c>
      <c r="G78" s="228">
        <v>0</v>
      </c>
      <c r="H78" s="229">
        <v>21</v>
      </c>
      <c r="I78" s="229">
        <v>22</v>
      </c>
      <c r="J78" s="229">
        <v>20</v>
      </c>
      <c r="K78" s="230">
        <v>0</v>
      </c>
      <c r="L78" s="231">
        <v>1.1000000000000001</v>
      </c>
      <c r="M78" s="232">
        <v>-0.2</v>
      </c>
    </row>
    <row r="79" spans="1:27" ht="15" customHeight="1" x14ac:dyDescent="0.25">
      <c r="A79" s="234" t="s">
        <v>460</v>
      </c>
      <c r="B79" s="235">
        <v>22</v>
      </c>
      <c r="C79" s="236">
        <v>20</v>
      </c>
      <c r="D79" s="235">
        <v>26</v>
      </c>
      <c r="E79" s="235">
        <v>26</v>
      </c>
      <c r="F79" s="235">
        <v>25</v>
      </c>
      <c r="G79" s="237">
        <v>0</v>
      </c>
      <c r="H79" s="238">
        <v>13</v>
      </c>
      <c r="I79" s="238">
        <v>15</v>
      </c>
      <c r="J79" s="238">
        <v>15</v>
      </c>
      <c r="K79" s="239">
        <v>0</v>
      </c>
      <c r="L79" s="240">
        <v>2.7</v>
      </c>
      <c r="M79" s="241">
        <v>0.7</v>
      </c>
    </row>
    <row r="80" spans="1:27" ht="15" customHeight="1" thickBot="1" x14ac:dyDescent="0.3">
      <c r="A80" s="262" t="s">
        <v>285</v>
      </c>
      <c r="B80" s="263">
        <v>12</v>
      </c>
      <c r="C80" s="264">
        <v>16</v>
      </c>
      <c r="D80" s="263">
        <v>11</v>
      </c>
      <c r="E80" s="263">
        <v>11</v>
      </c>
      <c r="F80" s="263">
        <v>10</v>
      </c>
      <c r="G80" s="265">
        <v>0</v>
      </c>
      <c r="H80" s="266">
        <v>10</v>
      </c>
      <c r="I80" s="266">
        <v>7</v>
      </c>
      <c r="J80" s="266">
        <v>7</v>
      </c>
      <c r="K80" s="267">
        <v>0</v>
      </c>
      <c r="L80" s="268">
        <v>-3.3</v>
      </c>
      <c r="M80" s="269">
        <v>-1.3</v>
      </c>
    </row>
    <row r="81" spans="1:24" s="134" customFormat="1" ht="42.75" customHeight="1" x14ac:dyDescent="0.25">
      <c r="A81" s="666" t="s">
        <v>461</v>
      </c>
      <c r="B81" s="666"/>
      <c r="C81" s="666"/>
      <c r="D81" s="666"/>
      <c r="E81" s="666"/>
      <c r="F81" s="666"/>
      <c r="G81" s="666"/>
      <c r="H81" s="666"/>
      <c r="I81" s="666"/>
      <c r="J81" s="666"/>
      <c r="K81" s="666"/>
      <c r="L81" s="666"/>
      <c r="M81" s="666"/>
    </row>
    <row r="82" spans="1:24" s="138" customFormat="1" ht="12" customHeight="1" x14ac:dyDescent="0.25">
      <c r="A82" s="135"/>
      <c r="B82" s="135" t="s">
        <v>415</v>
      </c>
      <c r="C82" s="270" t="s">
        <v>415</v>
      </c>
      <c r="D82" s="270" t="s">
        <v>415</v>
      </c>
      <c r="E82" s="270" t="s">
        <v>415</v>
      </c>
      <c r="F82" s="270" t="s">
        <v>415</v>
      </c>
      <c r="G82" s="270"/>
      <c r="H82" s="135"/>
      <c r="I82" s="135"/>
      <c r="J82" s="135"/>
      <c r="K82" s="135"/>
      <c r="L82" s="137">
        <v>10</v>
      </c>
      <c r="M82" s="137">
        <v>30</v>
      </c>
    </row>
    <row r="83" spans="1:24" ht="12" customHeight="1" x14ac:dyDescent="0.25">
      <c r="A83" s="139" t="s">
        <v>439</v>
      </c>
    </row>
    <row r="84" spans="1:24" ht="15" customHeight="1" x14ac:dyDescent="0.25">
      <c r="A84" s="143"/>
      <c r="B84" s="144" t="s">
        <v>462</v>
      </c>
      <c r="C84" s="144"/>
      <c r="D84" s="144"/>
      <c r="E84" s="144"/>
      <c r="F84" s="144"/>
      <c r="G84" s="144"/>
      <c r="H84" s="145" t="s">
        <v>417</v>
      </c>
      <c r="I84" s="145"/>
      <c r="J84" s="145"/>
      <c r="K84" s="145"/>
      <c r="L84" s="144" t="s">
        <v>418</v>
      </c>
      <c r="M84" s="144"/>
    </row>
    <row r="85" spans="1:24" ht="24" x14ac:dyDescent="0.25">
      <c r="A85" s="143"/>
      <c r="B85" s="149">
        <v>2019</v>
      </c>
      <c r="C85" s="149">
        <v>2020</v>
      </c>
      <c r="D85" s="149">
        <v>2030</v>
      </c>
      <c r="E85" s="149">
        <v>2040</v>
      </c>
      <c r="F85" s="149">
        <v>2050</v>
      </c>
      <c r="G85" s="271"/>
      <c r="H85" s="149">
        <v>2020</v>
      </c>
      <c r="I85" s="149">
        <v>2030</v>
      </c>
      <c r="J85" s="149">
        <v>2050</v>
      </c>
      <c r="K85" s="271"/>
      <c r="L85" s="151" t="s">
        <v>419</v>
      </c>
      <c r="M85" s="151" t="s">
        <v>299</v>
      </c>
    </row>
    <row r="86" spans="1:24" ht="15" customHeight="1" x14ac:dyDescent="0.25">
      <c r="A86" s="152" t="s">
        <v>463</v>
      </c>
      <c r="B86" s="272">
        <v>26922</v>
      </c>
      <c r="C86" s="272">
        <v>26778</v>
      </c>
      <c r="D86" s="272">
        <v>37316</v>
      </c>
      <c r="E86" s="272">
        <v>56553</v>
      </c>
      <c r="F86" s="272">
        <v>71164</v>
      </c>
      <c r="G86" s="154">
        <v>0</v>
      </c>
      <c r="H86" s="155">
        <v>100</v>
      </c>
      <c r="I86" s="155">
        <v>100</v>
      </c>
      <c r="J86" s="155">
        <v>100</v>
      </c>
      <c r="K86" s="210">
        <v>0</v>
      </c>
      <c r="L86" s="157">
        <v>3.4</v>
      </c>
      <c r="M86" s="157">
        <v>3.3</v>
      </c>
      <c r="N86" s="273"/>
      <c r="O86" s="273"/>
      <c r="P86" s="273"/>
      <c r="Q86" s="273"/>
      <c r="R86" s="273"/>
      <c r="S86" s="273"/>
      <c r="T86" s="273"/>
      <c r="U86" s="273"/>
      <c r="V86" s="273"/>
      <c r="W86" s="273"/>
      <c r="X86" s="273"/>
    </row>
    <row r="87" spans="1:24" ht="15" customHeight="1" x14ac:dyDescent="0.25">
      <c r="A87" s="159" t="s">
        <v>421</v>
      </c>
      <c r="B87" s="274">
        <v>7153</v>
      </c>
      <c r="C87" s="275">
        <v>7660</v>
      </c>
      <c r="D87" s="274">
        <v>22817</v>
      </c>
      <c r="E87" s="274">
        <v>47521</v>
      </c>
      <c r="F87" s="274">
        <v>62333</v>
      </c>
      <c r="G87" s="162">
        <v>0</v>
      </c>
      <c r="H87" s="163">
        <v>29</v>
      </c>
      <c r="I87" s="163">
        <v>61</v>
      </c>
      <c r="J87" s="163">
        <v>88</v>
      </c>
      <c r="K87" s="212">
        <v>0</v>
      </c>
      <c r="L87" s="178">
        <v>12</v>
      </c>
      <c r="M87" s="165">
        <v>7.2</v>
      </c>
      <c r="N87" s="273"/>
      <c r="O87" s="273"/>
      <c r="P87" s="273"/>
      <c r="Q87" s="273"/>
      <c r="R87" s="273"/>
      <c r="S87" s="273"/>
      <c r="T87" s="273"/>
      <c r="U87" s="273"/>
      <c r="V87" s="273"/>
      <c r="W87" s="273"/>
      <c r="X87" s="273"/>
    </row>
    <row r="88" spans="1:24" s="206" customFormat="1" ht="15" customHeight="1" x14ac:dyDescent="0.25">
      <c r="A88" s="166" t="s">
        <v>340</v>
      </c>
      <c r="B88" s="276">
        <v>665</v>
      </c>
      <c r="C88" s="277">
        <v>821</v>
      </c>
      <c r="D88" s="276">
        <v>6970</v>
      </c>
      <c r="E88" s="276">
        <v>17031</v>
      </c>
      <c r="F88" s="276">
        <v>23469</v>
      </c>
      <c r="G88" s="169">
        <v>0</v>
      </c>
      <c r="H88" s="170">
        <v>3</v>
      </c>
      <c r="I88" s="170">
        <v>19</v>
      </c>
      <c r="J88" s="170">
        <v>33</v>
      </c>
      <c r="K88" s="215">
        <v>0</v>
      </c>
      <c r="L88" s="172">
        <v>24</v>
      </c>
      <c r="M88" s="172">
        <v>12</v>
      </c>
      <c r="N88" s="273"/>
      <c r="O88" s="273"/>
      <c r="P88" s="273"/>
      <c r="Q88" s="273"/>
      <c r="R88" s="273"/>
      <c r="S88" s="273"/>
      <c r="T88" s="273"/>
      <c r="U88" s="273"/>
      <c r="V88" s="273"/>
      <c r="W88" s="273"/>
      <c r="X88" s="273"/>
    </row>
    <row r="89" spans="1:24" s="206" customFormat="1" ht="15" customHeight="1" x14ac:dyDescent="0.25">
      <c r="A89" s="166" t="s">
        <v>339</v>
      </c>
      <c r="B89" s="276">
        <v>1423</v>
      </c>
      <c r="C89" s="277">
        <v>1592</v>
      </c>
      <c r="D89" s="276">
        <v>8008</v>
      </c>
      <c r="E89" s="276">
        <v>18787</v>
      </c>
      <c r="F89" s="276">
        <v>24785</v>
      </c>
      <c r="G89" s="169">
        <v>0</v>
      </c>
      <c r="H89" s="170">
        <v>6</v>
      </c>
      <c r="I89" s="170">
        <v>21</v>
      </c>
      <c r="J89" s="170">
        <v>35</v>
      </c>
      <c r="K89" s="215">
        <v>0</v>
      </c>
      <c r="L89" s="172">
        <v>18</v>
      </c>
      <c r="M89" s="173">
        <v>9.6</v>
      </c>
      <c r="N89" s="273"/>
      <c r="O89" s="273"/>
      <c r="P89" s="273"/>
      <c r="Q89" s="273"/>
      <c r="R89" s="273"/>
      <c r="S89" s="273"/>
      <c r="T89" s="273"/>
      <c r="U89" s="273"/>
      <c r="V89" s="273"/>
      <c r="W89" s="273"/>
      <c r="X89" s="273"/>
    </row>
    <row r="90" spans="1:24" s="206" customFormat="1" ht="15" customHeight="1" x14ac:dyDescent="0.25">
      <c r="A90" s="166" t="s">
        <v>317</v>
      </c>
      <c r="B90" s="276">
        <v>4294</v>
      </c>
      <c r="C90" s="277">
        <v>4418</v>
      </c>
      <c r="D90" s="276">
        <v>5870</v>
      </c>
      <c r="E90" s="276">
        <v>7445</v>
      </c>
      <c r="F90" s="276">
        <v>8461</v>
      </c>
      <c r="G90" s="169">
        <v>0</v>
      </c>
      <c r="H90" s="170">
        <v>17</v>
      </c>
      <c r="I90" s="170">
        <v>16</v>
      </c>
      <c r="J90" s="170">
        <v>12</v>
      </c>
      <c r="K90" s="215">
        <v>0</v>
      </c>
      <c r="L90" s="173">
        <v>2.9</v>
      </c>
      <c r="M90" s="173">
        <v>2.2000000000000002</v>
      </c>
      <c r="N90" s="273"/>
      <c r="O90" s="273"/>
      <c r="P90" s="273"/>
      <c r="Q90" s="273"/>
      <c r="R90" s="273"/>
      <c r="S90" s="273"/>
      <c r="T90" s="273"/>
      <c r="U90" s="273"/>
      <c r="V90" s="273"/>
      <c r="W90" s="273"/>
      <c r="X90" s="273"/>
    </row>
    <row r="91" spans="1:24" s="206" customFormat="1" ht="15" customHeight="1" x14ac:dyDescent="0.25">
      <c r="A91" s="166" t="s">
        <v>434</v>
      </c>
      <c r="B91" s="276">
        <v>665</v>
      </c>
      <c r="C91" s="277">
        <v>718</v>
      </c>
      <c r="D91" s="276">
        <v>1407</v>
      </c>
      <c r="E91" s="276">
        <v>2676</v>
      </c>
      <c r="F91" s="276">
        <v>3279</v>
      </c>
      <c r="G91" s="169">
        <v>0</v>
      </c>
      <c r="H91" s="170">
        <v>3</v>
      </c>
      <c r="I91" s="170">
        <v>4</v>
      </c>
      <c r="J91" s="170">
        <v>5</v>
      </c>
      <c r="K91" s="215">
        <v>0</v>
      </c>
      <c r="L91" s="173">
        <v>7</v>
      </c>
      <c r="M91" s="173">
        <v>5.2</v>
      </c>
      <c r="N91" s="273"/>
      <c r="O91" s="273"/>
      <c r="P91" s="273"/>
      <c r="Q91" s="273"/>
      <c r="R91" s="273"/>
      <c r="S91" s="273"/>
      <c r="T91" s="273"/>
      <c r="U91" s="273"/>
      <c r="V91" s="273"/>
      <c r="W91" s="273"/>
      <c r="X91" s="273"/>
    </row>
    <row r="92" spans="1:24" s="286" customFormat="1" ht="15" customHeight="1" x14ac:dyDescent="0.25">
      <c r="A92" s="278" t="s">
        <v>464</v>
      </c>
      <c r="B92" s="279">
        <v>0</v>
      </c>
      <c r="C92" s="280">
        <v>0</v>
      </c>
      <c r="D92" s="279">
        <v>129</v>
      </c>
      <c r="E92" s="279">
        <v>673</v>
      </c>
      <c r="F92" s="279">
        <v>842</v>
      </c>
      <c r="G92" s="281">
        <v>0</v>
      </c>
      <c r="H92" s="282">
        <v>0</v>
      </c>
      <c r="I92" s="283">
        <v>0</v>
      </c>
      <c r="J92" s="282">
        <v>1</v>
      </c>
      <c r="K92" s="284">
        <v>0</v>
      </c>
      <c r="L92" s="285" t="s">
        <v>445</v>
      </c>
      <c r="M92" s="285" t="s">
        <v>445</v>
      </c>
      <c r="N92" s="273"/>
      <c r="O92" s="273"/>
      <c r="P92" s="273"/>
      <c r="Q92" s="273"/>
      <c r="R92" s="273"/>
      <c r="S92" s="273"/>
      <c r="T92" s="273"/>
      <c r="U92" s="273"/>
      <c r="V92" s="273"/>
      <c r="W92" s="273"/>
      <c r="X92" s="273"/>
    </row>
    <row r="93" spans="1:24" s="206" customFormat="1" ht="15" customHeight="1" x14ac:dyDescent="0.25">
      <c r="A93" s="166" t="s">
        <v>465</v>
      </c>
      <c r="B93" s="276">
        <v>14</v>
      </c>
      <c r="C93" s="277">
        <v>14</v>
      </c>
      <c r="D93" s="276">
        <v>204</v>
      </c>
      <c r="E93" s="276">
        <v>880</v>
      </c>
      <c r="F93" s="276">
        <v>1386</v>
      </c>
      <c r="G93" s="169">
        <v>0</v>
      </c>
      <c r="H93" s="224">
        <v>0</v>
      </c>
      <c r="I93" s="170">
        <v>1</v>
      </c>
      <c r="J93" s="170">
        <v>2</v>
      </c>
      <c r="K93" s="215">
        <v>0</v>
      </c>
      <c r="L93" s="172">
        <v>31</v>
      </c>
      <c r="M93" s="172">
        <v>17</v>
      </c>
      <c r="N93" s="273"/>
      <c r="O93" s="273"/>
      <c r="P93" s="273"/>
      <c r="Q93" s="273"/>
      <c r="R93" s="273"/>
      <c r="S93" s="273"/>
      <c r="T93" s="273"/>
      <c r="U93" s="273"/>
      <c r="V93" s="273"/>
      <c r="W93" s="273"/>
      <c r="X93" s="273"/>
    </row>
    <row r="94" spans="1:24" s="206" customFormat="1" ht="15" customHeight="1" x14ac:dyDescent="0.25">
      <c r="A94" s="166" t="s">
        <v>337</v>
      </c>
      <c r="B94" s="276">
        <v>92</v>
      </c>
      <c r="C94" s="277">
        <v>94</v>
      </c>
      <c r="D94" s="276">
        <v>330</v>
      </c>
      <c r="E94" s="276">
        <v>625</v>
      </c>
      <c r="F94" s="276">
        <v>821</v>
      </c>
      <c r="G94" s="169">
        <v>0</v>
      </c>
      <c r="H94" s="224">
        <v>0</v>
      </c>
      <c r="I94" s="170">
        <v>1</v>
      </c>
      <c r="J94" s="170">
        <v>1</v>
      </c>
      <c r="K94" s="215">
        <v>0</v>
      </c>
      <c r="L94" s="172">
        <v>13</v>
      </c>
      <c r="M94" s="173">
        <v>7.5</v>
      </c>
      <c r="N94" s="273"/>
      <c r="O94" s="273"/>
      <c r="P94" s="273"/>
      <c r="Q94" s="273"/>
      <c r="R94" s="273"/>
      <c r="S94" s="273"/>
      <c r="T94" s="273"/>
      <c r="U94" s="273"/>
      <c r="V94" s="273"/>
      <c r="W94" s="273"/>
      <c r="X94" s="273"/>
    </row>
    <row r="95" spans="1:24" s="206" customFormat="1" ht="15" customHeight="1" x14ac:dyDescent="0.25">
      <c r="A95" s="166" t="s">
        <v>466</v>
      </c>
      <c r="B95" s="276">
        <v>1</v>
      </c>
      <c r="C95" s="277">
        <v>2</v>
      </c>
      <c r="D95" s="276">
        <v>27</v>
      </c>
      <c r="E95" s="276">
        <v>77</v>
      </c>
      <c r="F95" s="276">
        <v>132</v>
      </c>
      <c r="G95" s="169">
        <v>0</v>
      </c>
      <c r="H95" s="224">
        <v>0</v>
      </c>
      <c r="I95" s="224">
        <v>0</v>
      </c>
      <c r="J95" s="224">
        <v>0</v>
      </c>
      <c r="K95" s="215">
        <v>0</v>
      </c>
      <c r="L95" s="172">
        <v>28</v>
      </c>
      <c r="M95" s="172">
        <v>14</v>
      </c>
      <c r="N95" s="273"/>
      <c r="O95" s="273"/>
      <c r="P95" s="273"/>
      <c r="Q95" s="273"/>
      <c r="R95" s="273"/>
      <c r="S95" s="273"/>
      <c r="T95" s="273"/>
      <c r="U95" s="273"/>
      <c r="V95" s="273"/>
      <c r="W95" s="273"/>
      <c r="X95" s="273"/>
    </row>
    <row r="96" spans="1:24" ht="15" customHeight="1" x14ac:dyDescent="0.25">
      <c r="A96" s="159" t="s">
        <v>313</v>
      </c>
      <c r="B96" s="274">
        <v>2792</v>
      </c>
      <c r="C96" s="275">
        <v>2698</v>
      </c>
      <c r="D96" s="274">
        <v>3777</v>
      </c>
      <c r="E96" s="274">
        <v>4855</v>
      </c>
      <c r="F96" s="274">
        <v>5497</v>
      </c>
      <c r="G96" s="162">
        <v>0</v>
      </c>
      <c r="H96" s="163">
        <v>10</v>
      </c>
      <c r="I96" s="163">
        <v>10</v>
      </c>
      <c r="J96" s="163">
        <v>8</v>
      </c>
      <c r="K96" s="212">
        <v>0</v>
      </c>
      <c r="L96" s="165">
        <v>3.4</v>
      </c>
      <c r="M96" s="165">
        <v>2.4</v>
      </c>
      <c r="N96" s="273"/>
      <c r="O96" s="273"/>
      <c r="P96" s="273"/>
      <c r="Q96" s="273"/>
      <c r="R96" s="273"/>
      <c r="S96" s="273"/>
      <c r="T96" s="273"/>
      <c r="U96" s="273"/>
      <c r="V96" s="273"/>
      <c r="W96" s="273"/>
      <c r="X96" s="273"/>
    </row>
    <row r="97" spans="1:24" ht="15" customHeight="1" x14ac:dyDescent="0.25">
      <c r="A97" s="159" t="s">
        <v>467</v>
      </c>
      <c r="B97" s="274">
        <v>0</v>
      </c>
      <c r="C97" s="275">
        <v>0</v>
      </c>
      <c r="D97" s="274">
        <v>875</v>
      </c>
      <c r="E97" s="274">
        <v>1857</v>
      </c>
      <c r="F97" s="274">
        <v>1713</v>
      </c>
      <c r="G97" s="162">
        <v>0</v>
      </c>
      <c r="H97" s="163">
        <v>0</v>
      </c>
      <c r="I97" s="163">
        <v>2</v>
      </c>
      <c r="J97" s="163">
        <v>2</v>
      </c>
      <c r="K97" s="212">
        <v>0</v>
      </c>
      <c r="L97" s="175" t="s">
        <v>445</v>
      </c>
      <c r="M97" s="175" t="s">
        <v>445</v>
      </c>
      <c r="N97" s="273"/>
      <c r="O97" s="273"/>
      <c r="P97" s="273"/>
      <c r="Q97" s="273"/>
      <c r="R97" s="273"/>
      <c r="S97" s="273"/>
      <c r="T97" s="273"/>
      <c r="U97" s="273"/>
      <c r="V97" s="273"/>
      <c r="W97" s="273"/>
      <c r="X97" s="273"/>
    </row>
    <row r="98" spans="1:24" ht="15" customHeight="1" x14ac:dyDescent="0.25">
      <c r="A98" s="159" t="s">
        <v>468</v>
      </c>
      <c r="B98" s="274">
        <v>1</v>
      </c>
      <c r="C98" s="275">
        <v>4</v>
      </c>
      <c r="D98" s="274">
        <v>459</v>
      </c>
      <c r="E98" s="274">
        <v>1659</v>
      </c>
      <c r="F98" s="274">
        <v>1332</v>
      </c>
      <c r="G98" s="162">
        <v>0</v>
      </c>
      <c r="H98" s="198">
        <v>0</v>
      </c>
      <c r="I98" s="163">
        <v>1</v>
      </c>
      <c r="J98" s="163">
        <v>2</v>
      </c>
      <c r="K98" s="212">
        <v>0</v>
      </c>
      <c r="L98" s="178">
        <v>61</v>
      </c>
      <c r="M98" s="178">
        <v>22</v>
      </c>
      <c r="N98" s="273"/>
      <c r="O98" s="273"/>
      <c r="P98" s="273"/>
      <c r="Q98" s="273"/>
      <c r="R98" s="273"/>
      <c r="S98" s="273"/>
      <c r="T98" s="273"/>
      <c r="U98" s="273"/>
      <c r="V98" s="273"/>
      <c r="W98" s="273"/>
      <c r="X98" s="273"/>
    </row>
    <row r="99" spans="1:24" s="206" customFormat="1" ht="15" customHeight="1" x14ac:dyDescent="0.25">
      <c r="A99" s="166" t="s">
        <v>432</v>
      </c>
      <c r="B99" s="276">
        <v>1</v>
      </c>
      <c r="C99" s="277">
        <v>4</v>
      </c>
      <c r="D99" s="276">
        <v>289</v>
      </c>
      <c r="E99" s="276">
        <v>966</v>
      </c>
      <c r="F99" s="276">
        <v>663</v>
      </c>
      <c r="G99" s="169">
        <v>0</v>
      </c>
      <c r="H99" s="224">
        <v>0</v>
      </c>
      <c r="I99" s="170">
        <v>1</v>
      </c>
      <c r="J99" s="170">
        <v>1</v>
      </c>
      <c r="K99" s="212">
        <v>0</v>
      </c>
      <c r="L99" s="178">
        <v>54</v>
      </c>
      <c r="M99" s="178">
        <v>19</v>
      </c>
      <c r="N99" s="273"/>
      <c r="O99" s="273"/>
      <c r="P99" s="273"/>
      <c r="Q99" s="273"/>
      <c r="R99" s="273"/>
      <c r="S99" s="273"/>
      <c r="T99" s="273"/>
      <c r="U99" s="273"/>
      <c r="V99" s="273"/>
      <c r="W99" s="273"/>
      <c r="X99" s="273"/>
    </row>
    <row r="100" spans="1:24" s="206" customFormat="1" ht="15" customHeight="1" x14ac:dyDescent="0.25">
      <c r="A100" s="166" t="s">
        <v>429</v>
      </c>
      <c r="B100" s="276">
        <v>0</v>
      </c>
      <c r="C100" s="277">
        <v>0</v>
      </c>
      <c r="D100" s="276">
        <v>170</v>
      </c>
      <c r="E100" s="276">
        <v>694</v>
      </c>
      <c r="F100" s="276">
        <v>669</v>
      </c>
      <c r="G100" s="169">
        <v>0</v>
      </c>
      <c r="H100" s="170">
        <v>0</v>
      </c>
      <c r="I100" s="224">
        <v>0</v>
      </c>
      <c r="J100" s="170">
        <v>1</v>
      </c>
      <c r="K100" s="212">
        <v>0</v>
      </c>
      <c r="L100" s="175" t="s">
        <v>445</v>
      </c>
      <c r="M100" s="175" t="s">
        <v>445</v>
      </c>
      <c r="N100" s="273"/>
      <c r="O100" s="273"/>
      <c r="P100" s="273"/>
      <c r="Q100" s="273"/>
      <c r="R100" s="273"/>
      <c r="S100" s="273"/>
      <c r="T100" s="273"/>
      <c r="U100" s="273"/>
      <c r="V100" s="273"/>
      <c r="W100" s="273"/>
      <c r="X100" s="273"/>
    </row>
    <row r="101" spans="1:24" ht="15" customHeight="1" x14ac:dyDescent="0.25">
      <c r="A101" s="159" t="s">
        <v>469</v>
      </c>
      <c r="B101" s="274">
        <v>16941</v>
      </c>
      <c r="C101" s="275">
        <v>16382</v>
      </c>
      <c r="D101" s="274">
        <v>9358</v>
      </c>
      <c r="E101" s="274">
        <v>632</v>
      </c>
      <c r="F101" s="274">
        <v>259</v>
      </c>
      <c r="G101" s="162">
        <v>0</v>
      </c>
      <c r="H101" s="163">
        <v>61</v>
      </c>
      <c r="I101" s="163">
        <v>25</v>
      </c>
      <c r="J101" s="198">
        <v>0</v>
      </c>
      <c r="K101" s="212">
        <v>0</v>
      </c>
      <c r="L101" s="165">
        <v>-5.4</v>
      </c>
      <c r="M101" s="178">
        <v>-13</v>
      </c>
      <c r="N101" s="273"/>
      <c r="O101" s="273"/>
      <c r="P101" s="273"/>
      <c r="Q101" s="273"/>
      <c r="R101" s="273"/>
      <c r="S101" s="273"/>
      <c r="T101" s="273"/>
      <c r="U101" s="273"/>
      <c r="V101" s="273"/>
      <c r="W101" s="273"/>
      <c r="X101" s="273"/>
    </row>
    <row r="102" spans="1:24" s="206" customFormat="1" ht="15" customHeight="1" x14ac:dyDescent="0.25">
      <c r="A102" s="166" t="s">
        <v>310</v>
      </c>
      <c r="B102" s="276">
        <v>9832</v>
      </c>
      <c r="C102" s="277">
        <v>9426</v>
      </c>
      <c r="D102" s="276">
        <v>2947</v>
      </c>
      <c r="E102" s="221">
        <v>0</v>
      </c>
      <c r="F102" s="221">
        <v>0</v>
      </c>
      <c r="G102" s="169">
        <v>0</v>
      </c>
      <c r="H102" s="170">
        <v>35</v>
      </c>
      <c r="I102" s="170">
        <v>8</v>
      </c>
      <c r="J102" s="224">
        <v>0</v>
      </c>
      <c r="K102" s="212">
        <v>0</v>
      </c>
      <c r="L102" s="178">
        <v>-11</v>
      </c>
      <c r="M102" s="178">
        <v>-40</v>
      </c>
      <c r="N102" s="273"/>
      <c r="O102" s="273"/>
      <c r="P102" s="273"/>
      <c r="Q102" s="273"/>
      <c r="R102" s="273"/>
      <c r="S102" s="273"/>
      <c r="T102" s="273"/>
      <c r="U102" s="273"/>
      <c r="V102" s="273"/>
      <c r="W102" s="273"/>
      <c r="X102" s="273"/>
    </row>
    <row r="103" spans="1:24" s="206" customFormat="1" ht="15" customHeight="1" x14ac:dyDescent="0.25">
      <c r="A103" s="166" t="s">
        <v>312</v>
      </c>
      <c r="B103" s="276">
        <v>6314</v>
      </c>
      <c r="C103" s="277">
        <v>6200</v>
      </c>
      <c r="D103" s="276">
        <v>6222</v>
      </c>
      <c r="E103" s="276">
        <v>626</v>
      </c>
      <c r="F103" s="276">
        <v>253</v>
      </c>
      <c r="G103" s="169">
        <v>0</v>
      </c>
      <c r="H103" s="170">
        <v>23</v>
      </c>
      <c r="I103" s="170">
        <v>17</v>
      </c>
      <c r="J103" s="224">
        <v>0</v>
      </c>
      <c r="K103" s="212">
        <v>0</v>
      </c>
      <c r="L103" s="165">
        <v>0</v>
      </c>
      <c r="M103" s="178">
        <v>-10</v>
      </c>
      <c r="N103" s="273"/>
      <c r="O103" s="273"/>
      <c r="P103" s="273"/>
      <c r="Q103" s="273"/>
      <c r="R103" s="273"/>
      <c r="S103" s="273"/>
      <c r="T103" s="273"/>
      <c r="U103" s="273"/>
      <c r="V103" s="273"/>
      <c r="W103" s="273"/>
      <c r="X103" s="273"/>
    </row>
    <row r="104" spans="1:24" s="206" customFormat="1" ht="15" customHeight="1" thickBot="1" x14ac:dyDescent="0.3">
      <c r="A104" s="287" t="s">
        <v>309</v>
      </c>
      <c r="B104" s="288">
        <v>795</v>
      </c>
      <c r="C104" s="289">
        <v>756</v>
      </c>
      <c r="D104" s="288">
        <v>189</v>
      </c>
      <c r="E104" s="288">
        <v>6</v>
      </c>
      <c r="F104" s="288">
        <v>6</v>
      </c>
      <c r="G104" s="290">
        <v>0</v>
      </c>
      <c r="H104" s="291">
        <v>3</v>
      </c>
      <c r="I104" s="291">
        <v>1</v>
      </c>
      <c r="J104" s="292">
        <v>0</v>
      </c>
      <c r="K104" s="293">
        <v>0</v>
      </c>
      <c r="L104" s="294">
        <v>-13</v>
      </c>
      <c r="M104" s="294">
        <v>-15</v>
      </c>
      <c r="N104" s="273"/>
      <c r="O104" s="273"/>
      <c r="P104" s="273"/>
      <c r="Q104" s="273"/>
      <c r="R104" s="273"/>
      <c r="S104" s="273"/>
      <c r="T104" s="273"/>
      <c r="U104" s="273"/>
      <c r="V104" s="273"/>
      <c r="W104" s="273"/>
      <c r="X104" s="273"/>
    </row>
    <row r="105" spans="1:24" ht="15.75" customHeight="1" x14ac:dyDescent="0.25">
      <c r="N105" s="273"/>
      <c r="O105" s="273"/>
      <c r="P105" s="273"/>
      <c r="Q105" s="273"/>
      <c r="R105" s="273"/>
      <c r="S105" s="273"/>
      <c r="T105" s="273"/>
      <c r="U105" s="273"/>
      <c r="V105" s="273"/>
      <c r="W105" s="273"/>
      <c r="X105" s="273"/>
    </row>
    <row r="106" spans="1:24" ht="13.5" customHeight="1" x14ac:dyDescent="0.25">
      <c r="A106" s="143"/>
      <c r="B106" s="144" t="s">
        <v>470</v>
      </c>
      <c r="C106" s="144"/>
      <c r="D106" s="144"/>
      <c r="E106" s="144"/>
      <c r="F106" s="144"/>
      <c r="G106" s="144"/>
      <c r="H106" s="144" t="s">
        <v>471</v>
      </c>
      <c r="I106" s="144"/>
      <c r="J106" s="144"/>
      <c r="K106" s="144"/>
      <c r="L106" s="144" t="s">
        <v>418</v>
      </c>
      <c r="M106" s="144"/>
      <c r="N106" s="273"/>
      <c r="O106" s="273"/>
      <c r="P106" s="273"/>
      <c r="Q106" s="273"/>
      <c r="R106" s="273"/>
      <c r="S106" s="273"/>
      <c r="T106" s="273"/>
      <c r="U106" s="273"/>
      <c r="V106" s="273"/>
      <c r="W106" s="273"/>
      <c r="X106" s="273"/>
    </row>
    <row r="107" spans="1:24" ht="24" x14ac:dyDescent="0.25">
      <c r="A107" s="143"/>
      <c r="B107" s="149">
        <v>2019</v>
      </c>
      <c r="C107" s="149">
        <v>2020</v>
      </c>
      <c r="D107" s="149">
        <v>2030</v>
      </c>
      <c r="E107" s="149">
        <v>2040</v>
      </c>
      <c r="F107" s="149">
        <v>2050</v>
      </c>
      <c r="G107" s="271"/>
      <c r="H107" s="149">
        <v>2020</v>
      </c>
      <c r="I107" s="149">
        <v>2030</v>
      </c>
      <c r="J107" s="149">
        <v>2050</v>
      </c>
      <c r="K107" s="208"/>
      <c r="L107" s="151" t="s">
        <v>419</v>
      </c>
      <c r="M107" s="151" t="s">
        <v>299</v>
      </c>
      <c r="N107" s="273"/>
      <c r="O107" s="273"/>
      <c r="P107" s="273"/>
      <c r="Q107" s="273"/>
      <c r="R107" s="273"/>
      <c r="S107" s="273"/>
      <c r="T107" s="273"/>
      <c r="U107" s="273"/>
      <c r="V107" s="273"/>
      <c r="W107" s="273"/>
      <c r="X107" s="273"/>
    </row>
    <row r="108" spans="1:24" ht="15" customHeight="1" x14ac:dyDescent="0.25">
      <c r="A108" s="152" t="s">
        <v>472</v>
      </c>
      <c r="B108" s="272">
        <v>7484</v>
      </c>
      <c r="C108" s="272">
        <v>7795</v>
      </c>
      <c r="D108" s="272">
        <v>14933</v>
      </c>
      <c r="E108" s="272">
        <v>26384</v>
      </c>
      <c r="F108" s="272">
        <v>33415</v>
      </c>
      <c r="G108" s="154">
        <v>0</v>
      </c>
      <c r="H108" s="155">
        <v>100</v>
      </c>
      <c r="I108" s="155">
        <v>100</v>
      </c>
      <c r="J108" s="155">
        <v>100</v>
      </c>
      <c r="K108" s="210">
        <v>0</v>
      </c>
      <c r="L108" s="157">
        <v>6.7</v>
      </c>
      <c r="M108" s="157">
        <v>5</v>
      </c>
      <c r="N108" s="273"/>
      <c r="O108" s="273"/>
      <c r="P108" s="273"/>
      <c r="Q108" s="273"/>
      <c r="R108" s="273"/>
      <c r="S108" s="273"/>
      <c r="T108" s="273"/>
      <c r="U108" s="273"/>
      <c r="V108" s="273"/>
      <c r="W108" s="273"/>
      <c r="X108" s="273"/>
    </row>
    <row r="109" spans="1:24" ht="15" customHeight="1" x14ac:dyDescent="0.25">
      <c r="A109" s="159" t="s">
        <v>421</v>
      </c>
      <c r="B109" s="274">
        <v>2707</v>
      </c>
      <c r="C109" s="275">
        <v>2994</v>
      </c>
      <c r="D109" s="274">
        <v>10293</v>
      </c>
      <c r="E109" s="274">
        <v>20732</v>
      </c>
      <c r="F109" s="274">
        <v>26568</v>
      </c>
      <c r="G109" s="162">
        <v>0</v>
      </c>
      <c r="H109" s="163">
        <v>38</v>
      </c>
      <c r="I109" s="163">
        <v>69</v>
      </c>
      <c r="J109" s="163">
        <v>80</v>
      </c>
      <c r="K109" s="212">
        <v>0</v>
      </c>
      <c r="L109" s="178">
        <v>13</v>
      </c>
      <c r="M109" s="165">
        <v>7.5</v>
      </c>
      <c r="N109" s="273"/>
      <c r="O109" s="273"/>
      <c r="P109" s="273"/>
      <c r="Q109" s="273"/>
      <c r="R109" s="273"/>
      <c r="S109" s="273"/>
      <c r="T109" s="273"/>
      <c r="U109" s="273"/>
      <c r="V109" s="273"/>
      <c r="W109" s="273"/>
      <c r="X109" s="273"/>
    </row>
    <row r="110" spans="1:24" s="206" customFormat="1" ht="15" customHeight="1" x14ac:dyDescent="0.25">
      <c r="A110" s="166" t="s">
        <v>340</v>
      </c>
      <c r="B110" s="276">
        <v>603</v>
      </c>
      <c r="C110" s="277">
        <v>737</v>
      </c>
      <c r="D110" s="276">
        <v>4956</v>
      </c>
      <c r="E110" s="276">
        <v>10980</v>
      </c>
      <c r="F110" s="276">
        <v>14458</v>
      </c>
      <c r="G110" s="169">
        <v>0</v>
      </c>
      <c r="H110" s="295">
        <v>9</v>
      </c>
      <c r="I110" s="295">
        <v>33</v>
      </c>
      <c r="J110" s="295">
        <v>43</v>
      </c>
      <c r="K110" s="296">
        <v>0</v>
      </c>
      <c r="L110" s="172">
        <v>21</v>
      </c>
      <c r="M110" s="172">
        <v>10</v>
      </c>
      <c r="N110" s="273"/>
      <c r="O110" s="273"/>
      <c r="P110" s="273"/>
      <c r="Q110" s="273"/>
      <c r="R110" s="273"/>
      <c r="S110" s="273"/>
      <c r="T110" s="273"/>
      <c r="U110" s="273"/>
      <c r="V110" s="273"/>
      <c r="W110" s="273"/>
      <c r="X110" s="273"/>
    </row>
    <row r="111" spans="1:24" s="206" customFormat="1" ht="15" customHeight="1" x14ac:dyDescent="0.25">
      <c r="A111" s="166" t="s">
        <v>339</v>
      </c>
      <c r="B111" s="276">
        <v>623</v>
      </c>
      <c r="C111" s="277">
        <v>737</v>
      </c>
      <c r="D111" s="276">
        <v>3101</v>
      </c>
      <c r="E111" s="276">
        <v>6525</v>
      </c>
      <c r="F111" s="276">
        <v>8265</v>
      </c>
      <c r="G111" s="169">
        <v>0</v>
      </c>
      <c r="H111" s="295">
        <v>9</v>
      </c>
      <c r="I111" s="295">
        <v>21</v>
      </c>
      <c r="J111" s="295">
        <v>25</v>
      </c>
      <c r="K111" s="296">
        <v>0</v>
      </c>
      <c r="L111" s="172">
        <v>15</v>
      </c>
      <c r="M111" s="173">
        <v>8.4</v>
      </c>
      <c r="N111" s="273"/>
      <c r="O111" s="273"/>
      <c r="P111" s="273"/>
      <c r="Q111" s="273"/>
      <c r="R111" s="273"/>
      <c r="S111" s="273"/>
      <c r="T111" s="273"/>
      <c r="U111" s="273"/>
      <c r="V111" s="273"/>
      <c r="W111" s="273"/>
      <c r="X111" s="273"/>
    </row>
    <row r="112" spans="1:24" s="206" customFormat="1" ht="15" customHeight="1" x14ac:dyDescent="0.25">
      <c r="A112" s="166" t="s">
        <v>317</v>
      </c>
      <c r="B112" s="276">
        <v>1306</v>
      </c>
      <c r="C112" s="277">
        <v>1327</v>
      </c>
      <c r="D112" s="276">
        <v>1804</v>
      </c>
      <c r="E112" s="276">
        <v>2282</v>
      </c>
      <c r="F112" s="276">
        <v>2599</v>
      </c>
      <c r="G112" s="169">
        <v>0</v>
      </c>
      <c r="H112" s="295">
        <v>17</v>
      </c>
      <c r="I112" s="295">
        <v>12</v>
      </c>
      <c r="J112" s="295">
        <v>8</v>
      </c>
      <c r="K112" s="296">
        <v>0</v>
      </c>
      <c r="L112" s="173">
        <v>3.1</v>
      </c>
      <c r="M112" s="173">
        <v>2.2999999999999998</v>
      </c>
      <c r="N112" s="273"/>
      <c r="O112" s="273"/>
      <c r="P112" s="273"/>
      <c r="Q112" s="273"/>
      <c r="R112" s="273"/>
      <c r="S112" s="273"/>
      <c r="T112" s="273"/>
      <c r="U112" s="273"/>
      <c r="V112" s="273"/>
      <c r="W112" s="273"/>
      <c r="X112" s="273"/>
    </row>
    <row r="113" spans="1:24" s="206" customFormat="1" ht="15" customHeight="1" x14ac:dyDescent="0.25">
      <c r="A113" s="166" t="s">
        <v>434</v>
      </c>
      <c r="B113" s="276">
        <v>153</v>
      </c>
      <c r="C113" s="277">
        <v>171</v>
      </c>
      <c r="D113" s="276">
        <v>297</v>
      </c>
      <c r="E113" s="276">
        <v>534</v>
      </c>
      <c r="F113" s="276">
        <v>640</v>
      </c>
      <c r="G113" s="169">
        <v>0</v>
      </c>
      <c r="H113" s="295">
        <v>2</v>
      </c>
      <c r="I113" s="295">
        <v>2</v>
      </c>
      <c r="J113" s="295">
        <v>2</v>
      </c>
      <c r="K113" s="296">
        <v>0</v>
      </c>
      <c r="L113" s="173">
        <v>5.7</v>
      </c>
      <c r="M113" s="173">
        <v>4.5</v>
      </c>
      <c r="N113" s="273"/>
      <c r="O113" s="273"/>
      <c r="P113" s="273"/>
      <c r="Q113" s="273"/>
      <c r="R113" s="273"/>
      <c r="S113" s="273"/>
      <c r="T113" s="273"/>
      <c r="U113" s="273"/>
      <c r="V113" s="273"/>
      <c r="W113" s="273"/>
      <c r="X113" s="273"/>
    </row>
    <row r="114" spans="1:24" s="206" customFormat="1" ht="15" customHeight="1" x14ac:dyDescent="0.25">
      <c r="A114" s="278" t="s">
        <v>464</v>
      </c>
      <c r="B114" s="279">
        <v>0</v>
      </c>
      <c r="C114" s="280">
        <v>0</v>
      </c>
      <c r="D114" s="279">
        <v>28</v>
      </c>
      <c r="E114" s="279">
        <v>125</v>
      </c>
      <c r="F114" s="279">
        <v>152</v>
      </c>
      <c r="G114" s="281">
        <v>0</v>
      </c>
      <c r="H114" s="297">
        <v>0</v>
      </c>
      <c r="I114" s="298">
        <v>0</v>
      </c>
      <c r="J114" s="298">
        <v>0</v>
      </c>
      <c r="K114" s="299">
        <v>0</v>
      </c>
      <c r="L114" s="285" t="s">
        <v>445</v>
      </c>
      <c r="M114" s="285" t="s">
        <v>445</v>
      </c>
      <c r="N114" s="273"/>
      <c r="O114" s="273"/>
      <c r="P114" s="273"/>
      <c r="Q114" s="273"/>
      <c r="R114" s="273"/>
      <c r="S114" s="273"/>
      <c r="T114" s="273"/>
      <c r="U114" s="273"/>
      <c r="V114" s="273"/>
      <c r="W114" s="273"/>
      <c r="X114" s="273"/>
    </row>
    <row r="115" spans="1:24" s="206" customFormat="1" ht="15" customHeight="1" x14ac:dyDescent="0.25">
      <c r="A115" s="166" t="s">
        <v>465</v>
      </c>
      <c r="B115" s="276">
        <v>6</v>
      </c>
      <c r="C115" s="277">
        <v>6</v>
      </c>
      <c r="D115" s="276">
        <v>73</v>
      </c>
      <c r="E115" s="276">
        <v>281</v>
      </c>
      <c r="F115" s="276">
        <v>426</v>
      </c>
      <c r="G115" s="169">
        <v>0</v>
      </c>
      <c r="H115" s="300">
        <v>0</v>
      </c>
      <c r="I115" s="300">
        <v>0</v>
      </c>
      <c r="J115" s="300">
        <v>1</v>
      </c>
      <c r="K115" s="296">
        <v>0</v>
      </c>
      <c r="L115" s="172">
        <v>28</v>
      </c>
      <c r="M115" s="172">
        <v>15</v>
      </c>
      <c r="N115" s="273"/>
      <c r="O115" s="273"/>
      <c r="P115" s="273"/>
      <c r="Q115" s="273"/>
      <c r="R115" s="273"/>
      <c r="S115" s="273"/>
      <c r="T115" s="273"/>
      <c r="U115" s="273"/>
      <c r="V115" s="273"/>
      <c r="W115" s="273"/>
      <c r="X115" s="273"/>
    </row>
    <row r="116" spans="1:24" s="206" customFormat="1" ht="15" customHeight="1" x14ac:dyDescent="0.25">
      <c r="A116" s="166" t="s">
        <v>337</v>
      </c>
      <c r="B116" s="276">
        <v>15</v>
      </c>
      <c r="C116" s="277">
        <v>15</v>
      </c>
      <c r="D116" s="276">
        <v>52</v>
      </c>
      <c r="E116" s="276">
        <v>98</v>
      </c>
      <c r="F116" s="276">
        <v>126</v>
      </c>
      <c r="G116" s="169">
        <v>0</v>
      </c>
      <c r="H116" s="300">
        <v>0</v>
      </c>
      <c r="I116" s="300">
        <v>0</v>
      </c>
      <c r="J116" s="300">
        <v>0</v>
      </c>
      <c r="K116" s="296">
        <v>0</v>
      </c>
      <c r="L116" s="172">
        <v>13</v>
      </c>
      <c r="M116" s="173">
        <v>7.4</v>
      </c>
      <c r="N116" s="273"/>
      <c r="O116" s="273"/>
      <c r="P116" s="273"/>
      <c r="Q116" s="273"/>
      <c r="R116" s="273"/>
      <c r="S116" s="273"/>
      <c r="T116" s="273"/>
      <c r="U116" s="273"/>
      <c r="V116" s="273"/>
      <c r="W116" s="273"/>
      <c r="X116" s="273"/>
    </row>
    <row r="117" spans="1:24" s="206" customFormat="1" ht="15" customHeight="1" x14ac:dyDescent="0.25">
      <c r="A117" s="166" t="s">
        <v>466</v>
      </c>
      <c r="B117" s="276">
        <v>1</v>
      </c>
      <c r="C117" s="277">
        <v>1</v>
      </c>
      <c r="D117" s="276">
        <v>11</v>
      </c>
      <c r="E117" s="276">
        <v>32</v>
      </c>
      <c r="F117" s="276">
        <v>55</v>
      </c>
      <c r="G117" s="169">
        <v>0</v>
      </c>
      <c r="H117" s="300">
        <v>0</v>
      </c>
      <c r="I117" s="300">
        <v>0</v>
      </c>
      <c r="J117" s="300">
        <v>0</v>
      </c>
      <c r="K117" s="296">
        <v>0</v>
      </c>
      <c r="L117" s="172">
        <v>35</v>
      </c>
      <c r="M117" s="172">
        <v>16</v>
      </c>
      <c r="N117" s="273"/>
      <c r="O117" s="273"/>
      <c r="P117" s="273"/>
      <c r="Q117" s="273"/>
      <c r="R117" s="273"/>
      <c r="S117" s="273"/>
      <c r="T117" s="273"/>
      <c r="U117" s="273"/>
      <c r="V117" s="273"/>
      <c r="W117" s="273"/>
      <c r="X117" s="273"/>
    </row>
    <row r="118" spans="1:24" ht="15" customHeight="1" x14ac:dyDescent="0.25">
      <c r="A118" s="159" t="s">
        <v>313</v>
      </c>
      <c r="B118" s="274">
        <v>415</v>
      </c>
      <c r="C118" s="275">
        <v>415</v>
      </c>
      <c r="D118" s="274">
        <v>515</v>
      </c>
      <c r="E118" s="274">
        <v>730</v>
      </c>
      <c r="F118" s="274">
        <v>812</v>
      </c>
      <c r="G118" s="162">
        <v>0</v>
      </c>
      <c r="H118" s="163">
        <v>5</v>
      </c>
      <c r="I118" s="163">
        <v>3</v>
      </c>
      <c r="J118" s="163">
        <v>2</v>
      </c>
      <c r="K118" s="212">
        <v>0</v>
      </c>
      <c r="L118" s="165">
        <v>2.2000000000000002</v>
      </c>
      <c r="M118" s="165">
        <v>2.2999999999999998</v>
      </c>
      <c r="N118" s="273"/>
      <c r="O118" s="273"/>
      <c r="P118" s="273"/>
      <c r="Q118" s="273"/>
      <c r="R118" s="273"/>
      <c r="S118" s="273"/>
      <c r="T118" s="273"/>
      <c r="U118" s="273"/>
      <c r="V118" s="273"/>
      <c r="W118" s="273"/>
      <c r="X118" s="273"/>
    </row>
    <row r="119" spans="1:24" ht="15" customHeight="1" x14ac:dyDescent="0.25">
      <c r="A119" s="159" t="s">
        <v>467</v>
      </c>
      <c r="B119" s="274">
        <v>0</v>
      </c>
      <c r="C119" s="275">
        <v>0</v>
      </c>
      <c r="D119" s="274">
        <v>139</v>
      </c>
      <c r="E119" s="274">
        <v>1455</v>
      </c>
      <c r="F119" s="274">
        <v>1867</v>
      </c>
      <c r="G119" s="162">
        <v>0</v>
      </c>
      <c r="H119" s="163">
        <v>0</v>
      </c>
      <c r="I119" s="163">
        <v>1</v>
      </c>
      <c r="J119" s="163">
        <v>6</v>
      </c>
      <c r="K119" s="212">
        <v>0</v>
      </c>
      <c r="L119" s="175" t="s">
        <v>445</v>
      </c>
      <c r="M119" s="175" t="s">
        <v>445</v>
      </c>
      <c r="N119" s="273"/>
      <c r="O119" s="273"/>
      <c r="P119" s="273"/>
      <c r="Q119" s="273"/>
      <c r="R119" s="273"/>
      <c r="S119" s="273"/>
      <c r="T119" s="273"/>
      <c r="U119" s="273"/>
      <c r="V119" s="273"/>
      <c r="W119" s="273"/>
      <c r="X119" s="273"/>
    </row>
    <row r="120" spans="1:24" ht="15" customHeight="1" x14ac:dyDescent="0.25">
      <c r="A120" s="159" t="s">
        <v>468</v>
      </c>
      <c r="B120" s="301">
        <v>0</v>
      </c>
      <c r="C120" s="275">
        <v>1</v>
      </c>
      <c r="D120" s="274">
        <v>81</v>
      </c>
      <c r="E120" s="274">
        <v>312</v>
      </c>
      <c r="F120" s="274">
        <v>394</v>
      </c>
      <c r="G120" s="162">
        <v>0</v>
      </c>
      <c r="H120" s="177">
        <v>0</v>
      </c>
      <c r="I120" s="163">
        <v>1</v>
      </c>
      <c r="J120" s="163">
        <v>1</v>
      </c>
      <c r="K120" s="212">
        <v>0</v>
      </c>
      <c r="L120" s="178">
        <v>66</v>
      </c>
      <c r="M120" s="178">
        <v>25</v>
      </c>
      <c r="N120" s="273"/>
      <c r="O120" s="273"/>
      <c r="P120" s="273"/>
      <c r="Q120" s="273"/>
      <c r="R120" s="273"/>
      <c r="S120" s="273"/>
      <c r="T120" s="273"/>
      <c r="U120" s="273"/>
      <c r="V120" s="273"/>
      <c r="W120" s="273"/>
      <c r="X120" s="273"/>
    </row>
    <row r="121" spans="1:24" s="206" customFormat="1" ht="15" customHeight="1" x14ac:dyDescent="0.25">
      <c r="A121" s="166" t="s">
        <v>432</v>
      </c>
      <c r="B121" s="221">
        <v>0</v>
      </c>
      <c r="C121" s="277">
        <v>1</v>
      </c>
      <c r="D121" s="276">
        <v>53</v>
      </c>
      <c r="E121" s="276">
        <v>182</v>
      </c>
      <c r="F121" s="276">
        <v>222</v>
      </c>
      <c r="G121" s="169">
        <v>0</v>
      </c>
      <c r="H121" s="300">
        <v>0</v>
      </c>
      <c r="I121" s="300">
        <v>0</v>
      </c>
      <c r="J121" s="295">
        <v>1</v>
      </c>
      <c r="K121" s="296">
        <v>0</v>
      </c>
      <c r="L121" s="172">
        <v>59</v>
      </c>
      <c r="M121" s="172">
        <v>22</v>
      </c>
      <c r="N121" s="273"/>
      <c r="O121" s="273"/>
      <c r="P121" s="273"/>
      <c r="Q121" s="273"/>
      <c r="R121" s="273"/>
      <c r="S121" s="273"/>
      <c r="T121" s="273"/>
      <c r="U121" s="273"/>
      <c r="V121" s="273"/>
      <c r="W121" s="273"/>
      <c r="X121" s="273"/>
    </row>
    <row r="122" spans="1:24" s="206" customFormat="1" ht="15" customHeight="1" x14ac:dyDescent="0.25">
      <c r="A122" s="166" t="s">
        <v>429</v>
      </c>
      <c r="B122" s="276">
        <v>0</v>
      </c>
      <c r="C122" s="277">
        <v>0</v>
      </c>
      <c r="D122" s="276">
        <v>28</v>
      </c>
      <c r="E122" s="276">
        <v>130</v>
      </c>
      <c r="F122" s="276">
        <v>171</v>
      </c>
      <c r="G122" s="169">
        <v>0</v>
      </c>
      <c r="H122" s="295">
        <v>0</v>
      </c>
      <c r="I122" s="300">
        <v>0</v>
      </c>
      <c r="J122" s="295">
        <v>1</v>
      </c>
      <c r="K122" s="296">
        <v>0</v>
      </c>
      <c r="L122" s="219" t="s">
        <v>445</v>
      </c>
      <c r="M122" s="219" t="s">
        <v>445</v>
      </c>
      <c r="N122" s="273"/>
      <c r="O122" s="273"/>
      <c r="P122" s="273"/>
      <c r="Q122" s="273"/>
      <c r="R122" s="273"/>
      <c r="S122" s="273"/>
      <c r="T122" s="273"/>
      <c r="U122" s="273"/>
      <c r="V122" s="273"/>
      <c r="W122" s="273"/>
      <c r="X122" s="273"/>
    </row>
    <row r="123" spans="1:24" ht="15" customHeight="1" x14ac:dyDescent="0.25">
      <c r="A123" s="159" t="s">
        <v>469</v>
      </c>
      <c r="B123" s="274">
        <v>4351</v>
      </c>
      <c r="C123" s="302">
        <v>4368</v>
      </c>
      <c r="D123" s="274">
        <v>3320</v>
      </c>
      <c r="E123" s="274">
        <v>1151</v>
      </c>
      <c r="F123" s="274">
        <v>677</v>
      </c>
      <c r="G123" s="162">
        <v>0</v>
      </c>
      <c r="H123" s="163">
        <v>56</v>
      </c>
      <c r="I123" s="163">
        <v>22</v>
      </c>
      <c r="J123" s="163">
        <v>2</v>
      </c>
      <c r="K123" s="212">
        <v>0</v>
      </c>
      <c r="L123" s="165">
        <v>-2.7</v>
      </c>
      <c r="M123" s="165">
        <v>-6</v>
      </c>
      <c r="N123" s="273"/>
      <c r="O123" s="273"/>
      <c r="P123" s="273"/>
      <c r="Q123" s="273"/>
      <c r="R123" s="273"/>
      <c r="S123" s="273"/>
      <c r="T123" s="273"/>
      <c r="U123" s="273"/>
      <c r="V123" s="273"/>
      <c r="W123" s="273"/>
      <c r="X123" s="273"/>
    </row>
    <row r="124" spans="1:24" s="206" customFormat="1" ht="15" customHeight="1" x14ac:dyDescent="0.25">
      <c r="A124" s="166" t="s">
        <v>310</v>
      </c>
      <c r="B124" s="276">
        <v>2124</v>
      </c>
      <c r="C124" s="277">
        <v>2117</v>
      </c>
      <c r="D124" s="276">
        <v>1192</v>
      </c>
      <c r="E124" s="276">
        <v>432</v>
      </c>
      <c r="F124" s="276">
        <v>158</v>
      </c>
      <c r="G124" s="169">
        <v>0</v>
      </c>
      <c r="H124" s="295">
        <v>27</v>
      </c>
      <c r="I124" s="295">
        <v>8</v>
      </c>
      <c r="J124" s="300">
        <v>0</v>
      </c>
      <c r="K124" s="296">
        <v>0</v>
      </c>
      <c r="L124" s="173">
        <v>-5.6</v>
      </c>
      <c r="M124" s="173">
        <v>-8.3000000000000007</v>
      </c>
      <c r="N124" s="273"/>
      <c r="O124" s="273"/>
      <c r="P124" s="273"/>
      <c r="Q124" s="273"/>
      <c r="R124" s="273"/>
      <c r="S124" s="273"/>
      <c r="T124" s="273"/>
      <c r="U124" s="273"/>
      <c r="V124" s="273"/>
      <c r="W124" s="273"/>
      <c r="X124" s="273"/>
    </row>
    <row r="125" spans="1:24" s="206" customFormat="1" ht="15" customHeight="1" x14ac:dyDescent="0.25">
      <c r="A125" s="166" t="s">
        <v>312</v>
      </c>
      <c r="B125" s="276">
        <v>1788</v>
      </c>
      <c r="C125" s="277">
        <v>1829</v>
      </c>
      <c r="D125" s="276">
        <v>1950</v>
      </c>
      <c r="E125" s="276">
        <v>679</v>
      </c>
      <c r="F125" s="276">
        <v>495</v>
      </c>
      <c r="G125" s="169">
        <v>0</v>
      </c>
      <c r="H125" s="295">
        <v>23</v>
      </c>
      <c r="I125" s="295">
        <v>13</v>
      </c>
      <c r="J125" s="295">
        <v>1</v>
      </c>
      <c r="K125" s="296">
        <v>0</v>
      </c>
      <c r="L125" s="173">
        <v>0.6</v>
      </c>
      <c r="M125" s="173">
        <v>-4.3</v>
      </c>
      <c r="N125" s="273"/>
      <c r="O125" s="273"/>
      <c r="P125" s="273"/>
      <c r="Q125" s="273"/>
      <c r="R125" s="273"/>
      <c r="S125" s="273"/>
      <c r="T125" s="273"/>
      <c r="U125" s="273"/>
      <c r="V125" s="273"/>
      <c r="W125" s="273"/>
      <c r="X125" s="273"/>
    </row>
    <row r="126" spans="1:24" s="206" customFormat="1" ht="15" customHeight="1" x14ac:dyDescent="0.25">
      <c r="A126" s="166" t="s">
        <v>309</v>
      </c>
      <c r="B126" s="276">
        <v>440</v>
      </c>
      <c r="C126" s="277">
        <v>422</v>
      </c>
      <c r="D126" s="276">
        <v>178</v>
      </c>
      <c r="E126" s="276">
        <v>39</v>
      </c>
      <c r="F126" s="276">
        <v>25</v>
      </c>
      <c r="G126" s="169">
        <v>0</v>
      </c>
      <c r="H126" s="295">
        <v>5</v>
      </c>
      <c r="I126" s="295">
        <v>1</v>
      </c>
      <c r="J126" s="300">
        <v>0</v>
      </c>
      <c r="K126" s="296">
        <v>0</v>
      </c>
      <c r="L126" s="173">
        <v>-8.3000000000000007</v>
      </c>
      <c r="M126" s="173">
        <v>-9</v>
      </c>
      <c r="N126" s="273"/>
      <c r="O126" s="273"/>
      <c r="P126" s="273"/>
      <c r="Q126" s="273"/>
      <c r="R126" s="273"/>
      <c r="S126" s="273"/>
      <c r="T126" s="273"/>
      <c r="U126" s="273"/>
      <c r="V126" s="273"/>
      <c r="W126" s="273"/>
      <c r="X126" s="273"/>
    </row>
    <row r="127" spans="1:24" ht="15" customHeight="1" thickBot="1" x14ac:dyDescent="0.3">
      <c r="A127" s="303" t="s">
        <v>473</v>
      </c>
      <c r="B127" s="304">
        <v>11</v>
      </c>
      <c r="C127" s="305">
        <v>18</v>
      </c>
      <c r="D127" s="304">
        <v>585</v>
      </c>
      <c r="E127" s="304">
        <v>2005</v>
      </c>
      <c r="F127" s="304">
        <v>3097</v>
      </c>
      <c r="G127" s="306">
        <v>0</v>
      </c>
      <c r="H127" s="307">
        <v>0</v>
      </c>
      <c r="I127" s="308">
        <v>4</v>
      </c>
      <c r="J127" s="308">
        <v>9</v>
      </c>
      <c r="K127" s="309">
        <v>0</v>
      </c>
      <c r="L127" s="310">
        <v>42</v>
      </c>
      <c r="M127" s="310">
        <v>19</v>
      </c>
      <c r="N127" s="273"/>
      <c r="O127" s="273"/>
      <c r="P127" s="273"/>
      <c r="Q127" s="273"/>
      <c r="R127" s="273"/>
      <c r="S127" s="273"/>
      <c r="T127" s="273"/>
      <c r="U127" s="273"/>
      <c r="V127" s="273"/>
      <c r="W127" s="273"/>
      <c r="X127" s="273"/>
    </row>
    <row r="128" spans="1:24" s="134" customFormat="1" ht="42.75" customHeight="1" x14ac:dyDescent="0.25">
      <c r="A128" s="666" t="s">
        <v>474</v>
      </c>
      <c r="B128" s="666"/>
      <c r="C128" s="666"/>
      <c r="D128" s="666"/>
      <c r="E128" s="666"/>
      <c r="F128" s="666"/>
      <c r="G128" s="666"/>
      <c r="H128" s="666"/>
      <c r="I128" s="666"/>
    </row>
    <row r="129" spans="1:17" s="138" customFormat="1" ht="12" customHeight="1" x14ac:dyDescent="0.25">
      <c r="A129" s="135"/>
      <c r="B129" s="135" t="s">
        <v>415</v>
      </c>
      <c r="C129" s="135" t="s">
        <v>415</v>
      </c>
      <c r="D129" s="135" t="s">
        <v>415</v>
      </c>
      <c r="E129" s="135" t="s">
        <v>415</v>
      </c>
      <c r="F129" s="135" t="s">
        <v>415</v>
      </c>
      <c r="G129" s="135"/>
      <c r="H129" s="137">
        <v>10</v>
      </c>
      <c r="I129" s="137">
        <v>30</v>
      </c>
    </row>
    <row r="130" spans="1:17" s="312" customFormat="1" ht="12" customHeight="1" x14ac:dyDescent="0.25">
      <c r="A130" s="139" t="s">
        <v>439</v>
      </c>
      <c r="B130" s="311">
        <v>48</v>
      </c>
      <c r="C130" s="311">
        <v>49</v>
      </c>
      <c r="D130" s="311">
        <v>59</v>
      </c>
      <c r="E130" s="311">
        <v>69</v>
      </c>
      <c r="F130" s="311">
        <v>79</v>
      </c>
      <c r="G130" s="311"/>
    </row>
    <row r="131" spans="1:17" ht="15" customHeight="1" x14ac:dyDescent="0.25">
      <c r="A131" s="143"/>
      <c r="B131" s="667" t="s">
        <v>475</v>
      </c>
      <c r="C131" s="667"/>
      <c r="D131" s="667"/>
      <c r="E131" s="667"/>
      <c r="F131" s="667"/>
      <c r="G131" s="208"/>
      <c r="H131" s="144" t="s">
        <v>418</v>
      </c>
      <c r="I131" s="144"/>
    </row>
    <row r="132" spans="1:17" ht="24" x14ac:dyDescent="0.25">
      <c r="A132" s="143"/>
      <c r="B132" s="313">
        <v>2019</v>
      </c>
      <c r="C132" s="313">
        <v>2020</v>
      </c>
      <c r="D132" s="313">
        <v>2030</v>
      </c>
      <c r="E132" s="313">
        <v>2040</v>
      </c>
      <c r="F132" s="313">
        <v>2050</v>
      </c>
      <c r="G132" s="208"/>
      <c r="H132" s="151" t="s">
        <v>419</v>
      </c>
      <c r="I132" s="151" t="s">
        <v>299</v>
      </c>
    </row>
    <row r="133" spans="1:17" ht="15" customHeight="1" x14ac:dyDescent="0.25">
      <c r="A133" s="152" t="s">
        <v>476</v>
      </c>
      <c r="B133" s="314">
        <v>35926</v>
      </c>
      <c r="C133" s="314">
        <v>33903</v>
      </c>
      <c r="D133" s="314">
        <v>21147</v>
      </c>
      <c r="E133" s="314">
        <v>6316</v>
      </c>
      <c r="F133" s="315">
        <v>0</v>
      </c>
      <c r="G133" s="154"/>
      <c r="H133" s="157">
        <v>-4.5999999999999996</v>
      </c>
      <c r="I133" s="316" t="s">
        <v>445</v>
      </c>
      <c r="J133" s="317"/>
      <c r="K133" s="317"/>
      <c r="L133" s="273"/>
      <c r="M133" s="273"/>
      <c r="N133" s="273"/>
      <c r="O133" s="273"/>
      <c r="P133" s="273"/>
      <c r="Q133" s="273"/>
    </row>
    <row r="134" spans="1:17" ht="15" customHeight="1" x14ac:dyDescent="0.25">
      <c r="A134" s="318" t="s">
        <v>477</v>
      </c>
      <c r="B134" s="319">
        <v>33499</v>
      </c>
      <c r="C134" s="320">
        <v>31582</v>
      </c>
      <c r="D134" s="319">
        <v>19254</v>
      </c>
      <c r="E134" s="319">
        <v>6030</v>
      </c>
      <c r="F134" s="319">
        <v>940</v>
      </c>
      <c r="G134" s="321"/>
      <c r="H134" s="322">
        <v>-4.8</v>
      </c>
      <c r="I134" s="323">
        <v>-11</v>
      </c>
      <c r="J134" s="317"/>
      <c r="K134" s="317"/>
      <c r="L134" s="273"/>
      <c r="M134" s="273"/>
      <c r="N134" s="273"/>
      <c r="O134" s="273"/>
      <c r="P134" s="273"/>
      <c r="Q134" s="273"/>
    </row>
    <row r="135" spans="1:17" ht="15" customHeight="1" x14ac:dyDescent="0.25">
      <c r="A135" s="324" t="s">
        <v>310</v>
      </c>
      <c r="B135" s="325">
        <v>14660</v>
      </c>
      <c r="C135" s="326">
        <v>14110</v>
      </c>
      <c r="D135" s="325">
        <v>5915</v>
      </c>
      <c r="E135" s="325">
        <v>1300</v>
      </c>
      <c r="F135" s="325">
        <v>195</v>
      </c>
      <c r="G135" s="162"/>
      <c r="H135" s="165">
        <v>-8.3000000000000007</v>
      </c>
      <c r="I135" s="178">
        <v>-13</v>
      </c>
      <c r="J135" s="317"/>
      <c r="K135" s="317"/>
      <c r="L135" s="273"/>
      <c r="M135" s="273"/>
      <c r="N135" s="273"/>
      <c r="O135" s="273"/>
      <c r="P135" s="273"/>
      <c r="Q135" s="273"/>
    </row>
    <row r="136" spans="1:17" ht="15" customHeight="1" x14ac:dyDescent="0.25">
      <c r="A136" s="324" t="s">
        <v>309</v>
      </c>
      <c r="B136" s="325">
        <v>11505</v>
      </c>
      <c r="C136" s="326">
        <v>10264</v>
      </c>
      <c r="D136" s="325">
        <v>7427</v>
      </c>
      <c r="E136" s="325">
        <v>3329</v>
      </c>
      <c r="F136" s="325">
        <v>928</v>
      </c>
      <c r="G136" s="162"/>
      <c r="H136" s="165">
        <v>-3.2</v>
      </c>
      <c r="I136" s="165">
        <v>-7.7</v>
      </c>
      <c r="J136" s="317"/>
      <c r="K136" s="317"/>
      <c r="L136" s="273"/>
      <c r="M136" s="273"/>
      <c r="N136" s="273"/>
      <c r="O136" s="273"/>
      <c r="P136" s="273"/>
      <c r="Q136" s="273"/>
    </row>
    <row r="137" spans="1:17" s="188" customFormat="1" ht="15" customHeight="1" x14ac:dyDescent="0.25">
      <c r="A137" s="324" t="s">
        <v>312</v>
      </c>
      <c r="B137" s="325">
        <v>7259</v>
      </c>
      <c r="C137" s="326">
        <v>7138</v>
      </c>
      <c r="D137" s="325">
        <v>5960</v>
      </c>
      <c r="E137" s="325">
        <v>1929</v>
      </c>
      <c r="F137" s="325">
        <v>566</v>
      </c>
      <c r="G137" s="162"/>
      <c r="H137" s="165">
        <v>-1.8</v>
      </c>
      <c r="I137" s="165">
        <v>-8.1</v>
      </c>
      <c r="J137" s="317"/>
      <c r="K137" s="317"/>
      <c r="L137" s="273"/>
      <c r="M137" s="273"/>
      <c r="N137" s="273"/>
      <c r="O137" s="273"/>
      <c r="P137" s="273"/>
      <c r="Q137" s="273"/>
    </row>
    <row r="138" spans="1:17" s="206" customFormat="1" ht="15" customHeight="1" x14ac:dyDescent="0.25">
      <c r="A138" s="327" t="s">
        <v>478</v>
      </c>
      <c r="B138" s="328">
        <v>75</v>
      </c>
      <c r="C138" s="329">
        <v>71</v>
      </c>
      <c r="D138" s="328">
        <v>-48</v>
      </c>
      <c r="E138" s="328">
        <v>-528</v>
      </c>
      <c r="F138" s="328">
        <v>-748</v>
      </c>
      <c r="G138" s="330"/>
      <c r="H138" s="331" t="s">
        <v>445</v>
      </c>
      <c r="I138" s="331" t="s">
        <v>445</v>
      </c>
      <c r="J138" s="317"/>
      <c r="K138" s="317"/>
      <c r="L138" s="273"/>
      <c r="M138" s="273"/>
      <c r="N138" s="273"/>
      <c r="O138" s="273"/>
      <c r="P138" s="273"/>
      <c r="Q138" s="273"/>
    </row>
    <row r="139" spans="1:17" s="188" customFormat="1" ht="15.75" customHeight="1" x14ac:dyDescent="0.25">
      <c r="A139" s="332" t="s">
        <v>479</v>
      </c>
      <c r="B139" s="333">
        <v>1</v>
      </c>
      <c r="C139" s="314">
        <v>1</v>
      </c>
      <c r="D139" s="333">
        <v>214</v>
      </c>
      <c r="E139" s="333">
        <v>914</v>
      </c>
      <c r="F139" s="333">
        <v>1186</v>
      </c>
      <c r="G139" s="334"/>
      <c r="H139" s="335">
        <v>75</v>
      </c>
      <c r="I139" s="335">
        <v>28</v>
      </c>
      <c r="J139" s="317"/>
      <c r="K139" s="317"/>
      <c r="L139" s="273"/>
      <c r="M139" s="273"/>
      <c r="N139" s="273"/>
      <c r="O139" s="273"/>
      <c r="P139" s="273"/>
      <c r="Q139" s="273"/>
    </row>
    <row r="140" spans="1:17" s="206" customFormat="1" ht="15" customHeight="1" x14ac:dyDescent="0.25">
      <c r="A140" s="336" t="s">
        <v>437</v>
      </c>
      <c r="B140" s="337">
        <v>1</v>
      </c>
      <c r="C140" s="326">
        <v>1</v>
      </c>
      <c r="D140" s="337">
        <v>142</v>
      </c>
      <c r="E140" s="337">
        <v>385</v>
      </c>
      <c r="F140" s="337">
        <v>553</v>
      </c>
      <c r="G140" s="338"/>
      <c r="H140" s="339">
        <v>68</v>
      </c>
      <c r="I140" s="339">
        <v>24</v>
      </c>
      <c r="J140" s="317"/>
      <c r="K140" s="317"/>
      <c r="L140" s="273"/>
      <c r="M140" s="273"/>
      <c r="N140" s="273"/>
      <c r="O140" s="273"/>
      <c r="P140" s="273"/>
      <c r="Q140" s="273"/>
    </row>
    <row r="141" spans="1:17" s="206" customFormat="1" ht="15" customHeight="1" x14ac:dyDescent="0.25">
      <c r="A141" s="340" t="s">
        <v>480</v>
      </c>
      <c r="B141" s="341">
        <v>0</v>
      </c>
      <c r="C141" s="342">
        <v>0</v>
      </c>
      <c r="D141" s="341">
        <v>72</v>
      </c>
      <c r="E141" s="341">
        <v>528</v>
      </c>
      <c r="F141" s="341">
        <v>633</v>
      </c>
      <c r="G141" s="343"/>
      <c r="H141" s="344" t="s">
        <v>445</v>
      </c>
      <c r="I141" s="344" t="s">
        <v>445</v>
      </c>
      <c r="J141" s="317"/>
      <c r="K141" s="317"/>
      <c r="L141" s="273"/>
      <c r="M141" s="273"/>
      <c r="N141" s="273"/>
      <c r="O141" s="273"/>
      <c r="P141" s="273"/>
      <c r="Q141" s="273"/>
    </row>
    <row r="142" spans="1:17" ht="2.25" customHeight="1" x14ac:dyDescent="0.25">
      <c r="A142" s="345"/>
      <c r="B142" s="346">
        <v>0</v>
      </c>
      <c r="C142" s="347">
        <v>0</v>
      </c>
      <c r="D142" s="346">
        <v>0</v>
      </c>
      <c r="E142" s="346">
        <v>0</v>
      </c>
      <c r="F142" s="346">
        <v>0</v>
      </c>
      <c r="G142" s="348"/>
      <c r="H142" s="349">
        <v>0</v>
      </c>
      <c r="I142" s="349">
        <v>0</v>
      </c>
      <c r="J142" s="317"/>
      <c r="K142" s="317"/>
      <c r="L142" s="273"/>
      <c r="M142" s="273"/>
      <c r="N142" s="273"/>
      <c r="O142" s="273"/>
      <c r="P142" s="273"/>
      <c r="Q142" s="273"/>
    </row>
    <row r="143" spans="1:17" ht="15" customHeight="1" x14ac:dyDescent="0.25">
      <c r="A143" s="189" t="s">
        <v>433</v>
      </c>
      <c r="B143" s="320">
        <v>13821</v>
      </c>
      <c r="C143" s="320">
        <v>13504</v>
      </c>
      <c r="D143" s="320">
        <v>5817</v>
      </c>
      <c r="E143" s="320">
        <v>-81</v>
      </c>
      <c r="F143" s="320">
        <v>-369</v>
      </c>
      <c r="G143" s="191"/>
      <c r="H143" s="194">
        <v>-8.1</v>
      </c>
      <c r="I143" s="350" t="s">
        <v>445</v>
      </c>
      <c r="J143" s="317"/>
      <c r="K143" s="317"/>
      <c r="L143" s="273"/>
      <c r="M143" s="273"/>
      <c r="N143" s="273"/>
      <c r="O143" s="273"/>
      <c r="P143" s="273"/>
      <c r="Q143" s="273"/>
    </row>
    <row r="144" spans="1:17" ht="15" customHeight="1" x14ac:dyDescent="0.25">
      <c r="A144" s="159" t="s">
        <v>310</v>
      </c>
      <c r="B144" s="325">
        <v>10035</v>
      </c>
      <c r="C144" s="326">
        <v>9786</v>
      </c>
      <c r="D144" s="325">
        <v>2950</v>
      </c>
      <c r="E144" s="325">
        <v>102</v>
      </c>
      <c r="F144" s="325">
        <v>70</v>
      </c>
      <c r="G144" s="162"/>
      <c r="H144" s="178">
        <v>-11</v>
      </c>
      <c r="I144" s="178">
        <v>-15</v>
      </c>
      <c r="J144" s="317"/>
      <c r="K144" s="317"/>
      <c r="L144" s="273"/>
      <c r="M144" s="273"/>
      <c r="N144" s="273"/>
      <c r="O144" s="273"/>
      <c r="P144" s="273"/>
      <c r="Q144" s="273"/>
    </row>
    <row r="145" spans="1:17" ht="15" customHeight="1" x14ac:dyDescent="0.25">
      <c r="A145" s="159" t="s">
        <v>309</v>
      </c>
      <c r="B145" s="325">
        <v>655</v>
      </c>
      <c r="C145" s="326">
        <v>629</v>
      </c>
      <c r="D145" s="325">
        <v>173</v>
      </c>
      <c r="E145" s="325">
        <v>6</v>
      </c>
      <c r="F145" s="325">
        <v>6</v>
      </c>
      <c r="G145" s="162"/>
      <c r="H145" s="178">
        <v>-12</v>
      </c>
      <c r="I145" s="178">
        <v>-14</v>
      </c>
      <c r="J145" s="317"/>
      <c r="K145" s="317"/>
      <c r="L145" s="273"/>
      <c r="M145" s="273"/>
      <c r="N145" s="273"/>
      <c r="O145" s="273"/>
      <c r="P145" s="273"/>
      <c r="Q145" s="273"/>
    </row>
    <row r="146" spans="1:17" ht="15" customHeight="1" x14ac:dyDescent="0.25">
      <c r="A146" s="159" t="s">
        <v>312</v>
      </c>
      <c r="B146" s="325">
        <v>3131</v>
      </c>
      <c r="C146" s="326">
        <v>3089</v>
      </c>
      <c r="D146" s="325">
        <v>2781</v>
      </c>
      <c r="E146" s="325">
        <v>268</v>
      </c>
      <c r="F146" s="325">
        <v>128</v>
      </c>
      <c r="G146" s="162"/>
      <c r="H146" s="165">
        <v>-1</v>
      </c>
      <c r="I146" s="178">
        <v>-10</v>
      </c>
      <c r="J146" s="317"/>
      <c r="K146" s="317"/>
      <c r="L146" s="273"/>
      <c r="M146" s="273"/>
      <c r="N146" s="273"/>
      <c r="O146" s="273"/>
      <c r="P146" s="273"/>
      <c r="Q146" s="273"/>
    </row>
    <row r="147" spans="1:17" ht="15" customHeight="1" x14ac:dyDescent="0.25">
      <c r="A147" s="159" t="s">
        <v>478</v>
      </c>
      <c r="B147" s="325">
        <v>0</v>
      </c>
      <c r="C147" s="326">
        <v>0</v>
      </c>
      <c r="D147" s="325">
        <v>-87</v>
      </c>
      <c r="E147" s="325">
        <v>-457</v>
      </c>
      <c r="F147" s="325">
        <v>-572</v>
      </c>
      <c r="G147" s="162"/>
      <c r="H147" s="175" t="s">
        <v>445</v>
      </c>
      <c r="I147" s="175" t="s">
        <v>445</v>
      </c>
      <c r="J147" s="317"/>
      <c r="K147" s="317"/>
      <c r="L147" s="273"/>
      <c r="M147" s="273"/>
      <c r="N147" s="273"/>
      <c r="O147" s="273"/>
      <c r="P147" s="273"/>
      <c r="Q147" s="273"/>
    </row>
    <row r="148" spans="1:17" ht="15" customHeight="1" x14ac:dyDescent="0.25">
      <c r="A148" s="351" t="s">
        <v>481</v>
      </c>
      <c r="B148" s="352">
        <v>1457</v>
      </c>
      <c r="C148" s="352">
        <v>1472</v>
      </c>
      <c r="D148" s="352">
        <v>679</v>
      </c>
      <c r="E148" s="352">
        <v>-85</v>
      </c>
      <c r="F148" s="352">
        <v>-368</v>
      </c>
      <c r="G148" s="353"/>
      <c r="H148" s="354">
        <v>-7.4</v>
      </c>
      <c r="I148" s="354" t="s">
        <v>445</v>
      </c>
      <c r="J148" s="317"/>
      <c r="K148" s="317"/>
      <c r="L148" s="273"/>
      <c r="M148" s="273"/>
      <c r="N148" s="273"/>
      <c r="O148" s="273"/>
      <c r="P148" s="273"/>
      <c r="Q148" s="273"/>
    </row>
    <row r="149" spans="1:17" ht="15" customHeight="1" x14ac:dyDescent="0.25">
      <c r="A149" s="355" t="s">
        <v>482</v>
      </c>
      <c r="B149" s="314">
        <v>20647</v>
      </c>
      <c r="C149" s="314">
        <v>18928</v>
      </c>
      <c r="D149" s="314">
        <v>14723</v>
      </c>
      <c r="E149" s="314">
        <v>7011</v>
      </c>
      <c r="F149" s="314">
        <v>1370</v>
      </c>
      <c r="G149" s="154"/>
      <c r="H149" s="157">
        <v>-2.5</v>
      </c>
      <c r="I149" s="157">
        <v>-8.4</v>
      </c>
      <c r="J149" s="317"/>
      <c r="K149" s="317"/>
      <c r="L149" s="273"/>
      <c r="M149" s="273"/>
      <c r="N149" s="273"/>
      <c r="O149" s="273"/>
      <c r="P149" s="273"/>
      <c r="Q149" s="273"/>
    </row>
    <row r="150" spans="1:17" ht="15" customHeight="1" x14ac:dyDescent="0.25">
      <c r="A150" s="159" t="s">
        <v>310</v>
      </c>
      <c r="B150" s="325">
        <v>4486</v>
      </c>
      <c r="C150" s="326">
        <v>4171</v>
      </c>
      <c r="D150" s="325">
        <v>2935</v>
      </c>
      <c r="E150" s="325">
        <v>1186</v>
      </c>
      <c r="F150" s="325">
        <v>117</v>
      </c>
      <c r="G150" s="162"/>
      <c r="H150" s="165">
        <v>-3.5</v>
      </c>
      <c r="I150" s="178">
        <v>-11</v>
      </c>
      <c r="J150" s="317"/>
      <c r="K150" s="317"/>
      <c r="L150" s="273"/>
      <c r="M150" s="273"/>
      <c r="N150" s="273"/>
      <c r="O150" s="273"/>
      <c r="P150" s="273"/>
      <c r="Q150" s="273"/>
    </row>
    <row r="151" spans="1:17" ht="15" customHeight="1" x14ac:dyDescent="0.25">
      <c r="A151" s="159" t="s">
        <v>309</v>
      </c>
      <c r="B151" s="325">
        <v>10272</v>
      </c>
      <c r="C151" s="326">
        <v>9077</v>
      </c>
      <c r="D151" s="325">
        <v>6973</v>
      </c>
      <c r="E151" s="325">
        <v>3242</v>
      </c>
      <c r="F151" s="325">
        <v>880</v>
      </c>
      <c r="G151" s="162"/>
      <c r="H151" s="165">
        <v>-2.6</v>
      </c>
      <c r="I151" s="165">
        <v>-7.5</v>
      </c>
      <c r="J151" s="317"/>
      <c r="K151" s="317"/>
      <c r="L151" s="273"/>
      <c r="M151" s="273"/>
      <c r="N151" s="273"/>
      <c r="O151" s="273"/>
      <c r="P151" s="273"/>
      <c r="Q151" s="273"/>
    </row>
    <row r="152" spans="1:17" ht="15" customHeight="1" x14ac:dyDescent="0.25">
      <c r="A152" s="159" t="s">
        <v>312</v>
      </c>
      <c r="B152" s="325">
        <v>3451</v>
      </c>
      <c r="C152" s="326">
        <v>3332</v>
      </c>
      <c r="D152" s="325">
        <v>2668</v>
      </c>
      <c r="E152" s="325">
        <v>1453</v>
      </c>
      <c r="F152" s="325">
        <v>303</v>
      </c>
      <c r="G152" s="162"/>
      <c r="H152" s="165">
        <v>-2.2000000000000002</v>
      </c>
      <c r="I152" s="165">
        <v>-7.7</v>
      </c>
      <c r="J152" s="317"/>
      <c r="K152" s="317"/>
      <c r="L152" s="273"/>
      <c r="M152" s="273"/>
      <c r="N152" s="273"/>
      <c r="O152" s="273"/>
      <c r="P152" s="273"/>
      <c r="Q152" s="273"/>
    </row>
    <row r="153" spans="1:17" ht="12.75" customHeight="1" x14ac:dyDescent="0.25">
      <c r="A153" s="159" t="s">
        <v>478</v>
      </c>
      <c r="B153" s="325">
        <v>75</v>
      </c>
      <c r="C153" s="326">
        <v>71</v>
      </c>
      <c r="D153" s="325">
        <v>40</v>
      </c>
      <c r="E153" s="325">
        <v>-70</v>
      </c>
      <c r="F153" s="325">
        <v>-176</v>
      </c>
      <c r="G153" s="162"/>
      <c r="H153" s="165">
        <v>-5.6</v>
      </c>
      <c r="I153" s="175" t="s">
        <v>445</v>
      </c>
      <c r="J153" s="317"/>
      <c r="K153" s="317"/>
      <c r="L153" s="273"/>
      <c r="M153" s="273"/>
      <c r="N153" s="273"/>
      <c r="O153" s="273"/>
      <c r="P153" s="273"/>
      <c r="Q153" s="273"/>
    </row>
    <row r="154" spans="1:17" ht="15" customHeight="1" x14ac:dyDescent="0.25">
      <c r="A154" s="225" t="s">
        <v>483</v>
      </c>
      <c r="B154" s="356">
        <v>8903</v>
      </c>
      <c r="C154" s="357">
        <v>8478</v>
      </c>
      <c r="D154" s="356">
        <v>6892</v>
      </c>
      <c r="E154" s="356">
        <v>3485</v>
      </c>
      <c r="F154" s="356">
        <v>519</v>
      </c>
      <c r="G154" s="228"/>
      <c r="H154" s="232">
        <v>-2</v>
      </c>
      <c r="I154" s="232">
        <v>-8.9</v>
      </c>
      <c r="J154" s="317"/>
      <c r="K154" s="317"/>
      <c r="L154" s="273"/>
      <c r="M154" s="273"/>
      <c r="N154" s="273"/>
      <c r="O154" s="273"/>
      <c r="P154" s="273"/>
      <c r="Q154" s="273"/>
    </row>
    <row r="155" spans="1:17" ht="15" customHeight="1" x14ac:dyDescent="0.25">
      <c r="A155" s="336" t="s">
        <v>284</v>
      </c>
      <c r="B155" s="337">
        <v>2507</v>
      </c>
      <c r="C155" s="326">
        <v>2349</v>
      </c>
      <c r="D155" s="337">
        <v>1779</v>
      </c>
      <c r="E155" s="337">
        <v>859</v>
      </c>
      <c r="F155" s="337">
        <v>220</v>
      </c>
      <c r="G155" s="338"/>
      <c r="H155" s="358">
        <v>-2.7</v>
      </c>
      <c r="I155" s="358">
        <v>-7.6</v>
      </c>
      <c r="J155" s="317"/>
      <c r="K155" s="317"/>
      <c r="L155" s="273"/>
      <c r="M155" s="273"/>
      <c r="N155" s="273"/>
      <c r="O155" s="273"/>
      <c r="P155" s="273"/>
      <c r="Q155" s="273"/>
    </row>
    <row r="156" spans="1:17" ht="15" customHeight="1" x14ac:dyDescent="0.25">
      <c r="A156" s="336" t="s">
        <v>460</v>
      </c>
      <c r="B156" s="337">
        <v>1344</v>
      </c>
      <c r="C156" s="326">
        <v>1296</v>
      </c>
      <c r="D156" s="337">
        <v>1199</v>
      </c>
      <c r="E156" s="337">
        <v>654</v>
      </c>
      <c r="F156" s="337">
        <v>66</v>
      </c>
      <c r="G156" s="338"/>
      <c r="H156" s="358">
        <v>-0.8</v>
      </c>
      <c r="I156" s="358">
        <v>-9.5</v>
      </c>
      <c r="J156" s="317"/>
      <c r="K156" s="317"/>
      <c r="L156" s="273"/>
      <c r="M156" s="273"/>
      <c r="N156" s="273"/>
      <c r="O156" s="273"/>
      <c r="P156" s="273"/>
      <c r="Q156" s="273"/>
    </row>
    <row r="157" spans="1:17" ht="15" customHeight="1" x14ac:dyDescent="0.25">
      <c r="A157" s="336" t="s">
        <v>285</v>
      </c>
      <c r="B157" s="337">
        <v>2461</v>
      </c>
      <c r="C157" s="326">
        <v>2334</v>
      </c>
      <c r="D157" s="337">
        <v>1899</v>
      </c>
      <c r="E157" s="337">
        <v>906</v>
      </c>
      <c r="F157" s="337">
        <v>133</v>
      </c>
      <c r="G157" s="338"/>
      <c r="H157" s="358">
        <v>-2</v>
      </c>
      <c r="I157" s="358">
        <v>-9.1</v>
      </c>
      <c r="J157" s="317"/>
      <c r="K157" s="317"/>
      <c r="L157" s="273"/>
      <c r="M157" s="273"/>
      <c r="N157" s="273"/>
      <c r="O157" s="273"/>
      <c r="P157" s="273"/>
      <c r="Q157" s="273"/>
    </row>
    <row r="158" spans="1:17" ht="15" customHeight="1" x14ac:dyDescent="0.25">
      <c r="A158" s="234" t="s">
        <v>389</v>
      </c>
      <c r="B158" s="359">
        <v>8290</v>
      </c>
      <c r="C158" s="360">
        <v>7153</v>
      </c>
      <c r="D158" s="359">
        <v>5719</v>
      </c>
      <c r="E158" s="359">
        <v>2686</v>
      </c>
      <c r="F158" s="359">
        <v>689</v>
      </c>
      <c r="G158" s="237"/>
      <c r="H158" s="241">
        <v>-2.2000000000000002</v>
      </c>
      <c r="I158" s="241">
        <v>-7.5</v>
      </c>
      <c r="J158" s="317"/>
      <c r="K158" s="317"/>
      <c r="L158" s="273"/>
      <c r="M158" s="273"/>
      <c r="N158" s="273"/>
      <c r="O158" s="273"/>
      <c r="P158" s="273"/>
      <c r="Q158" s="273"/>
    </row>
    <row r="159" spans="1:17" ht="15" customHeight="1" x14ac:dyDescent="0.25">
      <c r="A159" s="336" t="s">
        <v>449</v>
      </c>
      <c r="B159" s="337">
        <v>6116</v>
      </c>
      <c r="C159" s="326">
        <v>5483</v>
      </c>
      <c r="D159" s="337">
        <v>4077</v>
      </c>
      <c r="E159" s="337">
        <v>1793</v>
      </c>
      <c r="F159" s="337">
        <v>340</v>
      </c>
      <c r="G159" s="338"/>
      <c r="H159" s="358">
        <v>-2.9</v>
      </c>
      <c r="I159" s="358">
        <v>-8.9</v>
      </c>
      <c r="J159" s="317"/>
      <c r="K159" s="317"/>
      <c r="L159" s="273"/>
      <c r="M159" s="273"/>
      <c r="N159" s="273"/>
      <c r="O159" s="273"/>
      <c r="P159" s="273"/>
      <c r="Q159" s="273"/>
    </row>
    <row r="160" spans="1:17" ht="15" customHeight="1" x14ac:dyDescent="0.25">
      <c r="A160" s="361" t="s">
        <v>451</v>
      </c>
      <c r="B160" s="362">
        <v>3121</v>
      </c>
      <c r="C160" s="363">
        <v>2747</v>
      </c>
      <c r="D160" s="362">
        <v>1626</v>
      </c>
      <c r="E160" s="362">
        <v>547</v>
      </c>
      <c r="F160" s="362">
        <v>85</v>
      </c>
      <c r="G160" s="169"/>
      <c r="H160" s="173">
        <v>-5.0999999999999996</v>
      </c>
      <c r="I160" s="172">
        <v>-11</v>
      </c>
      <c r="J160" s="317"/>
      <c r="K160" s="317"/>
      <c r="L160" s="273"/>
      <c r="M160" s="273"/>
      <c r="N160" s="273"/>
      <c r="O160" s="273"/>
      <c r="P160" s="273"/>
      <c r="Q160" s="273"/>
    </row>
    <row r="161" spans="1:20" ht="15" customHeight="1" x14ac:dyDescent="0.25">
      <c r="A161" s="361" t="s">
        <v>452</v>
      </c>
      <c r="B161" s="362">
        <v>1835</v>
      </c>
      <c r="C161" s="363">
        <v>1721</v>
      </c>
      <c r="D161" s="362">
        <v>1614</v>
      </c>
      <c r="E161" s="362">
        <v>891</v>
      </c>
      <c r="F161" s="362">
        <v>198</v>
      </c>
      <c r="G161" s="169"/>
      <c r="H161" s="173">
        <v>-0.6</v>
      </c>
      <c r="I161" s="173">
        <v>-6.9</v>
      </c>
      <c r="J161" s="317"/>
      <c r="K161" s="317"/>
      <c r="L161" s="273"/>
      <c r="M161" s="273"/>
      <c r="N161" s="273"/>
      <c r="O161" s="273"/>
      <c r="P161" s="273"/>
      <c r="Q161" s="273"/>
    </row>
    <row r="162" spans="1:20" ht="15" customHeight="1" x14ac:dyDescent="0.25">
      <c r="A162" s="336" t="s">
        <v>454</v>
      </c>
      <c r="B162" s="337">
        <v>1019</v>
      </c>
      <c r="C162" s="326">
        <v>621</v>
      </c>
      <c r="D162" s="337">
        <v>783</v>
      </c>
      <c r="E162" s="337">
        <v>469</v>
      </c>
      <c r="F162" s="337">
        <v>210</v>
      </c>
      <c r="G162" s="338"/>
      <c r="H162" s="358">
        <v>2.4</v>
      </c>
      <c r="I162" s="358">
        <v>-3.5</v>
      </c>
      <c r="J162" s="317"/>
      <c r="K162" s="317"/>
      <c r="L162" s="273"/>
      <c r="M162" s="273"/>
      <c r="N162" s="273"/>
      <c r="O162" s="273"/>
      <c r="P162" s="273"/>
      <c r="Q162" s="273"/>
    </row>
    <row r="163" spans="1:20" ht="15" customHeight="1" x14ac:dyDescent="0.25">
      <c r="A163" s="336" t="s">
        <v>455</v>
      </c>
      <c r="B163" s="337">
        <v>883</v>
      </c>
      <c r="C163" s="326">
        <v>800</v>
      </c>
      <c r="D163" s="337">
        <v>705</v>
      </c>
      <c r="E163" s="337">
        <v>348</v>
      </c>
      <c r="F163" s="337">
        <v>122</v>
      </c>
      <c r="G163" s="338"/>
      <c r="H163" s="358">
        <v>-1.3</v>
      </c>
      <c r="I163" s="358">
        <v>-6.1</v>
      </c>
      <c r="J163" s="317"/>
      <c r="K163" s="317"/>
      <c r="L163" s="273"/>
      <c r="M163" s="273"/>
      <c r="N163" s="273"/>
      <c r="O163" s="273"/>
      <c r="P163" s="273"/>
      <c r="Q163" s="273"/>
    </row>
    <row r="164" spans="1:20" ht="15" customHeight="1" x14ac:dyDescent="0.25">
      <c r="A164" s="234" t="s">
        <v>301</v>
      </c>
      <c r="B164" s="359">
        <v>3007</v>
      </c>
      <c r="C164" s="360">
        <v>2860</v>
      </c>
      <c r="D164" s="359">
        <v>1809</v>
      </c>
      <c r="E164" s="359">
        <v>685</v>
      </c>
      <c r="F164" s="359">
        <v>122</v>
      </c>
      <c r="G164" s="237"/>
      <c r="H164" s="241">
        <v>-4.5</v>
      </c>
      <c r="I164" s="364">
        <v>-10</v>
      </c>
      <c r="J164" s="317"/>
      <c r="K164" s="317"/>
      <c r="L164" s="273"/>
      <c r="M164" s="273"/>
      <c r="N164" s="273"/>
      <c r="O164" s="273"/>
      <c r="P164" s="273"/>
      <c r="Q164" s="273"/>
    </row>
    <row r="165" spans="1:20" ht="15" customHeight="1" x14ac:dyDescent="0.25">
      <c r="A165" s="336" t="s">
        <v>458</v>
      </c>
      <c r="B165" s="337">
        <v>2030</v>
      </c>
      <c r="C165" s="326">
        <v>1968</v>
      </c>
      <c r="D165" s="337">
        <v>1377</v>
      </c>
      <c r="E165" s="337">
        <v>542</v>
      </c>
      <c r="F165" s="337">
        <v>108</v>
      </c>
      <c r="G165" s="338"/>
      <c r="H165" s="358">
        <v>-3.5</v>
      </c>
      <c r="I165" s="358">
        <v>-9.1999999999999993</v>
      </c>
      <c r="J165" s="317"/>
      <c r="K165" s="317"/>
      <c r="L165" s="273"/>
      <c r="M165" s="273"/>
      <c r="N165" s="273"/>
      <c r="O165" s="273"/>
      <c r="P165" s="273"/>
      <c r="Q165" s="273"/>
    </row>
    <row r="166" spans="1:20" ht="15" customHeight="1" x14ac:dyDescent="0.25">
      <c r="A166" s="365" t="s">
        <v>459</v>
      </c>
      <c r="B166" s="337">
        <v>977</v>
      </c>
      <c r="C166" s="326">
        <v>892</v>
      </c>
      <c r="D166" s="337">
        <v>432</v>
      </c>
      <c r="E166" s="337">
        <v>144</v>
      </c>
      <c r="F166" s="337">
        <v>14</v>
      </c>
      <c r="G166" s="338"/>
      <c r="H166" s="358">
        <v>-7</v>
      </c>
      <c r="I166" s="339">
        <v>-13</v>
      </c>
      <c r="J166" s="317"/>
      <c r="K166" s="317"/>
      <c r="L166" s="273"/>
      <c r="M166" s="273"/>
      <c r="N166" s="273"/>
      <c r="O166" s="273"/>
      <c r="P166" s="273"/>
      <c r="Q166" s="273"/>
    </row>
    <row r="167" spans="1:20" ht="2.25" customHeight="1" x14ac:dyDescent="0.25">
      <c r="A167" s="366"/>
      <c r="B167" s="367">
        <v>0</v>
      </c>
      <c r="C167" s="368">
        <v>0</v>
      </c>
      <c r="D167" s="367">
        <v>0</v>
      </c>
      <c r="E167" s="367">
        <v>0</v>
      </c>
      <c r="F167" s="367">
        <v>0</v>
      </c>
      <c r="G167" s="369"/>
      <c r="H167" s="370">
        <v>0</v>
      </c>
      <c r="I167" s="370">
        <v>0</v>
      </c>
      <c r="J167" s="317"/>
      <c r="K167" s="317"/>
      <c r="L167" s="273"/>
      <c r="M167" s="273"/>
      <c r="N167" s="273"/>
      <c r="O167" s="273"/>
      <c r="P167" s="273"/>
      <c r="Q167" s="273"/>
    </row>
    <row r="168" spans="1:20" s="188" customFormat="1" ht="15" customHeight="1" x14ac:dyDescent="0.25">
      <c r="A168" s="371" t="s">
        <v>484</v>
      </c>
      <c r="B168" s="352">
        <v>1</v>
      </c>
      <c r="C168" s="352">
        <v>1</v>
      </c>
      <c r="D168" s="352">
        <v>317</v>
      </c>
      <c r="E168" s="352">
        <v>1457</v>
      </c>
      <c r="F168" s="352">
        <v>1936</v>
      </c>
      <c r="G168" s="353"/>
      <c r="H168" s="372">
        <v>79</v>
      </c>
      <c r="I168" s="372">
        <v>29</v>
      </c>
      <c r="J168" s="317"/>
      <c r="K168" s="317"/>
      <c r="L168" s="273"/>
      <c r="M168" s="273"/>
      <c r="N168" s="273"/>
      <c r="O168" s="273"/>
      <c r="P168" s="273"/>
      <c r="Q168" s="273"/>
    </row>
    <row r="169" spans="1:20" ht="15" customHeight="1" thickBot="1" x14ac:dyDescent="0.3">
      <c r="A169" s="373" t="s">
        <v>485</v>
      </c>
      <c r="B169" s="374">
        <v>40</v>
      </c>
      <c r="C169" s="374">
        <v>40</v>
      </c>
      <c r="D169" s="374">
        <v>1665</v>
      </c>
      <c r="E169" s="374">
        <v>5619</v>
      </c>
      <c r="F169" s="374">
        <v>7602</v>
      </c>
      <c r="G169" s="257"/>
      <c r="H169" s="375">
        <v>45</v>
      </c>
      <c r="I169" s="375">
        <v>19</v>
      </c>
      <c r="J169" s="317"/>
      <c r="K169" s="317"/>
      <c r="L169" s="273"/>
      <c r="M169" s="273"/>
      <c r="N169" s="273"/>
      <c r="O169" s="273"/>
      <c r="P169" s="273"/>
      <c r="Q169" s="273"/>
    </row>
    <row r="170" spans="1:20" ht="22.5" customHeight="1" x14ac:dyDescent="0.25">
      <c r="A170" s="345" t="s">
        <v>486</v>
      </c>
      <c r="B170" s="348"/>
      <c r="C170" s="348"/>
      <c r="D170" s="348"/>
      <c r="E170" s="348"/>
      <c r="F170" s="348"/>
      <c r="G170" s="348"/>
      <c r="H170" s="376"/>
      <c r="I170" s="376"/>
    </row>
    <row r="171" spans="1:20" s="134" customFormat="1" ht="42.75" customHeight="1" x14ac:dyDescent="0.25">
      <c r="A171" s="666" t="s">
        <v>487</v>
      </c>
      <c r="B171" s="666"/>
      <c r="C171" s="666"/>
      <c r="D171" s="666"/>
      <c r="E171" s="666"/>
      <c r="F171" s="666"/>
      <c r="G171" s="666"/>
      <c r="H171" s="666"/>
      <c r="I171" s="666"/>
    </row>
    <row r="172" spans="1:20" s="138" customFormat="1" ht="12" customHeight="1" x14ac:dyDescent="0.25">
      <c r="A172" s="135"/>
      <c r="B172" s="135" t="s">
        <v>415</v>
      </c>
      <c r="C172" s="135" t="s">
        <v>415</v>
      </c>
      <c r="D172" s="135" t="s">
        <v>415</v>
      </c>
      <c r="E172" s="135" t="s">
        <v>415</v>
      </c>
      <c r="F172" s="135" t="s">
        <v>415</v>
      </c>
      <c r="G172" s="135"/>
      <c r="H172" s="137">
        <v>10</v>
      </c>
      <c r="I172" s="137">
        <v>30</v>
      </c>
    </row>
    <row r="173" spans="1:20" s="312" customFormat="1" ht="12" customHeight="1" x14ac:dyDescent="0.25">
      <c r="A173" s="139" t="s">
        <v>439</v>
      </c>
      <c r="B173" s="311">
        <v>48</v>
      </c>
      <c r="C173" s="311">
        <v>49</v>
      </c>
      <c r="D173" s="311">
        <v>59</v>
      </c>
      <c r="E173" s="311">
        <v>69</v>
      </c>
      <c r="F173" s="311">
        <v>79</v>
      </c>
      <c r="G173" s="311"/>
    </row>
    <row r="174" spans="1:20" ht="15" customHeight="1" x14ac:dyDescent="0.25">
      <c r="A174" s="143"/>
      <c r="B174" s="144" t="s">
        <v>488</v>
      </c>
      <c r="C174" s="144"/>
      <c r="D174" s="144"/>
      <c r="E174" s="144"/>
      <c r="F174" s="144"/>
      <c r="G174" s="377"/>
      <c r="H174" s="144" t="s">
        <v>418</v>
      </c>
      <c r="I174" s="144"/>
    </row>
    <row r="175" spans="1:20" ht="24" x14ac:dyDescent="0.25">
      <c r="A175" s="143"/>
      <c r="B175" s="378">
        <v>2019</v>
      </c>
      <c r="C175" s="378">
        <v>2020</v>
      </c>
      <c r="D175" s="378">
        <v>2030</v>
      </c>
      <c r="E175" s="378">
        <v>2040</v>
      </c>
      <c r="F175" s="378">
        <v>2050</v>
      </c>
      <c r="G175" s="379"/>
      <c r="H175" s="151" t="s">
        <v>419</v>
      </c>
      <c r="I175" s="151" t="s">
        <v>299</v>
      </c>
    </row>
    <row r="176" spans="1:20" ht="15" customHeight="1" x14ac:dyDescent="0.25">
      <c r="A176" s="159" t="s">
        <v>489</v>
      </c>
      <c r="B176" s="380">
        <v>7672</v>
      </c>
      <c r="C176" s="381">
        <v>7753</v>
      </c>
      <c r="D176" s="382">
        <v>8505</v>
      </c>
      <c r="E176" s="382">
        <v>9155</v>
      </c>
      <c r="F176" s="382">
        <v>9692</v>
      </c>
      <c r="G176" s="383">
        <v>0</v>
      </c>
      <c r="H176" s="213">
        <v>0.9</v>
      </c>
      <c r="I176" s="165">
        <v>0.7</v>
      </c>
      <c r="M176" s="273"/>
      <c r="N176" s="273"/>
      <c r="O176" s="273"/>
      <c r="P176" s="273"/>
      <c r="Q176" s="273"/>
      <c r="R176" s="273"/>
      <c r="S176" s="273"/>
      <c r="T176" s="273"/>
    </row>
    <row r="177" spans="1:20" ht="15" customHeight="1" x14ac:dyDescent="0.25">
      <c r="A177" s="147" t="s">
        <v>490</v>
      </c>
      <c r="B177" s="382">
        <v>134710</v>
      </c>
      <c r="C177" s="381">
        <v>128276</v>
      </c>
      <c r="D177" s="382">
        <v>184037</v>
      </c>
      <c r="E177" s="382">
        <v>246960</v>
      </c>
      <c r="F177" s="382">
        <v>316411</v>
      </c>
      <c r="G177" s="383">
        <v>0</v>
      </c>
      <c r="H177" s="213">
        <v>3.7</v>
      </c>
      <c r="I177" s="165">
        <v>3.1</v>
      </c>
      <c r="M177" s="273"/>
      <c r="N177" s="273"/>
      <c r="O177" s="273"/>
      <c r="P177" s="273"/>
      <c r="Q177" s="273"/>
      <c r="R177" s="273"/>
      <c r="S177" s="273"/>
      <c r="T177" s="273"/>
    </row>
    <row r="178" spans="1:20" ht="15" customHeight="1" x14ac:dyDescent="0.25">
      <c r="A178" s="384" t="s">
        <v>491</v>
      </c>
      <c r="B178" s="382">
        <v>17558</v>
      </c>
      <c r="C178" s="381">
        <v>16545</v>
      </c>
      <c r="D178" s="382">
        <v>21638</v>
      </c>
      <c r="E178" s="382">
        <v>26975</v>
      </c>
      <c r="F178" s="382">
        <v>32648</v>
      </c>
      <c r="G178" s="383">
        <v>0</v>
      </c>
      <c r="H178" s="213">
        <v>2.7</v>
      </c>
      <c r="I178" s="165">
        <v>2.2999999999999998</v>
      </c>
      <c r="M178" s="273"/>
      <c r="N178" s="273"/>
      <c r="O178" s="273"/>
      <c r="P178" s="273"/>
      <c r="Q178" s="273"/>
      <c r="R178" s="273"/>
      <c r="S178" s="273"/>
      <c r="T178" s="273"/>
    </row>
    <row r="179" spans="1:20" ht="15" customHeight="1" x14ac:dyDescent="0.25">
      <c r="A179" s="384" t="s">
        <v>492</v>
      </c>
      <c r="B179" s="385">
        <v>4.5430000000000001</v>
      </c>
      <c r="C179" s="386">
        <v>4.5780000000000003</v>
      </c>
      <c r="D179" s="385">
        <v>2.9729999999999999</v>
      </c>
      <c r="E179" s="385">
        <v>2.1640000000000001</v>
      </c>
      <c r="F179" s="385">
        <v>1.716</v>
      </c>
      <c r="G179" s="383">
        <v>0</v>
      </c>
      <c r="H179" s="213">
        <v>-4.2</v>
      </c>
      <c r="I179" s="165">
        <v>-3.2</v>
      </c>
      <c r="M179" s="387"/>
      <c r="N179" s="387"/>
      <c r="O179" s="387"/>
      <c r="P179" s="387"/>
      <c r="Q179" s="387"/>
      <c r="R179" s="273"/>
      <c r="S179" s="273"/>
      <c r="T179" s="273"/>
    </row>
    <row r="180" spans="1:20" ht="15" customHeight="1" x14ac:dyDescent="0.25">
      <c r="A180" s="384" t="s">
        <v>493</v>
      </c>
      <c r="B180" s="385">
        <v>3.2309999999999999</v>
      </c>
      <c r="C180" s="388">
        <v>3.2080000000000002</v>
      </c>
      <c r="D180" s="385">
        <v>2.1389999999999998</v>
      </c>
      <c r="E180" s="385">
        <v>1.468</v>
      </c>
      <c r="F180" s="385">
        <v>1.0860000000000001</v>
      </c>
      <c r="G180" s="383">
        <v>0</v>
      </c>
      <c r="H180" s="213">
        <v>-4</v>
      </c>
      <c r="I180" s="165">
        <v>-3.5</v>
      </c>
      <c r="M180" s="387"/>
      <c r="N180" s="387"/>
      <c r="O180" s="387"/>
      <c r="P180" s="387"/>
      <c r="Q180" s="387"/>
      <c r="R180" s="273"/>
      <c r="S180" s="273"/>
      <c r="T180" s="273"/>
    </row>
    <row r="181" spans="1:20" ht="15" customHeight="1" x14ac:dyDescent="0.25">
      <c r="A181" s="384" t="s">
        <v>494</v>
      </c>
      <c r="B181" s="389">
        <v>79.774000000000001</v>
      </c>
      <c r="C181" s="390">
        <v>75.739000000000004</v>
      </c>
      <c r="D181" s="389">
        <v>64.325999999999993</v>
      </c>
      <c r="E181" s="389">
        <v>58.384999999999998</v>
      </c>
      <c r="F181" s="389">
        <v>56.027000000000001</v>
      </c>
      <c r="G181" s="383">
        <v>0</v>
      </c>
      <c r="H181" s="213">
        <v>-1.6</v>
      </c>
      <c r="I181" s="165">
        <v>-1</v>
      </c>
      <c r="M181" s="387"/>
      <c r="N181" s="387"/>
      <c r="O181" s="387"/>
      <c r="P181" s="387"/>
      <c r="Q181" s="387"/>
      <c r="R181" s="273"/>
      <c r="S181" s="273"/>
      <c r="T181" s="273"/>
    </row>
    <row r="182" spans="1:20" ht="38.5" thickBot="1" x14ac:dyDescent="0.3">
      <c r="A182" s="391" t="s">
        <v>495</v>
      </c>
      <c r="B182" s="392">
        <v>0.46800000000000003</v>
      </c>
      <c r="C182" s="393">
        <v>0.438</v>
      </c>
      <c r="D182" s="392">
        <v>0.13800000000000001</v>
      </c>
      <c r="E182" s="392">
        <v>-1E-3</v>
      </c>
      <c r="F182" s="392">
        <v>-5.0000000000000001E-3</v>
      </c>
      <c r="G182" s="394">
        <v>0</v>
      </c>
      <c r="H182" s="395">
        <v>-11</v>
      </c>
      <c r="I182" s="396" t="s">
        <v>445</v>
      </c>
      <c r="M182" s="387"/>
      <c r="N182" s="387"/>
      <c r="O182" s="387"/>
      <c r="P182" s="387"/>
      <c r="Q182" s="387"/>
      <c r="R182" s="273"/>
      <c r="S182" s="273"/>
      <c r="T182" s="273"/>
    </row>
    <row r="183" spans="1:20" ht="15" customHeight="1" x14ac:dyDescent="0.25">
      <c r="A183"/>
      <c r="B183"/>
      <c r="C183"/>
      <c r="D183"/>
      <c r="E183"/>
      <c r="F183"/>
      <c r="G183"/>
      <c r="H183"/>
      <c r="I183"/>
    </row>
    <row r="184" spans="1:20" ht="15" customHeight="1" x14ac:dyDescent="0.25">
      <c r="A184" s="143"/>
      <c r="B184" s="144" t="s">
        <v>496</v>
      </c>
      <c r="C184" s="144"/>
      <c r="D184" s="144"/>
      <c r="E184" s="144"/>
      <c r="F184" s="144"/>
      <c r="G184" s="377"/>
      <c r="H184" s="144" t="s">
        <v>418</v>
      </c>
      <c r="I184" s="144"/>
    </row>
    <row r="185" spans="1:20" ht="24" x14ac:dyDescent="0.25">
      <c r="A185" s="143"/>
      <c r="B185" s="378">
        <v>2019</v>
      </c>
      <c r="C185" s="378">
        <v>2020</v>
      </c>
      <c r="D185" s="378">
        <v>2030</v>
      </c>
      <c r="E185" s="378">
        <v>2040</v>
      </c>
      <c r="F185" s="378">
        <v>2050</v>
      </c>
      <c r="G185" s="379"/>
      <c r="H185" s="151" t="s">
        <v>419</v>
      </c>
      <c r="I185" s="151" t="s">
        <v>299</v>
      </c>
    </row>
    <row r="186" spans="1:20" ht="15" customHeight="1" x14ac:dyDescent="0.25">
      <c r="A186" s="355" t="s">
        <v>497</v>
      </c>
      <c r="B186" s="397"/>
      <c r="C186" s="397"/>
      <c r="D186" s="397"/>
      <c r="E186" s="397"/>
      <c r="F186" s="397"/>
      <c r="G186" s="398"/>
      <c r="H186" s="399"/>
      <c r="I186" s="399"/>
    </row>
    <row r="187" spans="1:20" ht="15" customHeight="1" x14ac:dyDescent="0.25">
      <c r="A187" s="159" t="s">
        <v>498</v>
      </c>
      <c r="B187" s="400">
        <v>538</v>
      </c>
      <c r="C187" s="401">
        <v>529</v>
      </c>
      <c r="D187" s="382">
        <v>641</v>
      </c>
      <c r="E187" s="382">
        <v>686</v>
      </c>
      <c r="F187" s="382">
        <v>688</v>
      </c>
      <c r="G187" s="212">
        <v>0</v>
      </c>
      <c r="H187" s="213">
        <v>1.9</v>
      </c>
      <c r="I187" s="165">
        <v>0.9</v>
      </c>
      <c r="M187" s="273"/>
      <c r="N187" s="273"/>
      <c r="O187" s="273"/>
      <c r="P187" s="273"/>
      <c r="Q187" s="273"/>
      <c r="R187" s="273"/>
      <c r="S187" s="273"/>
      <c r="T187" s="273"/>
    </row>
    <row r="188" spans="1:20" ht="15" customHeight="1" x14ac:dyDescent="0.25">
      <c r="A188" s="159" t="s">
        <v>499</v>
      </c>
      <c r="B188" s="382">
        <v>1869</v>
      </c>
      <c r="C188" s="401">
        <v>1781</v>
      </c>
      <c r="D188" s="382">
        <v>1937</v>
      </c>
      <c r="E188" s="382">
        <v>1958</v>
      </c>
      <c r="F188" s="382">
        <v>1987</v>
      </c>
      <c r="G188" s="212">
        <v>0</v>
      </c>
      <c r="H188" s="213">
        <v>0.8</v>
      </c>
      <c r="I188" s="165">
        <v>0.4</v>
      </c>
      <c r="M188" s="273"/>
      <c r="N188" s="273"/>
      <c r="O188" s="273"/>
      <c r="P188" s="273"/>
      <c r="Q188" s="273"/>
      <c r="R188" s="273"/>
      <c r="S188" s="273"/>
      <c r="T188" s="273"/>
    </row>
    <row r="189" spans="1:20" ht="15" customHeight="1" x14ac:dyDescent="0.25">
      <c r="A189" s="196" t="s">
        <v>500</v>
      </c>
      <c r="B189" s="402">
        <v>4215</v>
      </c>
      <c r="C189" s="403">
        <v>4054</v>
      </c>
      <c r="D189" s="402">
        <v>4258</v>
      </c>
      <c r="E189" s="402">
        <v>4129</v>
      </c>
      <c r="F189" s="402">
        <v>4032</v>
      </c>
      <c r="G189" s="251">
        <v>0</v>
      </c>
      <c r="H189" s="252">
        <v>0.5</v>
      </c>
      <c r="I189" s="253">
        <v>0</v>
      </c>
      <c r="M189" s="273"/>
      <c r="N189" s="273"/>
      <c r="O189" s="273"/>
      <c r="P189" s="273"/>
      <c r="Q189" s="273"/>
      <c r="R189" s="273"/>
      <c r="S189" s="273"/>
      <c r="T189" s="273"/>
    </row>
    <row r="190" spans="1:20" ht="15" customHeight="1" x14ac:dyDescent="0.25">
      <c r="A190" s="355" t="s">
        <v>389</v>
      </c>
      <c r="B190" s="404"/>
      <c r="C190" s="404"/>
      <c r="D190" s="404"/>
      <c r="E190" s="404"/>
      <c r="F190" s="404"/>
      <c r="G190" s="398"/>
      <c r="H190" s="405"/>
      <c r="I190" s="405"/>
      <c r="M190" s="273"/>
      <c r="N190" s="273"/>
      <c r="O190" s="273"/>
      <c r="P190" s="273"/>
      <c r="Q190" s="273"/>
      <c r="R190" s="273"/>
      <c r="S190" s="273"/>
      <c r="T190" s="273"/>
    </row>
    <row r="191" spans="1:20" ht="15" customHeight="1" x14ac:dyDescent="0.25">
      <c r="A191" s="159" t="s">
        <v>501</v>
      </c>
      <c r="B191" s="382">
        <v>15300</v>
      </c>
      <c r="C191" s="401">
        <v>14261</v>
      </c>
      <c r="D191" s="382">
        <v>15775</v>
      </c>
      <c r="E191" s="382">
        <v>19159</v>
      </c>
      <c r="F191" s="382">
        <v>24517</v>
      </c>
      <c r="G191" s="212">
        <v>0</v>
      </c>
      <c r="H191" s="213">
        <v>1</v>
      </c>
      <c r="I191" s="165">
        <v>1.8</v>
      </c>
      <c r="M191" s="273"/>
      <c r="N191" s="273"/>
      <c r="O191" s="273"/>
      <c r="P191" s="273"/>
      <c r="Q191" s="273"/>
      <c r="R191" s="273"/>
      <c r="S191" s="273"/>
      <c r="T191" s="273"/>
    </row>
    <row r="192" spans="1:20" ht="15" customHeight="1" x14ac:dyDescent="0.25">
      <c r="A192" s="159" t="s">
        <v>502</v>
      </c>
      <c r="B192" s="382">
        <v>26646</v>
      </c>
      <c r="C192" s="401">
        <v>25761</v>
      </c>
      <c r="D192" s="382">
        <v>38072</v>
      </c>
      <c r="E192" s="382">
        <v>49756</v>
      </c>
      <c r="F192" s="382">
        <v>59990</v>
      </c>
      <c r="G192" s="212">
        <v>0</v>
      </c>
      <c r="H192" s="213">
        <v>4</v>
      </c>
      <c r="I192" s="165">
        <v>2.9</v>
      </c>
      <c r="M192" s="273"/>
      <c r="N192" s="273"/>
      <c r="O192" s="273"/>
      <c r="P192" s="273"/>
      <c r="Q192" s="273"/>
      <c r="R192" s="273"/>
      <c r="S192" s="273"/>
      <c r="T192" s="273"/>
    </row>
    <row r="193" spans="1:20" ht="15" customHeight="1" x14ac:dyDescent="0.25">
      <c r="A193" s="159" t="s">
        <v>503</v>
      </c>
      <c r="B193" s="382">
        <v>8160</v>
      </c>
      <c r="C193" s="401">
        <v>2780</v>
      </c>
      <c r="D193" s="382">
        <v>10250</v>
      </c>
      <c r="E193" s="382">
        <v>12060</v>
      </c>
      <c r="F193" s="382">
        <v>15650</v>
      </c>
      <c r="G193" s="212">
        <v>0</v>
      </c>
      <c r="H193" s="214">
        <v>14</v>
      </c>
      <c r="I193" s="165">
        <v>5.9249058923818154</v>
      </c>
      <c r="M193" s="273"/>
      <c r="N193" s="273"/>
      <c r="O193" s="273"/>
      <c r="P193" s="273"/>
      <c r="Q193" s="273"/>
      <c r="R193" s="273"/>
      <c r="S193" s="273"/>
      <c r="T193" s="273"/>
    </row>
    <row r="194" spans="1:20" ht="15" customHeight="1" x14ac:dyDescent="0.25">
      <c r="A194" s="196" t="s">
        <v>504</v>
      </c>
      <c r="B194" s="402">
        <v>107225</v>
      </c>
      <c r="C194" s="403">
        <v>109153</v>
      </c>
      <c r="D194" s="402">
        <v>155621</v>
      </c>
      <c r="E194" s="402">
        <v>209905</v>
      </c>
      <c r="F194" s="402">
        <v>291032</v>
      </c>
      <c r="G194" s="251">
        <v>0</v>
      </c>
      <c r="H194" s="252">
        <v>3.6</v>
      </c>
      <c r="I194" s="253">
        <v>3.3</v>
      </c>
      <c r="M194" s="273"/>
      <c r="N194" s="273"/>
      <c r="O194" s="273"/>
      <c r="P194" s="273"/>
      <c r="Q194" s="273"/>
      <c r="R194" s="273"/>
      <c r="S194" s="273"/>
      <c r="T194" s="273"/>
    </row>
    <row r="195" spans="1:20" ht="15" customHeight="1" x14ac:dyDescent="0.25">
      <c r="A195" s="355" t="s">
        <v>301</v>
      </c>
      <c r="B195" s="404"/>
      <c r="C195" s="404"/>
      <c r="D195" s="404"/>
      <c r="E195" s="404"/>
      <c r="F195" s="404"/>
      <c r="G195" s="398"/>
      <c r="H195" s="405"/>
      <c r="I195" s="405"/>
      <c r="M195" s="273"/>
      <c r="N195" s="273"/>
      <c r="O195" s="273"/>
      <c r="P195" s="273"/>
      <c r="Q195" s="273"/>
      <c r="R195" s="273"/>
      <c r="S195" s="273"/>
      <c r="T195" s="273"/>
    </row>
    <row r="196" spans="1:20" ht="15" customHeight="1" x14ac:dyDescent="0.25">
      <c r="A196" s="159" t="s">
        <v>505</v>
      </c>
      <c r="B196" s="382">
        <v>49670</v>
      </c>
      <c r="C196" s="401">
        <v>49825</v>
      </c>
      <c r="D196" s="382">
        <v>58867</v>
      </c>
      <c r="E196" s="382">
        <v>68576</v>
      </c>
      <c r="F196" s="382">
        <v>78157</v>
      </c>
      <c r="G196" s="212">
        <v>0</v>
      </c>
      <c r="H196" s="213">
        <v>1.7</v>
      </c>
      <c r="I196" s="165">
        <v>1.5</v>
      </c>
      <c r="M196" s="273"/>
      <c r="N196" s="273"/>
      <c r="O196" s="273"/>
      <c r="P196" s="273"/>
      <c r="Q196" s="273"/>
      <c r="R196" s="273"/>
      <c r="S196" s="273"/>
      <c r="T196" s="273"/>
    </row>
    <row r="197" spans="1:20" ht="15" customHeight="1" x14ac:dyDescent="0.25">
      <c r="A197" s="159" t="s">
        <v>506</v>
      </c>
      <c r="B197" s="382">
        <v>190062</v>
      </c>
      <c r="C197" s="401">
        <v>192558</v>
      </c>
      <c r="D197" s="382">
        <v>235745</v>
      </c>
      <c r="E197" s="382">
        <v>290696</v>
      </c>
      <c r="F197" s="382">
        <v>345183</v>
      </c>
      <c r="G197" s="212">
        <v>0</v>
      </c>
      <c r="H197" s="213">
        <v>2</v>
      </c>
      <c r="I197" s="165">
        <v>2</v>
      </c>
      <c r="M197" s="273"/>
      <c r="N197" s="273"/>
      <c r="O197" s="273"/>
      <c r="P197" s="273"/>
      <c r="Q197" s="273"/>
      <c r="R197" s="273"/>
      <c r="S197" s="273"/>
      <c r="T197" s="273"/>
    </row>
    <row r="198" spans="1:20" ht="15" customHeight="1" thickBot="1" x14ac:dyDescent="0.3">
      <c r="A198" s="199" t="s">
        <v>507</v>
      </c>
      <c r="B198" s="406">
        <v>2095</v>
      </c>
      <c r="C198" s="407">
        <v>2116</v>
      </c>
      <c r="D198" s="406">
        <v>2435</v>
      </c>
      <c r="E198" s="406">
        <v>2765</v>
      </c>
      <c r="F198" s="406">
        <v>3051</v>
      </c>
      <c r="G198" s="408">
        <v>0</v>
      </c>
      <c r="H198" s="205">
        <v>1.4</v>
      </c>
      <c r="I198" s="205">
        <v>1.2</v>
      </c>
      <c r="M198" s="273"/>
      <c r="N198" s="273"/>
      <c r="O198" s="273"/>
      <c r="P198" s="273"/>
      <c r="Q198" s="273"/>
      <c r="R198" s="273"/>
      <c r="S198" s="273"/>
      <c r="T198" s="273"/>
    </row>
    <row r="199" spans="1:20" ht="33" customHeight="1" x14ac:dyDescent="0.25">
      <c r="A199" s="665" t="s">
        <v>508</v>
      </c>
      <c r="B199" s="665"/>
      <c r="C199" s="665"/>
      <c r="D199" s="665"/>
      <c r="E199" s="665"/>
      <c r="F199" s="665"/>
      <c r="G199" s="665"/>
      <c r="H199" s="665"/>
      <c r="I199" s="665"/>
    </row>
    <row r="203" spans="1:20" x14ac:dyDescent="0.25">
      <c r="B203" s="147">
        <f>B189/(B187+B188+B189)</f>
        <v>0.6365146481425551</v>
      </c>
      <c r="C203" s="147">
        <f>C189/(C187+C188+C189)</f>
        <v>0.63702074167190448</v>
      </c>
      <c r="D203" s="147">
        <f>D189/(D187+D188+D189)</f>
        <v>0.62287887653598595</v>
      </c>
      <c r="E203" s="147">
        <f>E189/(E187+E188+E189)</f>
        <v>0.60962645799498005</v>
      </c>
      <c r="F203" s="147">
        <f>F189/(F187+F188+F189)</f>
        <v>0.60116296406739222</v>
      </c>
    </row>
    <row r="205" spans="1:20" x14ac:dyDescent="0.25">
      <c r="A205" s="425" t="s">
        <v>509</v>
      </c>
      <c r="B205" s="425"/>
      <c r="C205" s="425"/>
      <c r="D205" s="425"/>
      <c r="E205" s="425"/>
      <c r="F205" s="425"/>
      <c r="G205" s="425"/>
      <c r="H205" s="425"/>
      <c r="I205" s="425"/>
      <c r="J205" s="425"/>
    </row>
    <row r="206" spans="1:20" ht="23.5" x14ac:dyDescent="0.55000000000000004">
      <c r="A206" s="426" t="s">
        <v>510</v>
      </c>
      <c r="B206" s="427"/>
      <c r="C206" s="22"/>
      <c r="D206" s="10"/>
      <c r="E206" s="22"/>
      <c r="F206" s="22"/>
      <c r="G206" s="22"/>
      <c r="H206" s="22"/>
      <c r="I206" s="425"/>
      <c r="J206" s="425"/>
    </row>
    <row r="207" spans="1:20" ht="14" x14ac:dyDescent="0.35">
      <c r="A207" s="22"/>
      <c r="B207" s="428" t="s">
        <v>511</v>
      </c>
      <c r="C207" s="22"/>
      <c r="D207" s="10"/>
      <c r="E207" s="22"/>
      <c r="F207" s="429" t="s">
        <v>512</v>
      </c>
      <c r="G207" s="22"/>
      <c r="H207" s="22"/>
      <c r="I207" s="425"/>
      <c r="J207" s="425"/>
    </row>
    <row r="208" spans="1:20" ht="14.5" x14ac:dyDescent="0.35">
      <c r="A208" s="430"/>
      <c r="B208" s="431">
        <v>2020</v>
      </c>
      <c r="C208" s="431">
        <v>2030</v>
      </c>
      <c r="D208" s="431">
        <v>2050</v>
      </c>
      <c r="E208" s="22"/>
      <c r="F208" s="432">
        <v>2020</v>
      </c>
      <c r="G208" s="432">
        <v>2030</v>
      </c>
      <c r="H208" s="432">
        <v>2050</v>
      </c>
      <c r="I208" s="425"/>
      <c r="J208" s="425"/>
    </row>
    <row r="209" spans="1:10" ht="14.5" x14ac:dyDescent="0.35">
      <c r="A209" s="430" t="s">
        <v>513</v>
      </c>
      <c r="B209" s="431">
        <v>21.8</v>
      </c>
      <c r="C209" s="431">
        <v>3445</v>
      </c>
      <c r="D209" s="431">
        <v>12314</v>
      </c>
      <c r="E209" s="22"/>
      <c r="F209" s="433">
        <v>0.25</v>
      </c>
      <c r="G209" s="433">
        <v>0.57999999999999996</v>
      </c>
      <c r="H209" s="433">
        <v>0.63600000000000001</v>
      </c>
      <c r="I209" s="425"/>
      <c r="J209" s="425"/>
    </row>
    <row r="210" spans="1:10" ht="14.5" x14ac:dyDescent="0.35">
      <c r="A210" s="430" t="s">
        <v>514</v>
      </c>
      <c r="B210" s="434">
        <v>5050</v>
      </c>
      <c r="C210" s="434">
        <v>7144</v>
      </c>
      <c r="D210" s="434">
        <v>11648</v>
      </c>
      <c r="E210" s="22"/>
      <c r="F210" s="433">
        <v>0.161</v>
      </c>
      <c r="G210" s="433">
        <v>0.20599999999999999</v>
      </c>
      <c r="H210" s="433">
        <v>0.36599999999999999</v>
      </c>
      <c r="I210" s="425"/>
      <c r="J210" s="425"/>
    </row>
    <row r="211" spans="1:10" ht="14.5" x14ac:dyDescent="0.35">
      <c r="A211" s="430" t="s">
        <v>515</v>
      </c>
      <c r="B211" s="434">
        <v>4283</v>
      </c>
      <c r="C211" s="434">
        <v>5865</v>
      </c>
      <c r="D211" s="434">
        <v>8844</v>
      </c>
      <c r="E211" s="22"/>
      <c r="F211" s="433">
        <v>0.35199999999999998</v>
      </c>
      <c r="G211" s="433">
        <v>0.46800000000000003</v>
      </c>
      <c r="H211" s="433">
        <v>0.69299999999999995</v>
      </c>
      <c r="I211" s="425"/>
      <c r="J211" s="425"/>
    </row>
    <row r="212" spans="1:10" ht="14.5" x14ac:dyDescent="0.35">
      <c r="A212" s="430" t="s">
        <v>516</v>
      </c>
      <c r="B212" s="434">
        <v>2347</v>
      </c>
      <c r="C212" s="434">
        <v>2177</v>
      </c>
      <c r="D212" s="434">
        <v>2599</v>
      </c>
      <c r="E212" s="22"/>
      <c r="F212" s="433">
        <v>0.14199999999999999</v>
      </c>
      <c r="G212" s="433">
        <v>0.17399999999999999</v>
      </c>
      <c r="H212" s="433">
        <v>0.32200000000000001</v>
      </c>
      <c r="I212" s="425"/>
      <c r="J212" s="425"/>
    </row>
    <row r="213" spans="1:10" ht="14.5" x14ac:dyDescent="0.35">
      <c r="A213" s="430" t="s">
        <v>336</v>
      </c>
      <c r="B213" s="434">
        <v>512</v>
      </c>
      <c r="C213" s="434">
        <v>749</v>
      </c>
      <c r="D213" s="434">
        <v>1874</v>
      </c>
      <c r="E213" s="22"/>
      <c r="F213" s="433">
        <v>0.16900000000000001</v>
      </c>
      <c r="G213" s="433">
        <v>0.155</v>
      </c>
      <c r="H213" s="433">
        <v>0.48199999999999998</v>
      </c>
      <c r="I213" s="425"/>
      <c r="J213" s="425"/>
    </row>
    <row r="214" spans="1:10" ht="14.5" x14ac:dyDescent="0.35">
      <c r="A214" s="430" t="s">
        <v>517</v>
      </c>
      <c r="B214" s="434">
        <v>29.5</v>
      </c>
      <c r="C214" s="434">
        <v>821</v>
      </c>
      <c r="D214" s="434">
        <v>4032</v>
      </c>
      <c r="E214" s="22"/>
      <c r="F214" s="433">
        <v>2.16E-3</v>
      </c>
      <c r="G214" s="433">
        <v>8.4000000000000005E-2</v>
      </c>
      <c r="H214" s="433">
        <v>0.77</v>
      </c>
      <c r="I214" s="425"/>
      <c r="J214" s="425"/>
    </row>
    <row r="215" spans="1:10" ht="14.5" x14ac:dyDescent="0.35">
      <c r="A215" s="430" t="s">
        <v>518</v>
      </c>
      <c r="B215" s="434">
        <v>0.42699999999999999</v>
      </c>
      <c r="C215" s="434">
        <v>295</v>
      </c>
      <c r="D215" s="434">
        <v>2651</v>
      </c>
      <c r="E215" s="22"/>
      <c r="F215" s="433">
        <v>6.0000000000000002E-5</v>
      </c>
      <c r="G215" s="433">
        <v>3.9E-2</v>
      </c>
      <c r="H215" s="433">
        <v>0.44400000000000001</v>
      </c>
      <c r="I215" s="425"/>
      <c r="J215" s="425"/>
    </row>
    <row r="216" spans="1:10" x14ac:dyDescent="0.25">
      <c r="A216" s="425"/>
      <c r="B216" s="425"/>
      <c r="C216" s="425"/>
      <c r="D216" s="425"/>
      <c r="E216" s="425"/>
      <c r="F216" s="425"/>
      <c r="G216" s="425"/>
      <c r="H216" s="425"/>
      <c r="I216" s="425"/>
      <c r="J216" s="425"/>
    </row>
    <row r="220" spans="1:10" x14ac:dyDescent="0.25">
      <c r="B220" s="14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3419E9A699694FA40DF12CEFEC335B" ma:contentTypeVersion="16" ma:contentTypeDescription="Create a new document." ma:contentTypeScope="" ma:versionID="41b86cc7f510b3751bd1a5053ee05f48">
  <xsd:schema xmlns:xsd="http://www.w3.org/2001/XMLSchema" xmlns:xs="http://www.w3.org/2001/XMLSchema" xmlns:p="http://schemas.microsoft.com/office/2006/metadata/properties" xmlns:ns2="19681c74-390e-424f-9c52-88122ddad998" xmlns:ns3="ad14caf1-5f68-4141-9140-62cdf965c7ff" targetNamespace="http://schemas.microsoft.com/office/2006/metadata/properties" ma:root="true" ma:fieldsID="507d4ffc0e9518fd514f0ebef1378d21" ns2:_="" ns3:_="">
    <xsd:import namespace="19681c74-390e-424f-9c52-88122ddad998"/>
    <xsd:import namespace="ad14caf1-5f68-4141-9140-62cdf965c7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81c74-390e-424f-9c52-88122ddad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14caf1-5f68-4141-9140-62cdf965c7f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a187dd8-7502-40aa-8fe1-54e48ec8f6e2}" ma:internalName="TaxCatchAll" ma:showField="CatchAllData" ma:web="ad14caf1-5f68-4141-9140-62cdf965c7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681c74-390e-424f-9c52-88122ddad998">
      <Terms xmlns="http://schemas.microsoft.com/office/infopath/2007/PartnerControls"/>
    </lcf76f155ced4ddcb4097134ff3c332f>
    <TaxCatchAll xmlns="ad14caf1-5f68-4141-9140-62cdf965c7f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E2C0F-5E21-419B-8E40-D3887C90A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81c74-390e-424f-9c52-88122ddad998"/>
    <ds:schemaRef ds:uri="ad14caf1-5f68-4141-9140-62cdf965c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21959B-8FBE-481D-A7B4-C14724696A09}">
  <ds:schemaRefs>
    <ds:schemaRef ds:uri="http://schemas.microsoft.com/DataMashup"/>
  </ds:schemaRefs>
</ds:datastoreItem>
</file>

<file path=customXml/itemProps3.xml><?xml version="1.0" encoding="utf-8"?>
<ds:datastoreItem xmlns:ds="http://schemas.openxmlformats.org/officeDocument/2006/customXml" ds:itemID="{2209811C-F17E-4967-A17C-ED3E0FE2D97C}">
  <ds:schemaRefs>
    <ds:schemaRef ds:uri="19681c74-390e-424f-9c52-88122ddad998"/>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d14caf1-5f68-4141-9140-62cdf965c7ff"/>
  </ds:schemaRefs>
</ds:datastoreItem>
</file>

<file path=customXml/itemProps4.xml><?xml version="1.0" encoding="utf-8"?>
<ds:datastoreItem xmlns:ds="http://schemas.openxmlformats.org/officeDocument/2006/customXml" ds:itemID="{2DF4F63E-64BD-4362-98A0-D02BA85A1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Quick guide</vt:lpstr>
      <vt:lpstr>SDA Tool Data Notes</vt:lpstr>
      <vt:lpstr>SDA Tool</vt:lpstr>
      <vt:lpstr>S1-Nitric Acid N2O Tool</vt:lpstr>
      <vt:lpstr>S3-Fertilizer N2O Tool</vt:lpstr>
      <vt:lpstr>Alternative Feedstock Tool</vt:lpstr>
      <vt:lpstr>Calculations</vt:lpstr>
      <vt:lpstr>Database</vt:lpstr>
      <vt:lpstr>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frangel@wwfmex.org</dc:creator>
  <cp:keywords/>
  <dc:description/>
  <cp:lastModifiedBy>Michael Danielson</cp:lastModifiedBy>
  <cp:revision/>
  <dcterms:created xsi:type="dcterms:W3CDTF">2018-05-29T20:19:30Z</dcterms:created>
  <dcterms:modified xsi:type="dcterms:W3CDTF">2024-05-08T16:34:34Z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0x010100DC3419E9A699694FA40DF12CEFEC335B</vt:lpwstr>
  </property>
  <property fmtid="{D5CDD505-2E9C-101B-9397-08002B2CF9AE}" pid="3" name="MediaServiceImageTags">
    <vt:lpwstr/>
  </property>
</Properties>
</file>