
<file path=[Content_Types].xml><?xml version="1.0" encoding="utf-8"?>
<Types xmlns="http://schemas.openxmlformats.org/package/2006/content-types">
  <Default Extension="bin" ContentType="application/vnd.openxmlformats-officedocument.spreadsheetml.printerSettings"/>
  <Default Extension="gif" ContentType="image/gif"/>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4.xml" ContentType="application/vnd.openxmlformats-officedocument.drawingml.chartshapes+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theme/themeOverride1.xml" ContentType="application/vnd.openxmlformats-officedocument.themeOverride+xml"/>
  <Override PartName="/xl/drawings/drawing5.xml" ContentType="application/vnd.openxmlformats-officedocument.drawingml.chartshapes+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6.xml" ContentType="application/vnd.openxmlformats-officedocument.drawingml.chartshapes+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7.xml" ContentType="application/vnd.openxmlformats-officedocument.drawingml.chartshapes+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drawings/drawing8.xml" ContentType="application/vnd.openxmlformats-officedocument.drawingml.chartshapes+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drawings/drawing9.xml" ContentType="application/vnd.openxmlformats-officedocument.drawingml.chartshapes+xml"/>
  <Override PartName="/xl/drawings/drawing10.xml" ContentType="application/vnd.openxmlformats-officedocument.drawing+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drawings/drawing11.xml" ContentType="application/vnd.openxmlformats-officedocument.drawingml.chartshapes+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drawings/drawing12.xml" ContentType="application/vnd.openxmlformats-officedocument.drawingml.chartshapes+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drawings/drawing13.xml" ContentType="application/vnd.openxmlformats-officedocument.drawingml.chartshapes+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drawings/drawing14.xml" ContentType="application/vnd.openxmlformats-officedocument.drawingml.chartshapes+xml"/>
  <Override PartName="/xl/drawings/drawing15.xml" ContentType="application/vnd.openxmlformats-officedocument.drawing+xml"/>
  <Override PartName="/xl/tables/table1.xml" ContentType="application/vnd.openxmlformats-officedocument.spreadsheetml.table+xml"/>
  <Override PartName="/xl/drawings/drawing16.xml" ContentType="application/vnd.openxmlformats-officedocument.drawing+xml"/>
  <Override PartName="/xl/tables/table2.xml" ContentType="application/vnd.openxmlformats-officedocument.spreadsheetml.tabl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drawings/drawing17.xml" ContentType="application/vnd.openxmlformats-officedocument.drawing+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drawings/drawing18.xml" ContentType="application/vnd.openxmlformats-officedocument.drawing+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drawings/drawing19.xml" ContentType="application/vnd.openxmlformats-officedocument.drawingml.chartshapes+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theme/themeOverride2.xml" ContentType="application/vnd.openxmlformats-officedocument.themeOverride+xml"/>
  <Override PartName="/xl/drawings/drawing20.xml" ContentType="application/vnd.openxmlformats-officedocument.drawingml.chartshapes+xml"/>
  <Override PartName="/xl/charts/chart17.xml" ContentType="application/vnd.openxmlformats-officedocument.drawingml.chart+xml"/>
  <Override PartName="/xl/charts/style17.xml" ContentType="application/vnd.ms-office.chartstyle+xml"/>
  <Override PartName="/xl/charts/colors17.xml" ContentType="application/vnd.ms-office.chartcolorstyle+xml"/>
  <Override PartName="/xl/drawings/drawing21.xml" ContentType="application/vnd.openxmlformats-officedocument.drawingml.chartshapes+xml"/>
  <Override PartName="/xl/charts/chart18.xml" ContentType="application/vnd.openxmlformats-officedocument.drawingml.chart+xml"/>
  <Override PartName="/xl/charts/style18.xml" ContentType="application/vnd.ms-office.chartstyle+xml"/>
  <Override PartName="/xl/charts/colors18.xml" ContentType="application/vnd.ms-office.chartcolorstyle+xml"/>
  <Override PartName="/xl/drawings/drawing22.xml" ContentType="application/vnd.openxmlformats-officedocument.drawingml.chartshapes+xml"/>
  <Override PartName="/xl/charts/chart19.xml" ContentType="application/vnd.openxmlformats-officedocument.drawingml.chart+xml"/>
  <Override PartName="/xl/charts/style19.xml" ContentType="application/vnd.ms-office.chartstyle+xml"/>
  <Override PartName="/xl/charts/colors19.xml" ContentType="application/vnd.ms-office.chartcolorstyle+xml"/>
  <Override PartName="/xl/drawings/drawing23.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608"/>
  <workbookPr codeName="ThisWorkbook" defaultThemeVersion="166925"/>
  <mc:AlternateContent xmlns:mc="http://schemas.openxmlformats.org/markup-compatibility/2006">
    <mc:Choice Requires="x15">
      <x15ac:absPath xmlns:x15ac="http://schemas.microsoft.com/office/spreadsheetml/2010/11/ac" url="/Users/analuciaolvera/Downloads/"/>
    </mc:Choice>
  </mc:AlternateContent>
  <xr:revisionPtr revIDLastSave="0" documentId="8_{5D591E2F-BD38-3C44-AE20-36E29C5E616E}" xr6:coauthVersionLast="47" xr6:coauthVersionMax="47" xr10:uidLastSave="{00000000-0000-0000-0000-000000000000}"/>
  <workbookProtection workbookAlgorithmName="SHA-512" workbookHashValue="MRbdasYwimFDdGcxKxLDJswdBVj8iEM0AzjpRQUhMZIFR9Gi6YROjZtvQp+jvsEp5yXF5h30WDjRy5zOQdvONw==" workbookSaltValue="X0vusMPhXuDpQN2o/dU0JA==" workbookSpinCount="100000" lockStructure="1"/>
  <bookViews>
    <workbookView xWindow="2220" yWindow="1920" windowWidth="23260" windowHeight="13900" tabRatio="867" activeTab="4" xr2:uid="{00000000-000D-0000-FFFF-FFFF00000000}"/>
  </bookViews>
  <sheets>
    <sheet name="README" sheetId="11" r:id="rId1"/>
    <sheet name="Quick Guide" sheetId="14" state="veryHidden" r:id="rId2"/>
    <sheet name="Automakers" sheetId="1" r:id="rId3"/>
    <sheet name="Autoparts" sheetId="34" r:id="rId4"/>
    <sheet name="Target  aggregator" sheetId="31" r:id="rId5"/>
    <sheet name="Calculations" sheetId="29" r:id="rId6"/>
    <sheet name="Database" sheetId="25" r:id="rId7"/>
    <sheet name="VCdata" sheetId="36" state="veryHidden" r:id="rId8"/>
    <sheet name="Lists" sheetId="5" state="veryHidden" r:id="rId9"/>
    <sheet name="Comparison" sheetId="26" state="veryHidden" r:id="rId10"/>
    <sheet name="TVT README" sheetId="24" state="veryHidden" r:id="rId11"/>
    <sheet name="AutomakersOLD" sheetId="35" state="veryHidden" r:id="rId12"/>
  </sheets>
  <definedNames>
    <definedName name="CAAGR_tolerance">200</definedName>
    <definedName name="RoundFactorLong">4</definedName>
    <definedName name="RoundFactorMed">3</definedName>
    <definedName name="RoundFactorShort">3</definedName>
    <definedName name="S1_2_TARGET">#REF!:OFFSET(#REF!,0,(#REF!-#REF!))</definedName>
    <definedName name="sector">Lists!$B$2:$B$5</definedName>
    <definedName name="SmallestNonZeroValue">0.00001</definedName>
    <definedName name="SumTolerance">0.005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23" i="1" l="1"/>
  <c r="H5" i="11"/>
  <c r="V22" i="25"/>
  <c r="V9" i="25"/>
  <c r="H87" i="29" l="1" a="1"/>
  <c r="H87" i="29" s="1"/>
  <c r="I87" i="29" a="1"/>
  <c r="I87" i="29" s="1"/>
  <c r="J87" i="29" a="1"/>
  <c r="J87" i="29" s="1"/>
  <c r="K87" i="29" a="1"/>
  <c r="K87" i="29" s="1"/>
  <c r="L87" i="29" a="1"/>
  <c r="L87" i="29" s="1"/>
  <c r="M87" i="29" a="1"/>
  <c r="M87" i="29" s="1"/>
  <c r="N87" i="29" a="1"/>
  <c r="N87" i="29" s="1"/>
  <c r="O87" i="29" a="1"/>
  <c r="O87" i="29" s="1"/>
  <c r="P87" i="29" a="1"/>
  <c r="P87" i="29" s="1"/>
  <c r="Q87" i="29" a="1"/>
  <c r="Q87" i="29" s="1"/>
  <c r="R87" i="29" a="1"/>
  <c r="R87" i="29" s="1"/>
  <c r="S87" i="29" a="1"/>
  <c r="S87" i="29" s="1"/>
  <c r="T87" i="29" a="1"/>
  <c r="T87" i="29" s="1"/>
  <c r="U87" i="29" a="1"/>
  <c r="U87" i="29" s="1"/>
  <c r="V87" i="29" a="1"/>
  <c r="V87" i="29" s="1"/>
  <c r="W87" i="29" a="1"/>
  <c r="W87" i="29" s="1"/>
  <c r="X87" i="29" a="1"/>
  <c r="X87" i="29" s="1"/>
  <c r="Y87" i="29" a="1"/>
  <c r="Y87" i="29" s="1"/>
  <c r="Z87" i="29" a="1"/>
  <c r="Z87" i="29" s="1"/>
  <c r="AA87" i="29" a="1"/>
  <c r="AA87" i="29" s="1"/>
  <c r="AB87" i="29" a="1"/>
  <c r="AB87" i="29" s="1"/>
  <c r="AC87" i="29" a="1"/>
  <c r="AC87" i="29" s="1"/>
  <c r="AD87" i="29" a="1"/>
  <c r="AD87" i="29" s="1"/>
  <c r="AE87" i="29" a="1"/>
  <c r="AE87" i="29" s="1"/>
  <c r="AF87" i="29" a="1"/>
  <c r="AF87" i="29" s="1"/>
  <c r="AG87" i="29" a="1"/>
  <c r="AG87" i="29" s="1"/>
  <c r="AH87" i="29" a="1"/>
  <c r="AH87" i="29" s="1"/>
  <c r="AI87" i="29" a="1"/>
  <c r="AI87" i="29" s="1"/>
  <c r="G87" i="29" a="1"/>
  <c r="G87" i="29" s="1"/>
  <c r="D150" i="1"/>
  <c r="D111" i="1"/>
  <c r="D100" i="34"/>
  <c r="D62" i="34"/>
  <c r="D139" i="34"/>
  <c r="D138" i="34"/>
  <c r="D136" i="34"/>
  <c r="D186" i="1"/>
  <c r="D184" i="1"/>
  <c r="D182" i="1"/>
  <c r="B166" i="29"/>
  <c r="B165" i="29"/>
  <c r="B171" i="29"/>
  <c r="B170" i="29"/>
  <c r="B110" i="34" s="1"/>
  <c r="F139" i="34" s="1"/>
  <c r="B164" i="29"/>
  <c r="B169" i="29"/>
  <c r="B172" i="29"/>
  <c r="B167" i="29"/>
  <c r="B162" i="29"/>
  <c r="B156" i="29"/>
  <c r="B155" i="29"/>
  <c r="B160" i="29"/>
  <c r="B159" i="29"/>
  <c r="B129" i="29"/>
  <c r="B134" i="29"/>
  <c r="B139" i="29"/>
  <c r="B144" i="29"/>
  <c r="B149" i="29"/>
  <c r="B154" i="29"/>
  <c r="B150" i="29"/>
  <c r="B152" i="29"/>
  <c r="B146" i="29"/>
  <c r="B145" i="29"/>
  <c r="B141" i="29"/>
  <c r="B140" i="29"/>
  <c r="B136" i="29"/>
  <c r="B135" i="29"/>
  <c r="B131" i="29"/>
  <c r="B130" i="29"/>
  <c r="B84" i="29"/>
  <c r="B157" i="29" s="1"/>
  <c r="B83" i="29"/>
  <c r="B82" i="29"/>
  <c r="B57" i="29"/>
  <c r="B142" i="29" s="1"/>
  <c r="B56" i="29"/>
  <c r="B55" i="29"/>
  <c r="B64" i="29"/>
  <c r="B147" i="29" s="1"/>
  <c r="B63" i="29"/>
  <c r="B62" i="29"/>
  <c r="B45" i="29"/>
  <c r="B44" i="29"/>
  <c r="B43" i="29"/>
  <c r="B38" i="29"/>
  <c r="B37" i="29"/>
  <c r="B36" i="29"/>
  <c r="F60" i="31"/>
  <c r="F59" i="31"/>
  <c r="F34" i="31"/>
  <c r="F33" i="31"/>
  <c r="B107" i="34"/>
  <c r="B69" i="34"/>
  <c r="B31" i="34"/>
  <c r="B119" i="1"/>
  <c r="B79" i="1"/>
  <c r="X138" i="34"/>
  <c r="Y138" i="34"/>
  <c r="Z138" i="34"/>
  <c r="X139" i="34"/>
  <c r="Y139" i="34"/>
  <c r="Z139" i="34"/>
  <c r="X137" i="34"/>
  <c r="Y137" i="34"/>
  <c r="Z137" i="34"/>
  <c r="H138" i="34"/>
  <c r="G138" i="34"/>
  <c r="D110" i="34"/>
  <c r="D102" i="29"/>
  <c r="H100" i="29" a="1"/>
  <c r="H100" i="29" s="1"/>
  <c r="H171" i="29" s="1"/>
  <c r="I100" i="29" a="1"/>
  <c r="I100" i="29" s="1"/>
  <c r="I171" i="29" s="1"/>
  <c r="J100" i="29" a="1"/>
  <c r="J100" i="29" s="1"/>
  <c r="J171" i="29" s="1"/>
  <c r="K100" i="29" a="1"/>
  <c r="K100" i="29" s="1"/>
  <c r="K171" i="29" s="1"/>
  <c r="L100" i="29" a="1"/>
  <c r="L100" i="29" s="1"/>
  <c r="L171" i="29" s="1"/>
  <c r="M100" i="29" a="1"/>
  <c r="M100" i="29" s="1"/>
  <c r="M171" i="29" s="1"/>
  <c r="N100" i="29" a="1"/>
  <c r="N100" i="29" s="1"/>
  <c r="N171" i="29" s="1"/>
  <c r="O100" i="29" a="1"/>
  <c r="O100" i="29" s="1"/>
  <c r="O171" i="29" s="1"/>
  <c r="P100" i="29" a="1"/>
  <c r="P100" i="29" s="1"/>
  <c r="P171" i="29" s="1"/>
  <c r="Q100" i="29" a="1"/>
  <c r="Q100" i="29" s="1"/>
  <c r="Q171" i="29" s="1"/>
  <c r="R100" i="29" a="1"/>
  <c r="R100" i="29" s="1"/>
  <c r="R171" i="29" s="1"/>
  <c r="S100" i="29" a="1"/>
  <c r="S100" i="29" s="1"/>
  <c r="S171" i="29" s="1"/>
  <c r="T100" i="29" a="1"/>
  <c r="T100" i="29" s="1"/>
  <c r="T171" i="29" s="1"/>
  <c r="U100" i="29" a="1"/>
  <c r="U100" i="29" s="1"/>
  <c r="U171" i="29" s="1"/>
  <c r="V100" i="29" a="1"/>
  <c r="V100" i="29" s="1"/>
  <c r="V171" i="29" s="1"/>
  <c r="W100" i="29" a="1"/>
  <c r="W100" i="29" s="1"/>
  <c r="W171" i="29" s="1"/>
  <c r="X100" i="29" a="1"/>
  <c r="X100" i="29" s="1"/>
  <c r="X171" i="29" s="1"/>
  <c r="Y100" i="29" a="1"/>
  <c r="Y100" i="29" s="1"/>
  <c r="Y171" i="29" s="1"/>
  <c r="Z100" i="29" a="1"/>
  <c r="Z100" i="29" s="1"/>
  <c r="Z171" i="29" s="1"/>
  <c r="AA100" i="29" a="1"/>
  <c r="AA100" i="29" s="1"/>
  <c r="AA171" i="29" s="1"/>
  <c r="AB100" i="29" a="1"/>
  <c r="AB100" i="29" s="1"/>
  <c r="AB171" i="29" s="1"/>
  <c r="AC100" i="29" a="1"/>
  <c r="AC100" i="29" s="1"/>
  <c r="AC171" i="29" s="1"/>
  <c r="AD100" i="29" a="1"/>
  <c r="AD100" i="29" s="1"/>
  <c r="AD171" i="29" s="1"/>
  <c r="AE100" i="29" a="1"/>
  <c r="AE100" i="29" s="1"/>
  <c r="AE171" i="29" s="1"/>
  <c r="AF100" i="29" a="1"/>
  <c r="AF100" i="29" s="1"/>
  <c r="AF171" i="29" s="1"/>
  <c r="AG100" i="29" a="1"/>
  <c r="AG100" i="29" s="1"/>
  <c r="AG171" i="29" s="1"/>
  <c r="AH100" i="29" a="1"/>
  <c r="AH100" i="29" s="1"/>
  <c r="AH171" i="29" s="1"/>
  <c r="AI100" i="29" a="1"/>
  <c r="AI100" i="29" s="1"/>
  <c r="AI171" i="29" s="1"/>
  <c r="G100" i="29" a="1"/>
  <c r="G100" i="29" s="1"/>
  <c r="D101" i="29" s="1"/>
  <c r="F109" i="34"/>
  <c r="D109" i="34"/>
  <c r="E102" i="34"/>
  <c r="C102" i="34"/>
  <c r="F71" i="34"/>
  <c r="D71" i="34"/>
  <c r="D72" i="34"/>
  <c r="H93" i="29" a="1"/>
  <c r="H93" i="29" s="1"/>
  <c r="I93" i="29" a="1"/>
  <c r="I93" i="29" s="1"/>
  <c r="J93" i="29" a="1"/>
  <c r="J93" i="29" s="1"/>
  <c r="K93" i="29" a="1"/>
  <c r="K93" i="29" s="1"/>
  <c r="L93" i="29" a="1"/>
  <c r="L93" i="29" s="1"/>
  <c r="M93" i="29" a="1"/>
  <c r="M93" i="29" s="1"/>
  <c r="N93" i="29" a="1"/>
  <c r="N93" i="29" s="1"/>
  <c r="O93" i="29" a="1"/>
  <c r="O93" i="29" s="1"/>
  <c r="P93" i="29" a="1"/>
  <c r="P93" i="29" s="1"/>
  <c r="Q93" i="29" a="1"/>
  <c r="Q93" i="29" s="1"/>
  <c r="R93" i="29" a="1"/>
  <c r="R93" i="29" s="1"/>
  <c r="S93" i="29" a="1"/>
  <c r="S93" i="29" s="1"/>
  <c r="T93" i="29" a="1"/>
  <c r="T93" i="29" s="1"/>
  <c r="U93" i="29" a="1"/>
  <c r="U93" i="29" s="1"/>
  <c r="V93" i="29" a="1"/>
  <c r="V93" i="29" s="1"/>
  <c r="W93" i="29" a="1"/>
  <c r="W93" i="29" s="1"/>
  <c r="X93" i="29" a="1"/>
  <c r="X93" i="29" s="1"/>
  <c r="Y93" i="29" a="1"/>
  <c r="Y93" i="29" s="1"/>
  <c r="Z93" i="29" a="1"/>
  <c r="Z93" i="29" s="1"/>
  <c r="AA93" i="29" a="1"/>
  <c r="AA93" i="29" s="1"/>
  <c r="AB93" i="29" a="1"/>
  <c r="AB93" i="29" s="1"/>
  <c r="AC93" i="29" a="1"/>
  <c r="AC93" i="29" s="1"/>
  <c r="AD93" i="29" a="1"/>
  <c r="AD93" i="29" s="1"/>
  <c r="AE93" i="29" a="1"/>
  <c r="AE93" i="29" s="1"/>
  <c r="AF93" i="29" a="1"/>
  <c r="AF93" i="29" s="1"/>
  <c r="AG93" i="29" a="1"/>
  <c r="AG93" i="29" s="1"/>
  <c r="AH93" i="29" a="1"/>
  <c r="AH93" i="29" s="1"/>
  <c r="AI93" i="29" a="1"/>
  <c r="AI93" i="29" s="1"/>
  <c r="G93" i="29" a="1"/>
  <c r="G93" i="29" s="1"/>
  <c r="D94" i="29" s="1"/>
  <c r="B161" i="29"/>
  <c r="B151" i="29"/>
  <c r="E64" i="34"/>
  <c r="C64" i="34"/>
  <c r="F33" i="34"/>
  <c r="D33" i="34"/>
  <c r="AL62" i="25"/>
  <c r="AU72" i="25"/>
  <c r="AW52" i="36"/>
  <c r="AV73" i="25" s="1"/>
  <c r="AV52" i="36"/>
  <c r="AU73" i="25" s="1"/>
  <c r="AU52" i="36"/>
  <c r="AT73" i="25" s="1"/>
  <c r="AT52" i="36"/>
  <c r="AS73" i="25" s="1"/>
  <c r="AS52" i="36"/>
  <c r="AR73" i="25" s="1"/>
  <c r="AR52" i="36"/>
  <c r="AQ73" i="25" s="1"/>
  <c r="AQ52" i="36"/>
  <c r="AP73" i="25" s="1"/>
  <c r="AP52" i="36"/>
  <c r="AO73" i="25" s="1"/>
  <c r="AO52" i="36"/>
  <c r="AN73" i="25" s="1"/>
  <c r="AN52" i="36"/>
  <c r="AM73" i="25" s="1"/>
  <c r="AM52" i="36"/>
  <c r="AL73" i="25" s="1"/>
  <c r="AL52" i="36"/>
  <c r="AK73" i="25" s="1"/>
  <c r="AK52" i="36"/>
  <c r="AJ73" i="25" s="1"/>
  <c r="AJ52" i="36"/>
  <c r="AI73" i="25" s="1"/>
  <c r="AI52" i="36"/>
  <c r="AH73" i="25" s="1"/>
  <c r="AH52" i="36"/>
  <c r="AG73" i="25" s="1"/>
  <c r="AG52" i="36"/>
  <c r="AF73" i="25" s="1"/>
  <c r="AF52" i="36"/>
  <c r="AE73" i="25" s="1"/>
  <c r="AE52" i="36"/>
  <c r="AD73" i="25" s="1"/>
  <c r="AD52" i="36"/>
  <c r="AC73" i="25" s="1"/>
  <c r="AC52" i="36"/>
  <c r="AB73" i="25" s="1"/>
  <c r="AB52" i="36"/>
  <c r="AA73" i="25" s="1"/>
  <c r="AA52" i="36"/>
  <c r="Z73" i="25" s="1"/>
  <c r="Z52" i="36"/>
  <c r="Y73" i="25" s="1"/>
  <c r="Y52" i="36"/>
  <c r="X52" i="36" s="1"/>
  <c r="W52" i="36" s="1"/>
  <c r="V52" i="36" s="1"/>
  <c r="U52" i="36" s="1"/>
  <c r="T73" i="25" s="1"/>
  <c r="AW51" i="36"/>
  <c r="AV72" i="25" s="1"/>
  <c r="AV51" i="36"/>
  <c r="AU51" i="36"/>
  <c r="AT72" i="25" s="1"/>
  <c r="AT51" i="36"/>
  <c r="AS72" i="25" s="1"/>
  <c r="AS51" i="36"/>
  <c r="AR72" i="25" s="1"/>
  <c r="AR51" i="36"/>
  <c r="AQ72" i="25" s="1"/>
  <c r="AQ51" i="36"/>
  <c r="AP72" i="25" s="1"/>
  <c r="AP51" i="36"/>
  <c r="AO72" i="25" s="1"/>
  <c r="AO51" i="36"/>
  <c r="AN72" i="25" s="1"/>
  <c r="AN51" i="36"/>
  <c r="AM72" i="25" s="1"/>
  <c r="AM51" i="36"/>
  <c r="AL72" i="25" s="1"/>
  <c r="AL51" i="36"/>
  <c r="AK72" i="25" s="1"/>
  <c r="AK51" i="36"/>
  <c r="AJ72" i="25" s="1"/>
  <c r="AJ51" i="36"/>
  <c r="AI72" i="25" s="1"/>
  <c r="AI51" i="36"/>
  <c r="AH72" i="25" s="1"/>
  <c r="AH51" i="36"/>
  <c r="AG72" i="25" s="1"/>
  <c r="AG51" i="36"/>
  <c r="AF72" i="25" s="1"/>
  <c r="AF51" i="36"/>
  <c r="AE72" i="25" s="1"/>
  <c r="AE51" i="36"/>
  <c r="AD72" i="25" s="1"/>
  <c r="AD51" i="36"/>
  <c r="AC72" i="25" s="1"/>
  <c r="AC51" i="36"/>
  <c r="AB72" i="25" s="1"/>
  <c r="AB51" i="36"/>
  <c r="AA72" i="25" s="1"/>
  <c r="AA51" i="36"/>
  <c r="Z72" i="25" s="1"/>
  <c r="Z51" i="36"/>
  <c r="Y72" i="25" s="1"/>
  <c r="Y51" i="36"/>
  <c r="X72" i="25" s="1"/>
  <c r="AW50" i="36"/>
  <c r="AV71" i="25" s="1"/>
  <c r="AV50" i="36"/>
  <c r="AU71" i="25" s="1"/>
  <c r="AU50" i="36"/>
  <c r="AT71" i="25" s="1"/>
  <c r="AT50" i="36"/>
  <c r="AS71" i="25" s="1"/>
  <c r="AS50" i="36"/>
  <c r="AR71" i="25" s="1"/>
  <c r="AR50" i="36"/>
  <c r="AQ71" i="25" s="1"/>
  <c r="AQ50" i="36"/>
  <c r="AP71" i="25" s="1"/>
  <c r="AP50" i="36"/>
  <c r="AO71" i="25" s="1"/>
  <c r="AO50" i="36"/>
  <c r="AN71" i="25" s="1"/>
  <c r="AN50" i="36"/>
  <c r="AM71" i="25" s="1"/>
  <c r="AM50" i="36"/>
  <c r="AL71" i="25" s="1"/>
  <c r="AL50" i="36"/>
  <c r="AK71" i="25" s="1"/>
  <c r="AK50" i="36"/>
  <c r="AJ71" i="25" s="1"/>
  <c r="AJ50" i="36"/>
  <c r="AI71" i="25" s="1"/>
  <c r="AI50" i="36"/>
  <c r="AH71" i="25" s="1"/>
  <c r="AH50" i="36"/>
  <c r="AG71" i="25" s="1"/>
  <c r="AG50" i="36"/>
  <c r="AF71" i="25" s="1"/>
  <c r="AF50" i="36"/>
  <c r="AE71" i="25" s="1"/>
  <c r="AE50" i="36"/>
  <c r="AD71" i="25" s="1"/>
  <c r="AD50" i="36"/>
  <c r="AC71" i="25" s="1"/>
  <c r="AC50" i="36"/>
  <c r="AB71" i="25" s="1"/>
  <c r="AB50" i="36"/>
  <c r="AA71" i="25" s="1"/>
  <c r="AA50" i="36"/>
  <c r="Z71" i="25" s="1"/>
  <c r="Z50" i="36"/>
  <c r="Y71" i="25" s="1"/>
  <c r="Y50" i="36"/>
  <c r="X71" i="25" s="1"/>
  <c r="AW49" i="36"/>
  <c r="AV70" i="25" s="1"/>
  <c r="AV49" i="36"/>
  <c r="AU70" i="25" s="1"/>
  <c r="AU49" i="36"/>
  <c r="AT70" i="25" s="1"/>
  <c r="AT49" i="36"/>
  <c r="AS70" i="25" s="1"/>
  <c r="AS49" i="36"/>
  <c r="AR70" i="25" s="1"/>
  <c r="AR49" i="36"/>
  <c r="AQ70" i="25" s="1"/>
  <c r="AQ49" i="36"/>
  <c r="AP70" i="25" s="1"/>
  <c r="AP49" i="36"/>
  <c r="AO70" i="25" s="1"/>
  <c r="AO49" i="36"/>
  <c r="AN70" i="25" s="1"/>
  <c r="AN49" i="36"/>
  <c r="AM70" i="25" s="1"/>
  <c r="AM49" i="36"/>
  <c r="AL70" i="25" s="1"/>
  <c r="AL49" i="36"/>
  <c r="AK70" i="25" s="1"/>
  <c r="AK49" i="36"/>
  <c r="AJ70" i="25" s="1"/>
  <c r="AJ49" i="36"/>
  <c r="AI70" i="25" s="1"/>
  <c r="AI49" i="36"/>
  <c r="AH70" i="25" s="1"/>
  <c r="AH49" i="36"/>
  <c r="AG70" i="25" s="1"/>
  <c r="AG49" i="36"/>
  <c r="AF70" i="25" s="1"/>
  <c r="AF49" i="36"/>
  <c r="AE70" i="25" s="1"/>
  <c r="AE49" i="36"/>
  <c r="AD70" i="25" s="1"/>
  <c r="AD49" i="36"/>
  <c r="AC70" i="25" s="1"/>
  <c r="AC49" i="36"/>
  <c r="AB70" i="25" s="1"/>
  <c r="AB49" i="36"/>
  <c r="AA70" i="25" s="1"/>
  <c r="AA49" i="36"/>
  <c r="Z70" i="25" s="1"/>
  <c r="Z49" i="36"/>
  <c r="Y70" i="25" s="1"/>
  <c r="Y49" i="36"/>
  <c r="X49" i="36" s="1"/>
  <c r="W49" i="36" s="1"/>
  <c r="V49" i="36" s="1"/>
  <c r="U49" i="36" s="1"/>
  <c r="T70" i="25" s="1"/>
  <c r="AW48" i="36"/>
  <c r="AV69" i="25" s="1"/>
  <c r="AV48" i="36"/>
  <c r="AU69" i="25" s="1"/>
  <c r="AU48" i="36"/>
  <c r="AT69" i="25" s="1"/>
  <c r="AT48" i="36"/>
  <c r="AS69" i="25" s="1"/>
  <c r="AS48" i="36"/>
  <c r="AR69" i="25" s="1"/>
  <c r="AR48" i="36"/>
  <c r="AQ69" i="25" s="1"/>
  <c r="AQ48" i="36"/>
  <c r="AP69" i="25" s="1"/>
  <c r="AP48" i="36"/>
  <c r="AO69" i="25" s="1"/>
  <c r="AO48" i="36"/>
  <c r="AN69" i="25" s="1"/>
  <c r="AN48" i="36"/>
  <c r="AM69" i="25" s="1"/>
  <c r="AM48" i="36"/>
  <c r="AL69" i="25" s="1"/>
  <c r="AL48" i="36"/>
  <c r="AK69" i="25" s="1"/>
  <c r="AK48" i="36"/>
  <c r="AJ69" i="25" s="1"/>
  <c r="AJ48" i="36"/>
  <c r="AI69" i="25" s="1"/>
  <c r="AI48" i="36"/>
  <c r="AH69" i="25" s="1"/>
  <c r="AH48" i="36"/>
  <c r="AG69" i="25" s="1"/>
  <c r="AG48" i="36"/>
  <c r="AF69" i="25" s="1"/>
  <c r="AF48" i="36"/>
  <c r="AE69" i="25" s="1"/>
  <c r="AE48" i="36"/>
  <c r="AD69" i="25" s="1"/>
  <c r="AD48" i="36"/>
  <c r="AC69" i="25" s="1"/>
  <c r="AC48" i="36"/>
  <c r="AB69" i="25" s="1"/>
  <c r="AB48" i="36"/>
  <c r="AA69" i="25" s="1"/>
  <c r="AA48" i="36"/>
  <c r="Z69" i="25" s="1"/>
  <c r="Z48" i="36"/>
  <c r="Y69" i="25" s="1"/>
  <c r="Y48" i="36"/>
  <c r="X69" i="25" s="1"/>
  <c r="AW47" i="36"/>
  <c r="AV68" i="25" s="1"/>
  <c r="AV47" i="36"/>
  <c r="AU68" i="25" s="1"/>
  <c r="AU47" i="36"/>
  <c r="AT68" i="25" s="1"/>
  <c r="AT47" i="36"/>
  <c r="AS68" i="25" s="1"/>
  <c r="AS47" i="36"/>
  <c r="AR68" i="25" s="1"/>
  <c r="AR47" i="36"/>
  <c r="AQ68" i="25" s="1"/>
  <c r="AQ47" i="36"/>
  <c r="AP68" i="25" s="1"/>
  <c r="AP47" i="36"/>
  <c r="AO68" i="25" s="1"/>
  <c r="AO47" i="36"/>
  <c r="AN68" i="25" s="1"/>
  <c r="AN47" i="36"/>
  <c r="AM68" i="25" s="1"/>
  <c r="AM47" i="36"/>
  <c r="AL68" i="25" s="1"/>
  <c r="AL47" i="36"/>
  <c r="AK68" i="25" s="1"/>
  <c r="AK47" i="36"/>
  <c r="AJ68" i="25" s="1"/>
  <c r="AJ47" i="36"/>
  <c r="AI68" i="25" s="1"/>
  <c r="AI47" i="36"/>
  <c r="AH68" i="25" s="1"/>
  <c r="AH47" i="36"/>
  <c r="AG68" i="25" s="1"/>
  <c r="AG47" i="36"/>
  <c r="AF68" i="25" s="1"/>
  <c r="AF47" i="36"/>
  <c r="AE68" i="25" s="1"/>
  <c r="AE47" i="36"/>
  <c r="AD68" i="25" s="1"/>
  <c r="AD47" i="36"/>
  <c r="AC68" i="25" s="1"/>
  <c r="AC47" i="36"/>
  <c r="AB68" i="25" s="1"/>
  <c r="AB47" i="36"/>
  <c r="AA68" i="25" s="1"/>
  <c r="AA47" i="36"/>
  <c r="Z68" i="25" s="1"/>
  <c r="Z47" i="36"/>
  <c r="Y68" i="25" s="1"/>
  <c r="Y47" i="36"/>
  <c r="X47" i="36" s="1"/>
  <c r="W47" i="36" s="1"/>
  <c r="V47" i="36" s="1"/>
  <c r="U47" i="36" s="1"/>
  <c r="T68" i="25" s="1"/>
  <c r="AW46" i="36"/>
  <c r="AV67" i="25" s="1"/>
  <c r="AV46" i="36"/>
  <c r="AU67" i="25" s="1"/>
  <c r="AU46" i="36"/>
  <c r="AT67" i="25" s="1"/>
  <c r="AT46" i="36"/>
  <c r="AS67" i="25" s="1"/>
  <c r="AS46" i="36"/>
  <c r="AR67" i="25" s="1"/>
  <c r="AR46" i="36"/>
  <c r="AQ67" i="25" s="1"/>
  <c r="AQ46" i="36"/>
  <c r="AP67" i="25" s="1"/>
  <c r="AP46" i="36"/>
  <c r="AO67" i="25" s="1"/>
  <c r="AO46" i="36"/>
  <c r="AN67" i="25" s="1"/>
  <c r="AN46" i="36"/>
  <c r="AM67" i="25" s="1"/>
  <c r="AM46" i="36"/>
  <c r="AL67" i="25" s="1"/>
  <c r="AL46" i="36"/>
  <c r="AK67" i="25" s="1"/>
  <c r="AK46" i="36"/>
  <c r="AJ67" i="25" s="1"/>
  <c r="AJ46" i="36"/>
  <c r="AI67" i="25" s="1"/>
  <c r="AI46" i="36"/>
  <c r="AH67" i="25" s="1"/>
  <c r="AH46" i="36"/>
  <c r="AG67" i="25" s="1"/>
  <c r="AG46" i="36"/>
  <c r="AF67" i="25" s="1"/>
  <c r="AF46" i="36"/>
  <c r="AE67" i="25" s="1"/>
  <c r="AE46" i="36"/>
  <c r="AD67" i="25" s="1"/>
  <c r="AD46" i="36"/>
  <c r="AC67" i="25" s="1"/>
  <c r="AC46" i="36"/>
  <c r="AB67" i="25" s="1"/>
  <c r="AB46" i="36"/>
  <c r="AA67" i="25" s="1"/>
  <c r="AA46" i="36"/>
  <c r="Z67" i="25" s="1"/>
  <c r="Z46" i="36"/>
  <c r="Y67" i="25" s="1"/>
  <c r="Y46" i="36"/>
  <c r="X46" i="36" s="1"/>
  <c r="W46" i="36" s="1"/>
  <c r="V46" i="36" s="1"/>
  <c r="U46" i="36" s="1"/>
  <c r="T67" i="25" s="1"/>
  <c r="AW45" i="36"/>
  <c r="AV66" i="25" s="1"/>
  <c r="AV45" i="36"/>
  <c r="AU66" i="25" s="1"/>
  <c r="AU45" i="36"/>
  <c r="AT66" i="25" s="1"/>
  <c r="AT45" i="36"/>
  <c r="AS66" i="25" s="1"/>
  <c r="AS45" i="36"/>
  <c r="AR66" i="25" s="1"/>
  <c r="AR45" i="36"/>
  <c r="AQ66" i="25" s="1"/>
  <c r="AQ45" i="36"/>
  <c r="AP66" i="25" s="1"/>
  <c r="AP45" i="36"/>
  <c r="AO66" i="25" s="1"/>
  <c r="AO45" i="36"/>
  <c r="AN66" i="25" s="1"/>
  <c r="AN45" i="36"/>
  <c r="AM66" i="25" s="1"/>
  <c r="AM45" i="36"/>
  <c r="AL66" i="25" s="1"/>
  <c r="AL45" i="36"/>
  <c r="AK66" i="25" s="1"/>
  <c r="AK45" i="36"/>
  <c r="AJ66" i="25" s="1"/>
  <c r="AJ45" i="36"/>
  <c r="AI66" i="25" s="1"/>
  <c r="AI45" i="36"/>
  <c r="AH66" i="25" s="1"/>
  <c r="AH45" i="36"/>
  <c r="AG66" i="25" s="1"/>
  <c r="AG45" i="36"/>
  <c r="AF66" i="25" s="1"/>
  <c r="AF45" i="36"/>
  <c r="AE66" i="25" s="1"/>
  <c r="AE45" i="36"/>
  <c r="AD66" i="25" s="1"/>
  <c r="AD45" i="36"/>
  <c r="AC66" i="25" s="1"/>
  <c r="AC45" i="36"/>
  <c r="AB66" i="25" s="1"/>
  <c r="AB45" i="36"/>
  <c r="AA66" i="25" s="1"/>
  <c r="AA45" i="36"/>
  <c r="Z66" i="25" s="1"/>
  <c r="Z45" i="36"/>
  <c r="Y66" i="25" s="1"/>
  <c r="Y45" i="36"/>
  <c r="X45" i="36" s="1"/>
  <c r="W45" i="36" s="1"/>
  <c r="V45" i="36" s="1"/>
  <c r="U45" i="36" s="1"/>
  <c r="T66" i="25" s="1"/>
  <c r="AW44" i="36"/>
  <c r="AV65" i="25" s="1"/>
  <c r="AV44" i="36"/>
  <c r="AU65" i="25" s="1"/>
  <c r="AU44" i="36"/>
  <c r="AT65" i="25" s="1"/>
  <c r="AT44" i="36"/>
  <c r="AS65" i="25" s="1"/>
  <c r="AS44" i="36"/>
  <c r="AR65" i="25" s="1"/>
  <c r="AR44" i="36"/>
  <c r="AQ65" i="25" s="1"/>
  <c r="AQ44" i="36"/>
  <c r="AP65" i="25" s="1"/>
  <c r="AP44" i="36"/>
  <c r="AO65" i="25" s="1"/>
  <c r="AO44" i="36"/>
  <c r="AN65" i="25" s="1"/>
  <c r="AN44" i="36"/>
  <c r="AM65" i="25" s="1"/>
  <c r="AM44" i="36"/>
  <c r="AL65" i="25" s="1"/>
  <c r="AL44" i="36"/>
  <c r="AK65" i="25" s="1"/>
  <c r="AK44" i="36"/>
  <c r="AJ65" i="25" s="1"/>
  <c r="AJ44" i="36"/>
  <c r="AI65" i="25" s="1"/>
  <c r="AI44" i="36"/>
  <c r="AH65" i="25" s="1"/>
  <c r="AH44" i="36"/>
  <c r="AG65" i="25" s="1"/>
  <c r="AG44" i="36"/>
  <c r="AF65" i="25" s="1"/>
  <c r="AF44" i="36"/>
  <c r="AE65" i="25" s="1"/>
  <c r="AE44" i="36"/>
  <c r="AD65" i="25" s="1"/>
  <c r="AD44" i="36"/>
  <c r="AC65" i="25" s="1"/>
  <c r="AC44" i="36"/>
  <c r="AB65" i="25" s="1"/>
  <c r="AB44" i="36"/>
  <c r="AA65" i="25" s="1"/>
  <c r="AA44" i="36"/>
  <c r="Z65" i="25" s="1"/>
  <c r="Z44" i="36"/>
  <c r="Y65" i="25" s="1"/>
  <c r="Y44" i="36"/>
  <c r="X65" i="25" s="1"/>
  <c r="AW43" i="36"/>
  <c r="AV64" i="25" s="1"/>
  <c r="AV43" i="36"/>
  <c r="AU64" i="25" s="1"/>
  <c r="AU43" i="36"/>
  <c r="AT64" i="25" s="1"/>
  <c r="AT43" i="36"/>
  <c r="AS64" i="25" s="1"/>
  <c r="AS43" i="36"/>
  <c r="AR64" i="25" s="1"/>
  <c r="AR43" i="36"/>
  <c r="AQ64" i="25" s="1"/>
  <c r="AQ43" i="36"/>
  <c r="AP64" i="25" s="1"/>
  <c r="AP43" i="36"/>
  <c r="AO64" i="25" s="1"/>
  <c r="AO43" i="36"/>
  <c r="AN64" i="25" s="1"/>
  <c r="AN43" i="36"/>
  <c r="AM64" i="25" s="1"/>
  <c r="AM43" i="36"/>
  <c r="AL64" i="25" s="1"/>
  <c r="AL43" i="36"/>
  <c r="AK64" i="25" s="1"/>
  <c r="AK43" i="36"/>
  <c r="AJ64" i="25" s="1"/>
  <c r="AJ43" i="36"/>
  <c r="AI64" i="25" s="1"/>
  <c r="AI43" i="36"/>
  <c r="AH64" i="25" s="1"/>
  <c r="AH43" i="36"/>
  <c r="AG64" i="25" s="1"/>
  <c r="AG43" i="36"/>
  <c r="AF64" i="25" s="1"/>
  <c r="AF43" i="36"/>
  <c r="AE64" i="25" s="1"/>
  <c r="AE43" i="36"/>
  <c r="AD64" i="25" s="1"/>
  <c r="AD43" i="36"/>
  <c r="AC64" i="25" s="1"/>
  <c r="AC43" i="36"/>
  <c r="AB64" i="25" s="1"/>
  <c r="AB43" i="36"/>
  <c r="AA64" i="25" s="1"/>
  <c r="AA43" i="36"/>
  <c r="Z64" i="25" s="1"/>
  <c r="Z43" i="36"/>
  <c r="Y64" i="25" s="1"/>
  <c r="Y43" i="36"/>
  <c r="X64" i="25" s="1"/>
  <c r="AW42" i="36"/>
  <c r="AV63" i="25" s="1"/>
  <c r="AV42" i="36"/>
  <c r="AU63" i="25" s="1"/>
  <c r="AU42" i="36"/>
  <c r="AT63" i="25" s="1"/>
  <c r="AT42" i="36"/>
  <c r="AS63" i="25" s="1"/>
  <c r="AS42" i="36"/>
  <c r="AR63" i="25" s="1"/>
  <c r="AR42" i="36"/>
  <c r="AQ63" i="25" s="1"/>
  <c r="AQ42" i="36"/>
  <c r="AP63" i="25" s="1"/>
  <c r="AP42" i="36"/>
  <c r="AO63" i="25" s="1"/>
  <c r="AO42" i="36"/>
  <c r="AN63" i="25" s="1"/>
  <c r="AN42" i="36"/>
  <c r="AM63" i="25" s="1"/>
  <c r="AM42" i="36"/>
  <c r="AL63" i="25" s="1"/>
  <c r="AL42" i="36"/>
  <c r="AK63" i="25" s="1"/>
  <c r="AK42" i="36"/>
  <c r="AJ63" i="25" s="1"/>
  <c r="AJ42" i="36"/>
  <c r="AI63" i="25" s="1"/>
  <c r="AI42" i="36"/>
  <c r="AH63" i="25" s="1"/>
  <c r="AH42" i="36"/>
  <c r="AG63" i="25" s="1"/>
  <c r="AG42" i="36"/>
  <c r="AF63" i="25" s="1"/>
  <c r="AF42" i="36"/>
  <c r="AE63" i="25" s="1"/>
  <c r="AE42" i="36"/>
  <c r="AD63" i="25" s="1"/>
  <c r="AD42" i="36"/>
  <c r="AC63" i="25" s="1"/>
  <c r="AC42" i="36"/>
  <c r="AB63" i="25" s="1"/>
  <c r="AB42" i="36"/>
  <c r="AA63" i="25" s="1"/>
  <c r="AA42" i="36"/>
  <c r="Z63" i="25" s="1"/>
  <c r="Z42" i="36"/>
  <c r="Y63" i="25" s="1"/>
  <c r="Y42" i="36"/>
  <c r="X63" i="25" s="1"/>
  <c r="AW41" i="36"/>
  <c r="AV62" i="25" s="1"/>
  <c r="AV41" i="36"/>
  <c r="AU62" i="25" s="1"/>
  <c r="AU41" i="36"/>
  <c r="AT62" i="25" s="1"/>
  <c r="AT41" i="36"/>
  <c r="AS62" i="25" s="1"/>
  <c r="AS41" i="36"/>
  <c r="AR62" i="25" s="1"/>
  <c r="AR41" i="36"/>
  <c r="AQ62" i="25" s="1"/>
  <c r="AQ41" i="36"/>
  <c r="AP62" i="25" s="1"/>
  <c r="AP41" i="36"/>
  <c r="AO62" i="25" s="1"/>
  <c r="AO41" i="36"/>
  <c r="AN62" i="25" s="1"/>
  <c r="AN41" i="36"/>
  <c r="AM62" i="25" s="1"/>
  <c r="AM41" i="36"/>
  <c r="AL41" i="36"/>
  <c r="AK62" i="25" s="1"/>
  <c r="AK41" i="36"/>
  <c r="AJ62" i="25" s="1"/>
  <c r="AJ41" i="36"/>
  <c r="AI62" i="25" s="1"/>
  <c r="AI41" i="36"/>
  <c r="AH62" i="25" s="1"/>
  <c r="AH41" i="36"/>
  <c r="AG62" i="25" s="1"/>
  <c r="AG41" i="36"/>
  <c r="AF62" i="25" s="1"/>
  <c r="AF41" i="36"/>
  <c r="AE62" i="25" s="1"/>
  <c r="AE41" i="36"/>
  <c r="AD62" i="25" s="1"/>
  <c r="AD41" i="36"/>
  <c r="AC62" i="25" s="1"/>
  <c r="AC41" i="36"/>
  <c r="AB62" i="25" s="1"/>
  <c r="AB41" i="36"/>
  <c r="AA62" i="25" s="1"/>
  <c r="AA41" i="36"/>
  <c r="Z62" i="25" s="1"/>
  <c r="Z41" i="36"/>
  <c r="Y62" i="25" s="1"/>
  <c r="Y41" i="36"/>
  <c r="X62" i="25" s="1"/>
  <c r="AW40" i="36"/>
  <c r="AV61" i="25" s="1"/>
  <c r="AV40" i="36"/>
  <c r="AU61" i="25" s="1"/>
  <c r="AU40" i="36"/>
  <c r="AT61" i="25" s="1"/>
  <c r="AT40" i="36"/>
  <c r="AS61" i="25" s="1"/>
  <c r="AS40" i="36"/>
  <c r="AR61" i="25" s="1"/>
  <c r="AR40" i="36"/>
  <c r="AQ61" i="25" s="1"/>
  <c r="AQ40" i="36"/>
  <c r="AP61" i="25" s="1"/>
  <c r="AP40" i="36"/>
  <c r="AO61" i="25" s="1"/>
  <c r="AO40" i="36"/>
  <c r="AN61" i="25" s="1"/>
  <c r="AN40" i="36"/>
  <c r="AM61" i="25" s="1"/>
  <c r="AM40" i="36"/>
  <c r="AL61" i="25" s="1"/>
  <c r="AL40" i="36"/>
  <c r="AK61" i="25" s="1"/>
  <c r="AK40" i="36"/>
  <c r="AJ61" i="25" s="1"/>
  <c r="AJ40" i="36"/>
  <c r="AI61" i="25" s="1"/>
  <c r="AI40" i="36"/>
  <c r="AH61" i="25" s="1"/>
  <c r="AH40" i="36"/>
  <c r="AG61" i="25" s="1"/>
  <c r="AG40" i="36"/>
  <c r="AF61" i="25" s="1"/>
  <c r="AF40" i="36"/>
  <c r="AE61" i="25" s="1"/>
  <c r="AE40" i="36"/>
  <c r="AD61" i="25" s="1"/>
  <c r="AD40" i="36"/>
  <c r="AC61" i="25" s="1"/>
  <c r="AC40" i="36"/>
  <c r="AB61" i="25" s="1"/>
  <c r="AB40" i="36"/>
  <c r="AA61" i="25" s="1"/>
  <c r="AA40" i="36"/>
  <c r="Z61" i="25" s="1"/>
  <c r="Z40" i="36"/>
  <c r="Y61" i="25" s="1"/>
  <c r="Y40" i="36"/>
  <c r="X40" i="36" s="1"/>
  <c r="W40" i="36" s="1"/>
  <c r="V40" i="36" s="1"/>
  <c r="U40" i="36" s="1"/>
  <c r="T61" i="25" s="1"/>
  <c r="AW39" i="36"/>
  <c r="AV60" i="25" s="1"/>
  <c r="AV39" i="36"/>
  <c r="AU60" i="25" s="1"/>
  <c r="AU39" i="36"/>
  <c r="AT60" i="25" s="1"/>
  <c r="AT39" i="36"/>
  <c r="AS60" i="25" s="1"/>
  <c r="AS39" i="36"/>
  <c r="AR60" i="25" s="1"/>
  <c r="AR39" i="36"/>
  <c r="AQ60" i="25" s="1"/>
  <c r="AQ39" i="36"/>
  <c r="AP60" i="25" s="1"/>
  <c r="AP39" i="36"/>
  <c r="AO60" i="25" s="1"/>
  <c r="AO39" i="36"/>
  <c r="AN60" i="25" s="1"/>
  <c r="AN39" i="36"/>
  <c r="AM60" i="25" s="1"/>
  <c r="AM39" i="36"/>
  <c r="AL60" i="25" s="1"/>
  <c r="AL39" i="36"/>
  <c r="AK60" i="25" s="1"/>
  <c r="AK39" i="36"/>
  <c r="AJ60" i="25" s="1"/>
  <c r="AJ39" i="36"/>
  <c r="AI60" i="25" s="1"/>
  <c r="AI39" i="36"/>
  <c r="AH60" i="25" s="1"/>
  <c r="AH39" i="36"/>
  <c r="AG60" i="25" s="1"/>
  <c r="AG39" i="36"/>
  <c r="AF60" i="25" s="1"/>
  <c r="AF39" i="36"/>
  <c r="AE60" i="25" s="1"/>
  <c r="AE39" i="36"/>
  <c r="AD60" i="25" s="1"/>
  <c r="AD39" i="36"/>
  <c r="AC60" i="25" s="1"/>
  <c r="AC39" i="36"/>
  <c r="AB60" i="25" s="1"/>
  <c r="AB39" i="36"/>
  <c r="AA60" i="25" s="1"/>
  <c r="AA39" i="36"/>
  <c r="Z60" i="25" s="1"/>
  <c r="Z39" i="36"/>
  <c r="Y60" i="25" s="1"/>
  <c r="Y39" i="36"/>
  <c r="X60" i="25" s="1"/>
  <c r="AW38" i="36"/>
  <c r="AV59" i="25" s="1"/>
  <c r="AV38" i="36"/>
  <c r="AU59" i="25" s="1"/>
  <c r="AU38" i="36"/>
  <c r="AT59" i="25" s="1"/>
  <c r="AT38" i="36"/>
  <c r="AS59" i="25" s="1"/>
  <c r="AS38" i="36"/>
  <c r="AR59" i="25" s="1"/>
  <c r="AR38" i="36"/>
  <c r="AQ59" i="25" s="1"/>
  <c r="AQ38" i="36"/>
  <c r="AP59" i="25" s="1"/>
  <c r="AP38" i="36"/>
  <c r="AO59" i="25" s="1"/>
  <c r="AO38" i="36"/>
  <c r="AN59" i="25" s="1"/>
  <c r="AN38" i="36"/>
  <c r="AM59" i="25" s="1"/>
  <c r="AM38" i="36"/>
  <c r="AL59" i="25" s="1"/>
  <c r="AL38" i="36"/>
  <c r="AK59" i="25" s="1"/>
  <c r="AK38" i="36"/>
  <c r="AJ59" i="25" s="1"/>
  <c r="AJ38" i="36"/>
  <c r="AI59" i="25" s="1"/>
  <c r="AI38" i="36"/>
  <c r="AH59" i="25" s="1"/>
  <c r="AH38" i="36"/>
  <c r="AG59" i="25" s="1"/>
  <c r="AG38" i="36"/>
  <c r="AF59" i="25" s="1"/>
  <c r="AF38" i="36"/>
  <c r="AE59" i="25" s="1"/>
  <c r="AE38" i="36"/>
  <c r="AD59" i="25" s="1"/>
  <c r="AD38" i="36"/>
  <c r="AC59" i="25" s="1"/>
  <c r="AC38" i="36"/>
  <c r="AB59" i="25" s="1"/>
  <c r="AB38" i="36"/>
  <c r="AA59" i="25" s="1"/>
  <c r="AA38" i="36"/>
  <c r="Z59" i="25" s="1"/>
  <c r="Z38" i="36"/>
  <c r="Y59" i="25" s="1"/>
  <c r="Y38" i="36"/>
  <c r="X38" i="36" s="1"/>
  <c r="AW37" i="36"/>
  <c r="AV58" i="25" s="1"/>
  <c r="AV37" i="36"/>
  <c r="AU58" i="25" s="1"/>
  <c r="AU37" i="36"/>
  <c r="AT58" i="25" s="1"/>
  <c r="AT37" i="36"/>
  <c r="AS58" i="25" s="1"/>
  <c r="AS37" i="36"/>
  <c r="AR58" i="25" s="1"/>
  <c r="AR37" i="36"/>
  <c r="AQ58" i="25" s="1"/>
  <c r="AQ37" i="36"/>
  <c r="AP58" i="25" s="1"/>
  <c r="AP37" i="36"/>
  <c r="AO58" i="25" s="1"/>
  <c r="AO37" i="36"/>
  <c r="AN58" i="25" s="1"/>
  <c r="AN37" i="36"/>
  <c r="AM58" i="25" s="1"/>
  <c r="AM37" i="36"/>
  <c r="AL58" i="25" s="1"/>
  <c r="AL37" i="36"/>
  <c r="AK58" i="25" s="1"/>
  <c r="AK37" i="36"/>
  <c r="AJ58" i="25" s="1"/>
  <c r="AJ37" i="36"/>
  <c r="AI58" i="25" s="1"/>
  <c r="AI37" i="36"/>
  <c r="AH58" i="25" s="1"/>
  <c r="AH37" i="36"/>
  <c r="AG58" i="25" s="1"/>
  <c r="AG37" i="36"/>
  <c r="AF58" i="25" s="1"/>
  <c r="AF37" i="36"/>
  <c r="AE58" i="25" s="1"/>
  <c r="AE37" i="36"/>
  <c r="AD58" i="25" s="1"/>
  <c r="AD37" i="36"/>
  <c r="AC58" i="25" s="1"/>
  <c r="AC37" i="36"/>
  <c r="AB58" i="25" s="1"/>
  <c r="AB37" i="36"/>
  <c r="AA58" i="25" s="1"/>
  <c r="AA37" i="36"/>
  <c r="Z58" i="25" s="1"/>
  <c r="Z37" i="36"/>
  <c r="Y58" i="25" s="1"/>
  <c r="Y37" i="36"/>
  <c r="X37" i="36" s="1"/>
  <c r="W37" i="36" s="1"/>
  <c r="V37" i="36" s="1"/>
  <c r="U37" i="36" s="1"/>
  <c r="T58" i="25" s="1"/>
  <c r="AW36" i="36"/>
  <c r="AV57" i="25" s="1"/>
  <c r="AV36" i="36"/>
  <c r="AU57" i="25" s="1"/>
  <c r="AU36" i="36"/>
  <c r="AT57" i="25" s="1"/>
  <c r="AT36" i="36"/>
  <c r="AS57" i="25" s="1"/>
  <c r="AS36" i="36"/>
  <c r="AR57" i="25" s="1"/>
  <c r="AR36" i="36"/>
  <c r="AQ57" i="25" s="1"/>
  <c r="AQ36" i="36"/>
  <c r="AP57" i="25" s="1"/>
  <c r="AP36" i="36"/>
  <c r="AO57" i="25" s="1"/>
  <c r="AO36" i="36"/>
  <c r="AN57" i="25" s="1"/>
  <c r="AN36" i="36"/>
  <c r="AM57" i="25" s="1"/>
  <c r="AM36" i="36"/>
  <c r="AL57" i="25" s="1"/>
  <c r="AL36" i="36"/>
  <c r="AK57" i="25" s="1"/>
  <c r="AK36" i="36"/>
  <c r="AJ57" i="25" s="1"/>
  <c r="AJ36" i="36"/>
  <c r="AI57" i="25" s="1"/>
  <c r="AI36" i="36"/>
  <c r="AH57" i="25" s="1"/>
  <c r="AH36" i="36"/>
  <c r="AG57" i="25" s="1"/>
  <c r="AG36" i="36"/>
  <c r="AF57" i="25" s="1"/>
  <c r="AF36" i="36"/>
  <c r="AE57" i="25" s="1"/>
  <c r="AE36" i="36"/>
  <c r="AD57" i="25" s="1"/>
  <c r="AD36" i="36"/>
  <c r="AC57" i="25" s="1"/>
  <c r="AC36" i="36"/>
  <c r="AB57" i="25" s="1"/>
  <c r="AB36" i="36"/>
  <c r="AA57" i="25" s="1"/>
  <c r="AA36" i="36"/>
  <c r="Z57" i="25" s="1"/>
  <c r="Z36" i="36"/>
  <c r="Y57" i="25" s="1"/>
  <c r="Y36" i="36"/>
  <c r="X57" i="25" s="1"/>
  <c r="AW35" i="36"/>
  <c r="AV56" i="25" s="1"/>
  <c r="AV35" i="36"/>
  <c r="AU56" i="25" s="1"/>
  <c r="AU35" i="36"/>
  <c r="AT56" i="25" s="1"/>
  <c r="AT35" i="36"/>
  <c r="AS56" i="25" s="1"/>
  <c r="AS35" i="36"/>
  <c r="AR56" i="25" s="1"/>
  <c r="AR35" i="36"/>
  <c r="AQ56" i="25" s="1"/>
  <c r="AQ35" i="36"/>
  <c r="AP56" i="25" s="1"/>
  <c r="AP35" i="36"/>
  <c r="AO56" i="25" s="1"/>
  <c r="AO35" i="36"/>
  <c r="AN56" i="25" s="1"/>
  <c r="AN35" i="36"/>
  <c r="AM56" i="25" s="1"/>
  <c r="AM35" i="36"/>
  <c r="AL56" i="25" s="1"/>
  <c r="AL35" i="36"/>
  <c r="AK56" i="25" s="1"/>
  <c r="AK35" i="36"/>
  <c r="AJ56" i="25" s="1"/>
  <c r="AJ35" i="36"/>
  <c r="AI56" i="25" s="1"/>
  <c r="AI35" i="36"/>
  <c r="AH56" i="25" s="1"/>
  <c r="AH35" i="36"/>
  <c r="AG56" i="25" s="1"/>
  <c r="AG35" i="36"/>
  <c r="AF56" i="25" s="1"/>
  <c r="AF35" i="36"/>
  <c r="AE56" i="25" s="1"/>
  <c r="AE35" i="36"/>
  <c r="AD56" i="25" s="1"/>
  <c r="AD35" i="36"/>
  <c r="AC56" i="25" s="1"/>
  <c r="AC35" i="36"/>
  <c r="AB56" i="25" s="1"/>
  <c r="AB35" i="36"/>
  <c r="AA56" i="25" s="1"/>
  <c r="AA35" i="36"/>
  <c r="Z56" i="25" s="1"/>
  <c r="Z35" i="36"/>
  <c r="Y56" i="25" s="1"/>
  <c r="Y35" i="36"/>
  <c r="X35" i="36" s="1"/>
  <c r="W35" i="36" s="1"/>
  <c r="V35" i="36" s="1"/>
  <c r="U35" i="36" s="1"/>
  <c r="T56" i="25" s="1"/>
  <c r="AW34" i="36"/>
  <c r="AV55" i="25" s="1"/>
  <c r="AV34" i="36"/>
  <c r="AU55" i="25" s="1"/>
  <c r="AU34" i="36"/>
  <c r="AT55" i="25" s="1"/>
  <c r="AT34" i="36"/>
  <c r="AS55" i="25" s="1"/>
  <c r="AS34" i="36"/>
  <c r="AR55" i="25" s="1"/>
  <c r="AR34" i="36"/>
  <c r="AQ55" i="25" s="1"/>
  <c r="AQ34" i="36"/>
  <c r="AP55" i="25" s="1"/>
  <c r="AP34" i="36"/>
  <c r="AO55" i="25" s="1"/>
  <c r="AO34" i="36"/>
  <c r="AN55" i="25" s="1"/>
  <c r="AN34" i="36"/>
  <c r="AM55" i="25" s="1"/>
  <c r="AM34" i="36"/>
  <c r="AL55" i="25" s="1"/>
  <c r="AL34" i="36"/>
  <c r="AK55" i="25" s="1"/>
  <c r="AK34" i="36"/>
  <c r="AJ55" i="25" s="1"/>
  <c r="AJ34" i="36"/>
  <c r="AI55" i="25" s="1"/>
  <c r="AI34" i="36"/>
  <c r="AH55" i="25" s="1"/>
  <c r="AH34" i="36"/>
  <c r="AG55" i="25" s="1"/>
  <c r="AG34" i="36"/>
  <c r="AF55" i="25" s="1"/>
  <c r="AF34" i="36"/>
  <c r="AE55" i="25" s="1"/>
  <c r="AE34" i="36"/>
  <c r="AD55" i="25" s="1"/>
  <c r="AD34" i="36"/>
  <c r="AC55" i="25" s="1"/>
  <c r="AC34" i="36"/>
  <c r="AB55" i="25" s="1"/>
  <c r="AB34" i="36"/>
  <c r="AA55" i="25" s="1"/>
  <c r="AA34" i="36"/>
  <c r="Z55" i="25" s="1"/>
  <c r="Z34" i="36"/>
  <c r="Y55" i="25" s="1"/>
  <c r="Y34" i="36"/>
  <c r="X34" i="36" s="1"/>
  <c r="W34" i="36" s="1"/>
  <c r="V34" i="36" s="1"/>
  <c r="U34" i="36" s="1"/>
  <c r="T55" i="25" s="1"/>
  <c r="AW33" i="36"/>
  <c r="AV54" i="25" s="1"/>
  <c r="AV33" i="36"/>
  <c r="AU54" i="25" s="1"/>
  <c r="AU33" i="36"/>
  <c r="AT54" i="25" s="1"/>
  <c r="AT33" i="36"/>
  <c r="AS54" i="25" s="1"/>
  <c r="AS33" i="36"/>
  <c r="AR54" i="25" s="1"/>
  <c r="AR33" i="36"/>
  <c r="AQ54" i="25" s="1"/>
  <c r="AQ33" i="36"/>
  <c r="AP54" i="25" s="1"/>
  <c r="AP33" i="36"/>
  <c r="AO54" i="25" s="1"/>
  <c r="AO33" i="36"/>
  <c r="AN54" i="25" s="1"/>
  <c r="AN33" i="36"/>
  <c r="AM54" i="25" s="1"/>
  <c r="AM33" i="36"/>
  <c r="AL54" i="25" s="1"/>
  <c r="AL33" i="36"/>
  <c r="AK54" i="25" s="1"/>
  <c r="AK33" i="36"/>
  <c r="AJ54" i="25" s="1"/>
  <c r="AJ33" i="36"/>
  <c r="AI54" i="25" s="1"/>
  <c r="AI33" i="36"/>
  <c r="AH54" i="25" s="1"/>
  <c r="AH33" i="36"/>
  <c r="AG54" i="25" s="1"/>
  <c r="AG33" i="36"/>
  <c r="AF54" i="25" s="1"/>
  <c r="AF33" i="36"/>
  <c r="AE54" i="25" s="1"/>
  <c r="AE33" i="36"/>
  <c r="AD54" i="25" s="1"/>
  <c r="AD33" i="36"/>
  <c r="AC54" i="25" s="1"/>
  <c r="AC33" i="36"/>
  <c r="AB54" i="25" s="1"/>
  <c r="AB33" i="36"/>
  <c r="AA54" i="25" s="1"/>
  <c r="AA33" i="36"/>
  <c r="Z54" i="25" s="1"/>
  <c r="Z33" i="36"/>
  <c r="Y54" i="25" s="1"/>
  <c r="Y33" i="36"/>
  <c r="X33" i="36" s="1"/>
  <c r="W33" i="36" s="1"/>
  <c r="V33" i="36" s="1"/>
  <c r="U33" i="36" s="1"/>
  <c r="T54" i="25" s="1"/>
  <c r="AW32" i="36"/>
  <c r="AV53" i="25" s="1"/>
  <c r="AV32" i="36"/>
  <c r="AU53" i="25" s="1"/>
  <c r="AU32" i="36"/>
  <c r="AT53" i="25" s="1"/>
  <c r="AT32" i="36"/>
  <c r="AS53" i="25" s="1"/>
  <c r="AS32" i="36"/>
  <c r="AR53" i="25" s="1"/>
  <c r="AR32" i="36"/>
  <c r="AQ53" i="25" s="1"/>
  <c r="AQ32" i="36"/>
  <c r="AP53" i="25" s="1"/>
  <c r="AP32" i="36"/>
  <c r="AO53" i="25" s="1"/>
  <c r="AO32" i="36"/>
  <c r="AN53" i="25" s="1"/>
  <c r="AN32" i="36"/>
  <c r="AM53" i="25" s="1"/>
  <c r="AM32" i="36"/>
  <c r="AL53" i="25" s="1"/>
  <c r="AL32" i="36"/>
  <c r="AK53" i="25" s="1"/>
  <c r="AK32" i="36"/>
  <c r="AJ53" i="25" s="1"/>
  <c r="AJ32" i="36"/>
  <c r="AI53" i="25" s="1"/>
  <c r="AI32" i="36"/>
  <c r="AH53" i="25" s="1"/>
  <c r="AH32" i="36"/>
  <c r="AG53" i="25" s="1"/>
  <c r="AG32" i="36"/>
  <c r="AF53" i="25" s="1"/>
  <c r="AF32" i="36"/>
  <c r="AE53" i="25" s="1"/>
  <c r="AE32" i="36"/>
  <c r="AD53" i="25" s="1"/>
  <c r="AD32" i="36"/>
  <c r="AC53" i="25" s="1"/>
  <c r="AC32" i="36"/>
  <c r="AB53" i="25" s="1"/>
  <c r="AB32" i="36"/>
  <c r="AA53" i="25" s="1"/>
  <c r="AA32" i="36"/>
  <c r="Z53" i="25" s="1"/>
  <c r="Z32" i="36"/>
  <c r="Y53" i="25" s="1"/>
  <c r="Y32" i="36"/>
  <c r="X53" i="25" s="1"/>
  <c r="X32" i="36"/>
  <c r="W53" i="25" s="1"/>
  <c r="AW31" i="36"/>
  <c r="AV52" i="25" s="1"/>
  <c r="AV31" i="36"/>
  <c r="AU52" i="25" s="1"/>
  <c r="AU31" i="36"/>
  <c r="AT52" i="25" s="1"/>
  <c r="AT31" i="36"/>
  <c r="AS52" i="25" s="1"/>
  <c r="AS31" i="36"/>
  <c r="AR52" i="25" s="1"/>
  <c r="AR31" i="36"/>
  <c r="AQ52" i="25" s="1"/>
  <c r="AQ31" i="36"/>
  <c r="AP52" i="25" s="1"/>
  <c r="AP31" i="36"/>
  <c r="AO52" i="25" s="1"/>
  <c r="AO31" i="36"/>
  <c r="AN52" i="25" s="1"/>
  <c r="AN31" i="36"/>
  <c r="AM52" i="25" s="1"/>
  <c r="AM31" i="36"/>
  <c r="AL52" i="25" s="1"/>
  <c r="AL31" i="36"/>
  <c r="AK52" i="25" s="1"/>
  <c r="AK31" i="36"/>
  <c r="AJ52" i="25" s="1"/>
  <c r="AJ31" i="36"/>
  <c r="AI52" i="25" s="1"/>
  <c r="AI31" i="36"/>
  <c r="AH52" i="25" s="1"/>
  <c r="AH31" i="36"/>
  <c r="AG52" i="25" s="1"/>
  <c r="AG31" i="36"/>
  <c r="AF52" i="25" s="1"/>
  <c r="AF31" i="36"/>
  <c r="AE52" i="25" s="1"/>
  <c r="AE31" i="36"/>
  <c r="AD52" i="25" s="1"/>
  <c r="AD31" i="36"/>
  <c r="AC52" i="25" s="1"/>
  <c r="AC31" i="36"/>
  <c r="AB52" i="25" s="1"/>
  <c r="AB31" i="36"/>
  <c r="AA52" i="25" s="1"/>
  <c r="AA31" i="36"/>
  <c r="Z52" i="25" s="1"/>
  <c r="Z31" i="36"/>
  <c r="Y52" i="25" s="1"/>
  <c r="Y31" i="36"/>
  <c r="X31" i="36" s="1"/>
  <c r="AW30" i="36"/>
  <c r="AV51" i="25" s="1"/>
  <c r="AV30" i="36"/>
  <c r="AU51" i="25" s="1"/>
  <c r="AU30" i="36"/>
  <c r="AT51" i="25" s="1"/>
  <c r="AT30" i="36"/>
  <c r="AS51" i="25" s="1"/>
  <c r="AS30" i="36"/>
  <c r="AR51" i="25" s="1"/>
  <c r="AR30" i="36"/>
  <c r="AQ51" i="25" s="1"/>
  <c r="AQ30" i="36"/>
  <c r="AP51" i="25" s="1"/>
  <c r="AP30" i="36"/>
  <c r="AO51" i="25" s="1"/>
  <c r="AO30" i="36"/>
  <c r="AN51" i="25" s="1"/>
  <c r="AN30" i="36"/>
  <c r="AM51" i="25" s="1"/>
  <c r="AM30" i="36"/>
  <c r="AL51" i="25" s="1"/>
  <c r="AL30" i="36"/>
  <c r="AK51" i="25" s="1"/>
  <c r="AK30" i="36"/>
  <c r="AJ51" i="25" s="1"/>
  <c r="AJ30" i="36"/>
  <c r="AI51" i="25" s="1"/>
  <c r="AI30" i="36"/>
  <c r="AH51" i="25" s="1"/>
  <c r="AH30" i="36"/>
  <c r="AG51" i="25" s="1"/>
  <c r="AG30" i="36"/>
  <c r="AF51" i="25" s="1"/>
  <c r="AF30" i="36"/>
  <c r="AE51" i="25" s="1"/>
  <c r="AE30" i="36"/>
  <c r="AD51" i="25" s="1"/>
  <c r="AD30" i="36"/>
  <c r="AC51" i="25" s="1"/>
  <c r="AC30" i="36"/>
  <c r="AB51" i="25" s="1"/>
  <c r="AB30" i="36"/>
  <c r="AA51" i="25" s="1"/>
  <c r="AA30" i="36"/>
  <c r="Z51" i="25" s="1"/>
  <c r="Z30" i="36"/>
  <c r="Y51" i="25" s="1"/>
  <c r="Y30" i="36"/>
  <c r="X51" i="25" s="1"/>
  <c r="X30" i="36"/>
  <c r="W30" i="36" s="1"/>
  <c r="V30" i="36" s="1"/>
  <c r="U30" i="36" s="1"/>
  <c r="T51" i="25" s="1"/>
  <c r="AW29" i="36"/>
  <c r="AV50" i="25" s="1"/>
  <c r="AV29" i="36"/>
  <c r="AU50" i="25" s="1"/>
  <c r="AU29" i="36"/>
  <c r="AT50" i="25" s="1"/>
  <c r="AT29" i="36"/>
  <c r="AS50" i="25" s="1"/>
  <c r="AS29" i="36"/>
  <c r="AR50" i="25" s="1"/>
  <c r="AR29" i="36"/>
  <c r="AQ50" i="25" s="1"/>
  <c r="AQ29" i="36"/>
  <c r="AP50" i="25" s="1"/>
  <c r="AP29" i="36"/>
  <c r="AO50" i="25" s="1"/>
  <c r="AO29" i="36"/>
  <c r="AN50" i="25" s="1"/>
  <c r="AN29" i="36"/>
  <c r="AM50" i="25" s="1"/>
  <c r="AM29" i="36"/>
  <c r="AL50" i="25" s="1"/>
  <c r="AL29" i="36"/>
  <c r="AK50" i="25" s="1"/>
  <c r="AK29" i="36"/>
  <c r="AJ50" i="25" s="1"/>
  <c r="AJ29" i="36"/>
  <c r="AI50" i="25" s="1"/>
  <c r="AI29" i="36"/>
  <c r="AH50" i="25" s="1"/>
  <c r="AH29" i="36"/>
  <c r="AG50" i="25" s="1"/>
  <c r="AG29" i="36"/>
  <c r="AF50" i="25" s="1"/>
  <c r="AF29" i="36"/>
  <c r="AE50" i="25" s="1"/>
  <c r="AE29" i="36"/>
  <c r="AD50" i="25" s="1"/>
  <c r="AD29" i="36"/>
  <c r="AC50" i="25" s="1"/>
  <c r="AC29" i="36"/>
  <c r="AB50" i="25" s="1"/>
  <c r="AB29" i="36"/>
  <c r="AA50" i="25" s="1"/>
  <c r="AA29" i="36"/>
  <c r="Z50" i="25" s="1"/>
  <c r="Z29" i="36"/>
  <c r="Y50" i="25" s="1"/>
  <c r="Y29" i="36"/>
  <c r="X50" i="25" s="1"/>
  <c r="X186" i="1"/>
  <c r="Y186" i="1"/>
  <c r="Z186" i="1"/>
  <c r="G171" i="29" l="1"/>
  <c r="X39" i="36"/>
  <c r="W39" i="36" s="1"/>
  <c r="V39" i="36" s="1"/>
  <c r="U39" i="36" s="1"/>
  <c r="T60" i="25" s="1"/>
  <c r="X44" i="36"/>
  <c r="X50" i="36"/>
  <c r="W50" i="36" s="1"/>
  <c r="V50" i="36" s="1"/>
  <c r="U50" i="36" s="1"/>
  <c r="T71" i="25" s="1"/>
  <c r="W68" i="25"/>
  <c r="W66" i="25"/>
  <c r="V66" i="25"/>
  <c r="W32" i="36"/>
  <c r="V32" i="36" s="1"/>
  <c r="U32" i="36" s="1"/>
  <c r="T53" i="25" s="1"/>
  <c r="U66" i="25"/>
  <c r="W51" i="25"/>
  <c r="V51" i="25"/>
  <c r="V54" i="25"/>
  <c r="U51" i="25"/>
  <c r="X29" i="36"/>
  <c r="W29" i="36" s="1"/>
  <c r="V50" i="25" s="1"/>
  <c r="X36" i="36"/>
  <c r="U54" i="25"/>
  <c r="X68" i="25"/>
  <c r="U68" i="25"/>
  <c r="X41" i="36"/>
  <c r="W62" i="25" s="1"/>
  <c r="X56" i="25"/>
  <c r="X43" i="36"/>
  <c r="W43" i="36" s="1"/>
  <c r="V43" i="36" s="1"/>
  <c r="X51" i="36"/>
  <c r="W54" i="25"/>
  <c r="W38" i="36"/>
  <c r="W59" i="25"/>
  <c r="W31" i="36"/>
  <c r="W52" i="25"/>
  <c r="X73" i="25"/>
  <c r="X70" i="25"/>
  <c r="X67" i="25"/>
  <c r="X61" i="25"/>
  <c r="X58" i="25"/>
  <c r="X55" i="25"/>
  <c r="X52" i="25"/>
  <c r="W73" i="25"/>
  <c r="W70" i="25"/>
  <c r="W67" i="25"/>
  <c r="W61" i="25"/>
  <c r="W58" i="25"/>
  <c r="W55" i="25"/>
  <c r="V73" i="25"/>
  <c r="V70" i="25"/>
  <c r="V67" i="25"/>
  <c r="V61" i="25"/>
  <c r="V58" i="25"/>
  <c r="V55" i="25"/>
  <c r="X59" i="25"/>
  <c r="X42" i="36"/>
  <c r="U73" i="25"/>
  <c r="U70" i="25"/>
  <c r="U67" i="25"/>
  <c r="U61" i="25"/>
  <c r="U58" i="25"/>
  <c r="U55" i="25"/>
  <c r="X48" i="36"/>
  <c r="X66" i="25"/>
  <c r="X54" i="25"/>
  <c r="W60" i="25"/>
  <c r="U60" i="25"/>
  <c r="W56" i="25"/>
  <c r="V68" i="25"/>
  <c r="V56" i="25"/>
  <c r="U56" i="25"/>
  <c r="V29" i="36" l="1"/>
  <c r="U29" i="36" s="1"/>
  <c r="T50" i="25" s="1"/>
  <c r="W41" i="36"/>
  <c r="V62" i="25" s="1"/>
  <c r="W50" i="25"/>
  <c r="W64" i="25"/>
  <c r="V60" i="25"/>
  <c r="W71" i="25"/>
  <c r="W65" i="25"/>
  <c r="W44" i="36"/>
  <c r="U71" i="25"/>
  <c r="V71" i="25"/>
  <c r="U53" i="25"/>
  <c r="V53" i="25"/>
  <c r="W36" i="36"/>
  <c r="W57" i="25"/>
  <c r="W51" i="36"/>
  <c r="W72" i="25"/>
  <c r="V64" i="25"/>
  <c r="W42" i="36"/>
  <c r="W63" i="25"/>
  <c r="U43" i="36"/>
  <c r="T64" i="25" s="1"/>
  <c r="U64" i="25"/>
  <c r="V31" i="36"/>
  <c r="V52" i="25"/>
  <c r="U50" i="25"/>
  <c r="V38" i="36"/>
  <c r="V59" i="25"/>
  <c r="W69" i="25"/>
  <c r="W48" i="36"/>
  <c r="V41" i="36" l="1"/>
  <c r="V44" i="36"/>
  <c r="V65" i="25"/>
  <c r="V36" i="36"/>
  <c r="V57" i="25"/>
  <c r="V51" i="36"/>
  <c r="V72" i="25"/>
  <c r="U62" i="25"/>
  <c r="U41" i="36"/>
  <c r="T62" i="25" s="1"/>
  <c r="U38" i="36"/>
  <c r="T59" i="25" s="1"/>
  <c r="U59" i="25"/>
  <c r="U31" i="36"/>
  <c r="T52" i="25" s="1"/>
  <c r="U52" i="25"/>
  <c r="V69" i="25"/>
  <c r="V48" i="36"/>
  <c r="V42" i="36"/>
  <c r="V63" i="25"/>
  <c r="U44" i="36" l="1"/>
  <c r="T65" i="25" s="1"/>
  <c r="U65" i="25"/>
  <c r="U36" i="36"/>
  <c r="T57" i="25" s="1"/>
  <c r="U57" i="25"/>
  <c r="U51" i="36"/>
  <c r="T72" i="25" s="1"/>
  <c r="U72" i="25"/>
  <c r="U42" i="36"/>
  <c r="T63" i="25" s="1"/>
  <c r="U63" i="25"/>
  <c r="U48" i="36"/>
  <c r="T69" i="25" s="1"/>
  <c r="U69" i="25"/>
  <c r="H186" i="1" l="1"/>
  <c r="G186" i="1"/>
  <c r="C72" i="29"/>
  <c r="C71" i="29"/>
  <c r="C70" i="29"/>
  <c r="D35" i="34"/>
  <c r="B35" i="34"/>
  <c r="F137" i="34" s="1"/>
  <c r="B72" i="34"/>
  <c r="F138" i="34" s="1"/>
  <c r="H80" i="29" a="1"/>
  <c r="H80" i="29" s="1"/>
  <c r="I80" i="29" a="1"/>
  <c r="I80" i="29" s="1"/>
  <c r="J80" i="29" a="1"/>
  <c r="J80" i="29" s="1"/>
  <c r="K80" i="29" a="1"/>
  <c r="K80" i="29" s="1"/>
  <c r="L80" i="29" a="1"/>
  <c r="L80" i="29" s="1"/>
  <c r="M80" i="29" a="1"/>
  <c r="M80" i="29" s="1"/>
  <c r="N80" i="29" a="1"/>
  <c r="N80" i="29" s="1"/>
  <c r="O80" i="29" a="1"/>
  <c r="O80" i="29" s="1"/>
  <c r="P80" i="29" a="1"/>
  <c r="P80" i="29" s="1"/>
  <c r="Q80" i="29" a="1"/>
  <c r="Q80" i="29" s="1"/>
  <c r="R80" i="29" a="1"/>
  <c r="R80" i="29" s="1"/>
  <c r="S80" i="29" a="1"/>
  <c r="S80" i="29" s="1"/>
  <c r="T80" i="29" a="1"/>
  <c r="T80" i="29" s="1"/>
  <c r="U80" i="29" a="1"/>
  <c r="U80" i="29" s="1"/>
  <c r="V80" i="29" a="1"/>
  <c r="V80" i="29" s="1"/>
  <c r="W80" i="29" a="1"/>
  <c r="W80" i="29" s="1"/>
  <c r="X80" i="29" a="1"/>
  <c r="X80" i="29" s="1"/>
  <c r="Y80" i="29" a="1"/>
  <c r="Y80" i="29" s="1"/>
  <c r="Z80" i="29" a="1"/>
  <c r="Z80" i="29" s="1"/>
  <c r="AA80" i="29" a="1"/>
  <c r="AA80" i="29" s="1"/>
  <c r="AB80" i="29" a="1"/>
  <c r="AB80" i="29" s="1"/>
  <c r="AC80" i="29" a="1"/>
  <c r="AC80" i="29" s="1"/>
  <c r="AD80" i="29" a="1"/>
  <c r="AD80" i="29" s="1"/>
  <c r="AE80" i="29" a="1"/>
  <c r="AE80" i="29" s="1"/>
  <c r="AF80" i="29" a="1"/>
  <c r="AF80" i="29" s="1"/>
  <c r="AG80" i="29" a="1"/>
  <c r="AG80" i="29" s="1"/>
  <c r="AH80" i="29" a="1"/>
  <c r="AH80" i="29" s="1"/>
  <c r="AI80" i="29" a="1"/>
  <c r="AI80" i="29" s="1"/>
  <c r="G80" i="29" a="1"/>
  <c r="G80" i="29" s="1"/>
  <c r="D95" i="29"/>
  <c r="H161" i="29"/>
  <c r="I161" i="29"/>
  <c r="J161" i="29"/>
  <c r="K161" i="29"/>
  <c r="L161" i="29"/>
  <c r="M161" i="29"/>
  <c r="N161" i="29"/>
  <c r="O161" i="29"/>
  <c r="P161" i="29"/>
  <c r="Q161" i="29"/>
  <c r="R161" i="29"/>
  <c r="S161" i="29"/>
  <c r="T161" i="29"/>
  <c r="U161" i="29"/>
  <c r="V161" i="29"/>
  <c r="W161" i="29"/>
  <c r="X161" i="29"/>
  <c r="Y161" i="29"/>
  <c r="Z161" i="29"/>
  <c r="AA161" i="29"/>
  <c r="AB161" i="29"/>
  <c r="AC161" i="29"/>
  <c r="AD161" i="29"/>
  <c r="AE161" i="29"/>
  <c r="AF161" i="29"/>
  <c r="AG161" i="29"/>
  <c r="AH161" i="29"/>
  <c r="AI161" i="29"/>
  <c r="G161" i="29"/>
  <c r="D88" i="29"/>
  <c r="D158" i="1" l="1"/>
  <c r="F157" i="1"/>
  <c r="D157" i="1"/>
  <c r="H121" i="29"/>
  <c r="I121" i="29"/>
  <c r="J121" i="29"/>
  <c r="K121" i="29"/>
  <c r="L121" i="29"/>
  <c r="M121" i="29"/>
  <c r="N121" i="29"/>
  <c r="O121" i="29"/>
  <c r="P121" i="29"/>
  <c r="Q121" i="29"/>
  <c r="R121" i="29"/>
  <c r="S121" i="29"/>
  <c r="T121" i="29"/>
  <c r="U121" i="29"/>
  <c r="V121" i="29"/>
  <c r="W121" i="29"/>
  <c r="X121" i="29"/>
  <c r="Y121" i="29"/>
  <c r="Z121" i="29"/>
  <c r="AA121" i="29"/>
  <c r="AB121" i="29"/>
  <c r="AC121" i="29"/>
  <c r="AD121" i="29"/>
  <c r="AE121" i="29"/>
  <c r="AF121" i="29"/>
  <c r="AG121" i="29"/>
  <c r="AH121" i="29"/>
  <c r="AI121" i="29"/>
  <c r="G121" i="29"/>
  <c r="H77" i="29"/>
  <c r="I77" i="29"/>
  <c r="J77" i="29"/>
  <c r="K77" i="29"/>
  <c r="L77" i="29"/>
  <c r="M77" i="29"/>
  <c r="N77" i="29"/>
  <c r="O77" i="29"/>
  <c r="P77" i="29"/>
  <c r="Q77" i="29"/>
  <c r="R77" i="29"/>
  <c r="S77" i="29"/>
  <c r="T77" i="29"/>
  <c r="U77" i="29"/>
  <c r="V77" i="29"/>
  <c r="W77" i="29"/>
  <c r="X77" i="29"/>
  <c r="Y77" i="29"/>
  <c r="Z77" i="29"/>
  <c r="AA77" i="29"/>
  <c r="AB77" i="29"/>
  <c r="AC77" i="29"/>
  <c r="AD77" i="29"/>
  <c r="AE77" i="29"/>
  <c r="AF77" i="29"/>
  <c r="AG77" i="29"/>
  <c r="AH77" i="29"/>
  <c r="AI77" i="29"/>
  <c r="G77" i="29"/>
  <c r="H50" i="29"/>
  <c r="I50" i="29"/>
  <c r="J50" i="29"/>
  <c r="K50" i="29"/>
  <c r="L50" i="29"/>
  <c r="M50" i="29"/>
  <c r="N50" i="29"/>
  <c r="O50" i="29"/>
  <c r="P50" i="29"/>
  <c r="Q50" i="29"/>
  <c r="R50" i="29"/>
  <c r="S50" i="29"/>
  <c r="T50" i="29"/>
  <c r="U50" i="29"/>
  <c r="V50" i="29"/>
  <c r="W50" i="29"/>
  <c r="X50" i="29"/>
  <c r="Y50" i="29"/>
  <c r="Z50" i="29"/>
  <c r="AA50" i="29"/>
  <c r="AB50" i="29"/>
  <c r="AC50" i="29"/>
  <c r="AD50" i="29"/>
  <c r="AE50" i="29"/>
  <c r="AF50" i="29"/>
  <c r="AG50" i="29"/>
  <c r="AH50" i="29"/>
  <c r="AI50" i="29"/>
  <c r="G50" i="29"/>
  <c r="H31" i="29"/>
  <c r="I31" i="29"/>
  <c r="J31" i="29"/>
  <c r="K31" i="29"/>
  <c r="L31" i="29"/>
  <c r="M31" i="29"/>
  <c r="N31" i="29"/>
  <c r="O31" i="29"/>
  <c r="P31" i="29"/>
  <c r="Q31" i="29"/>
  <c r="R31" i="29"/>
  <c r="S31" i="29"/>
  <c r="T31" i="29"/>
  <c r="U31" i="29"/>
  <c r="V31" i="29"/>
  <c r="W31" i="29"/>
  <c r="X31" i="29"/>
  <c r="Y31" i="29"/>
  <c r="Z31" i="29"/>
  <c r="AA31" i="29"/>
  <c r="AB31" i="29"/>
  <c r="AC31" i="29"/>
  <c r="AD31" i="29"/>
  <c r="AE31" i="29"/>
  <c r="AF31" i="29"/>
  <c r="AG31" i="29"/>
  <c r="AH31" i="29"/>
  <c r="AI31" i="29"/>
  <c r="G31" i="29"/>
  <c r="D70" i="29"/>
  <c r="R69" i="29" a="1"/>
  <c r="R69" i="29" s="1"/>
  <c r="R151" i="29" s="1"/>
  <c r="S69" i="29" a="1"/>
  <c r="S69" i="29" s="1"/>
  <c r="S151" i="29" s="1"/>
  <c r="T69" i="29" a="1"/>
  <c r="T69" i="29" s="1"/>
  <c r="T151" i="29" s="1"/>
  <c r="U69" i="29" a="1"/>
  <c r="U69" i="29" s="1"/>
  <c r="U151" i="29" s="1"/>
  <c r="V69" i="29" a="1"/>
  <c r="V69" i="29" s="1"/>
  <c r="V151" i="29" s="1"/>
  <c r="W69" i="29" a="1"/>
  <c r="W69" i="29" s="1"/>
  <c r="W151" i="29" s="1"/>
  <c r="X69" i="29" a="1"/>
  <c r="X69" i="29" s="1"/>
  <c r="X151" i="29" s="1"/>
  <c r="Y69" i="29" a="1"/>
  <c r="Y69" i="29" s="1"/>
  <c r="Y151" i="29" s="1"/>
  <c r="Z69" i="29" a="1"/>
  <c r="Z69" i="29" s="1"/>
  <c r="Z151" i="29" s="1"/>
  <c r="AA69" i="29" a="1"/>
  <c r="AA69" i="29" s="1"/>
  <c r="AA151" i="29" s="1"/>
  <c r="AB69" i="29" a="1"/>
  <c r="AB69" i="29" s="1"/>
  <c r="AB151" i="29" s="1"/>
  <c r="AC69" i="29" a="1"/>
  <c r="AC69" i="29" s="1"/>
  <c r="AC151" i="29" s="1"/>
  <c r="AD69" i="29" a="1"/>
  <c r="AD69" i="29" s="1"/>
  <c r="AD151" i="29" s="1"/>
  <c r="AE69" i="29" a="1"/>
  <c r="AE69" i="29" s="1"/>
  <c r="AE151" i="29" s="1"/>
  <c r="AF69" i="29" a="1"/>
  <c r="AF69" i="29" s="1"/>
  <c r="AF151" i="29" s="1"/>
  <c r="AG69" i="29" a="1"/>
  <c r="AG69" i="29" s="1"/>
  <c r="AG151" i="29" s="1"/>
  <c r="AH69" i="29" a="1"/>
  <c r="AH69" i="29" s="1"/>
  <c r="AH151" i="29" s="1"/>
  <c r="AI69" i="29" a="1"/>
  <c r="AI69" i="29" s="1"/>
  <c r="AI151" i="29" s="1"/>
  <c r="H69" i="29" a="1"/>
  <c r="H69" i="29" s="1"/>
  <c r="H151" i="29" s="1"/>
  <c r="I69" i="29" a="1"/>
  <c r="I69" i="29" s="1"/>
  <c r="I151" i="29" s="1"/>
  <c r="J69" i="29" a="1"/>
  <c r="J69" i="29" s="1"/>
  <c r="J151" i="29" s="1"/>
  <c r="K69" i="29" a="1"/>
  <c r="K69" i="29" s="1"/>
  <c r="K151" i="29" s="1"/>
  <c r="L69" i="29" a="1"/>
  <c r="L69" i="29" s="1"/>
  <c r="L151" i="29" s="1"/>
  <c r="M69" i="29" a="1"/>
  <c r="M69" i="29" s="1"/>
  <c r="M151" i="29" s="1"/>
  <c r="N69" i="29" a="1"/>
  <c r="N69" i="29" s="1"/>
  <c r="N151" i="29" s="1"/>
  <c r="O69" i="29" a="1"/>
  <c r="O69" i="29" s="1"/>
  <c r="O151" i="29" s="1"/>
  <c r="P69" i="29" a="1"/>
  <c r="P69" i="29" s="1"/>
  <c r="P151" i="29" s="1"/>
  <c r="Q69" i="29" a="1"/>
  <c r="Q69" i="29" s="1"/>
  <c r="Q151" i="29" s="1"/>
  <c r="G69" i="29" a="1"/>
  <c r="G69" i="29" s="1"/>
  <c r="G151" i="29" s="1"/>
  <c r="B158" i="1"/>
  <c r="F186" i="1" s="1"/>
  <c r="U75" i="25"/>
  <c r="V75" i="25"/>
  <c r="W75" i="25"/>
  <c r="X75" i="25"/>
  <c r="Y75" i="25"/>
  <c r="Z75" i="25"/>
  <c r="AA75" i="25"/>
  <c r="AB75" i="25"/>
  <c r="AC75" i="25"/>
  <c r="AD75" i="25"/>
  <c r="AE75" i="25"/>
  <c r="AF75" i="25"/>
  <c r="AG75" i="25"/>
  <c r="AH75" i="25"/>
  <c r="AI75" i="25"/>
  <c r="AJ75" i="25"/>
  <c r="AK75" i="25"/>
  <c r="AL75" i="25"/>
  <c r="AM75" i="25"/>
  <c r="AN75" i="25"/>
  <c r="AO75" i="25"/>
  <c r="AP75" i="25"/>
  <c r="AQ75" i="25"/>
  <c r="AR75" i="25"/>
  <c r="AS75" i="25"/>
  <c r="AT75" i="25"/>
  <c r="AU75" i="25"/>
  <c r="AV75" i="25"/>
  <c r="U76" i="25"/>
  <c r="V76" i="25"/>
  <c r="W76" i="25"/>
  <c r="X76" i="25"/>
  <c r="Y76" i="25"/>
  <c r="Z76" i="25"/>
  <c r="AA76" i="25"/>
  <c r="AB76" i="25"/>
  <c r="AC76" i="25"/>
  <c r="AD76" i="25"/>
  <c r="AE76" i="25"/>
  <c r="AF76" i="25"/>
  <c r="AG76" i="25"/>
  <c r="AH76" i="25"/>
  <c r="AI76" i="25"/>
  <c r="AJ76" i="25"/>
  <c r="AK76" i="25"/>
  <c r="AL76" i="25"/>
  <c r="AM76" i="25"/>
  <c r="AN76" i="25"/>
  <c r="AO76" i="25"/>
  <c r="AP76" i="25"/>
  <c r="AQ76" i="25"/>
  <c r="AR76" i="25"/>
  <c r="AS76" i="25"/>
  <c r="AT76" i="25"/>
  <c r="AU76" i="25"/>
  <c r="AV76" i="25"/>
  <c r="U77" i="25"/>
  <c r="V77" i="25"/>
  <c r="W77" i="25"/>
  <c r="X77" i="25"/>
  <c r="Y77" i="25"/>
  <c r="Z77" i="25"/>
  <c r="AA77" i="25"/>
  <c r="AB77" i="25"/>
  <c r="AC77" i="25"/>
  <c r="AD77" i="25"/>
  <c r="AE77" i="25"/>
  <c r="AF77" i="25"/>
  <c r="AG77" i="25"/>
  <c r="AH77" i="25"/>
  <c r="AI77" i="25"/>
  <c r="AJ77" i="25"/>
  <c r="AK77" i="25"/>
  <c r="AL77" i="25"/>
  <c r="AM77" i="25"/>
  <c r="AN77" i="25"/>
  <c r="AO77" i="25"/>
  <c r="AP77" i="25"/>
  <c r="AQ77" i="25"/>
  <c r="AR77" i="25"/>
  <c r="AS77" i="25"/>
  <c r="AT77" i="25"/>
  <c r="AU77" i="25"/>
  <c r="AV77" i="25"/>
  <c r="U78" i="25"/>
  <c r="V78" i="25"/>
  <c r="W78" i="25"/>
  <c r="X78" i="25"/>
  <c r="Y78" i="25"/>
  <c r="Z78" i="25"/>
  <c r="AA78" i="25"/>
  <c r="AB78" i="25"/>
  <c r="AC78" i="25"/>
  <c r="AD78" i="25"/>
  <c r="AE78" i="25"/>
  <c r="AF78" i="25"/>
  <c r="AG78" i="25"/>
  <c r="AH78" i="25"/>
  <c r="AI78" i="25"/>
  <c r="AJ78" i="25"/>
  <c r="AK78" i="25"/>
  <c r="AL78" i="25"/>
  <c r="AM78" i="25"/>
  <c r="AN78" i="25"/>
  <c r="AO78" i="25"/>
  <c r="AP78" i="25"/>
  <c r="AQ78" i="25"/>
  <c r="AR78" i="25"/>
  <c r="AS78" i="25"/>
  <c r="AT78" i="25"/>
  <c r="AU78" i="25"/>
  <c r="AV78" i="25"/>
  <c r="U79" i="25"/>
  <c r="V79" i="25"/>
  <c r="W79" i="25"/>
  <c r="X79" i="25"/>
  <c r="Y79" i="25"/>
  <c r="Z79" i="25"/>
  <c r="AA79" i="25"/>
  <c r="AB79" i="25"/>
  <c r="AC79" i="25"/>
  <c r="AD79" i="25"/>
  <c r="AE79" i="25"/>
  <c r="AF79" i="25"/>
  <c r="AG79" i="25"/>
  <c r="AH79" i="25"/>
  <c r="AI79" i="25"/>
  <c r="AJ79" i="25"/>
  <c r="AK79" i="25"/>
  <c r="AL79" i="25"/>
  <c r="AM79" i="25"/>
  <c r="AN79" i="25"/>
  <c r="AO79" i="25"/>
  <c r="AP79" i="25"/>
  <c r="AQ79" i="25"/>
  <c r="AR79" i="25"/>
  <c r="AS79" i="25"/>
  <c r="AT79" i="25"/>
  <c r="AU79" i="25"/>
  <c r="AV79" i="25"/>
  <c r="U80" i="25"/>
  <c r="V80" i="25"/>
  <c r="W80" i="25"/>
  <c r="X80" i="25"/>
  <c r="Y80" i="25"/>
  <c r="Z80" i="25"/>
  <c r="AA80" i="25"/>
  <c r="AB80" i="25"/>
  <c r="AC80" i="25"/>
  <c r="AD80" i="25"/>
  <c r="AE80" i="25"/>
  <c r="AF80" i="25"/>
  <c r="AG80" i="25"/>
  <c r="AH80" i="25"/>
  <c r="AI80" i="25"/>
  <c r="AJ80" i="25"/>
  <c r="AK80" i="25"/>
  <c r="AL80" i="25"/>
  <c r="AM80" i="25"/>
  <c r="AN80" i="25"/>
  <c r="AO80" i="25"/>
  <c r="AP80" i="25"/>
  <c r="AQ80" i="25"/>
  <c r="AR80" i="25"/>
  <c r="AS80" i="25"/>
  <c r="AT80" i="25"/>
  <c r="AU80" i="25"/>
  <c r="AV80" i="25"/>
  <c r="U81" i="25"/>
  <c r="V81" i="25"/>
  <c r="W81" i="25"/>
  <c r="X81" i="25"/>
  <c r="Y81" i="25"/>
  <c r="Z81" i="25"/>
  <c r="AA81" i="25"/>
  <c r="AB81" i="25"/>
  <c r="AC81" i="25"/>
  <c r="AD81" i="25"/>
  <c r="AE81" i="25"/>
  <c r="AF81" i="25"/>
  <c r="AG81" i="25"/>
  <c r="AH81" i="25"/>
  <c r="AI81" i="25"/>
  <c r="AJ81" i="25"/>
  <c r="AK81" i="25"/>
  <c r="AL81" i="25"/>
  <c r="AM81" i="25"/>
  <c r="AN81" i="25"/>
  <c r="AO81" i="25"/>
  <c r="AP81" i="25"/>
  <c r="AQ81" i="25"/>
  <c r="AR81" i="25"/>
  <c r="AS81" i="25"/>
  <c r="AT81" i="25"/>
  <c r="AU81" i="25"/>
  <c r="AV81" i="25"/>
  <c r="U82" i="25"/>
  <c r="V82" i="25"/>
  <c r="W82" i="25"/>
  <c r="X82" i="25"/>
  <c r="Y82" i="25"/>
  <c r="Z82" i="25"/>
  <c r="AA82" i="25"/>
  <c r="AB82" i="25"/>
  <c r="AC82" i="25"/>
  <c r="AD82" i="25"/>
  <c r="AE82" i="25"/>
  <c r="AF82" i="25"/>
  <c r="AG82" i="25"/>
  <c r="AH82" i="25"/>
  <c r="AI82" i="25"/>
  <c r="AJ82" i="25"/>
  <c r="AK82" i="25"/>
  <c r="AL82" i="25"/>
  <c r="AM82" i="25"/>
  <c r="AN82" i="25"/>
  <c r="AO82" i="25"/>
  <c r="AP82" i="25"/>
  <c r="AQ82" i="25"/>
  <c r="AR82" i="25"/>
  <c r="AS82" i="25"/>
  <c r="AT82" i="25"/>
  <c r="AU82" i="25"/>
  <c r="AV82" i="25"/>
  <c r="U83" i="25"/>
  <c r="V83" i="25"/>
  <c r="W83" i="25"/>
  <c r="X83" i="25"/>
  <c r="Y83" i="25"/>
  <c r="Z83" i="25"/>
  <c r="AA83" i="25"/>
  <c r="AB83" i="25"/>
  <c r="AC83" i="25"/>
  <c r="AD83" i="25"/>
  <c r="AE83" i="25"/>
  <c r="AF83" i="25"/>
  <c r="AG83" i="25"/>
  <c r="AH83" i="25"/>
  <c r="AI83" i="25"/>
  <c r="AJ83" i="25"/>
  <c r="AK83" i="25"/>
  <c r="AL83" i="25"/>
  <c r="AM83" i="25"/>
  <c r="AN83" i="25"/>
  <c r="AO83" i="25"/>
  <c r="AP83" i="25"/>
  <c r="AQ83" i="25"/>
  <c r="AR83" i="25"/>
  <c r="AS83" i="25"/>
  <c r="AT83" i="25"/>
  <c r="AU83" i="25"/>
  <c r="AV83" i="25"/>
  <c r="U84" i="25"/>
  <c r="V84" i="25"/>
  <c r="W84" i="25"/>
  <c r="X84" i="25"/>
  <c r="Y84" i="25"/>
  <c r="Z84" i="25"/>
  <c r="AA84" i="25"/>
  <c r="AB84" i="25"/>
  <c r="AC84" i="25"/>
  <c r="AD84" i="25"/>
  <c r="AE84" i="25"/>
  <c r="AF84" i="25"/>
  <c r="AG84" i="25"/>
  <c r="AH84" i="25"/>
  <c r="AI84" i="25"/>
  <c r="AJ84" i="25"/>
  <c r="AK84" i="25"/>
  <c r="AL84" i="25"/>
  <c r="AM84" i="25"/>
  <c r="AN84" i="25"/>
  <c r="AO84" i="25"/>
  <c r="AP84" i="25"/>
  <c r="AQ84" i="25"/>
  <c r="AR84" i="25"/>
  <c r="AS84" i="25"/>
  <c r="AT84" i="25"/>
  <c r="AU84" i="25"/>
  <c r="AV84" i="25"/>
  <c r="U85" i="25"/>
  <c r="V85" i="25"/>
  <c r="W85" i="25"/>
  <c r="X85" i="25"/>
  <c r="Y85" i="25"/>
  <c r="Z85" i="25"/>
  <c r="AA85" i="25"/>
  <c r="AB85" i="25"/>
  <c r="AC85" i="25"/>
  <c r="AD85" i="25"/>
  <c r="AE85" i="25"/>
  <c r="AF85" i="25"/>
  <c r="AG85" i="25"/>
  <c r="AH85" i="25"/>
  <c r="AI85" i="25"/>
  <c r="AJ85" i="25"/>
  <c r="AK85" i="25"/>
  <c r="AL85" i="25"/>
  <c r="AM85" i="25"/>
  <c r="AN85" i="25"/>
  <c r="AO85" i="25"/>
  <c r="AP85" i="25"/>
  <c r="AQ85" i="25"/>
  <c r="AR85" i="25"/>
  <c r="AS85" i="25"/>
  <c r="AT85" i="25"/>
  <c r="AU85" i="25"/>
  <c r="AV85" i="25"/>
  <c r="U86" i="25"/>
  <c r="V86" i="25"/>
  <c r="W86" i="25"/>
  <c r="X86" i="25"/>
  <c r="Y86" i="25"/>
  <c r="Z86" i="25"/>
  <c r="AA86" i="25"/>
  <c r="AB86" i="25"/>
  <c r="AC86" i="25"/>
  <c r="AD86" i="25"/>
  <c r="AE86" i="25"/>
  <c r="AF86" i="25"/>
  <c r="AG86" i="25"/>
  <c r="AH86" i="25"/>
  <c r="AI86" i="25"/>
  <c r="AJ86" i="25"/>
  <c r="AK86" i="25"/>
  <c r="AL86" i="25"/>
  <c r="AM86" i="25"/>
  <c r="AN86" i="25"/>
  <c r="AO86" i="25"/>
  <c r="AP86" i="25"/>
  <c r="AQ86" i="25"/>
  <c r="AR86" i="25"/>
  <c r="AS86" i="25"/>
  <c r="AT86" i="25"/>
  <c r="AU86" i="25"/>
  <c r="AV86" i="25"/>
  <c r="U87" i="25"/>
  <c r="V87" i="25"/>
  <c r="W87" i="25"/>
  <c r="X87" i="25"/>
  <c r="Y87" i="25"/>
  <c r="Z87" i="25"/>
  <c r="AA87" i="25"/>
  <c r="AB87" i="25"/>
  <c r="AC87" i="25"/>
  <c r="AD87" i="25"/>
  <c r="AE87" i="25"/>
  <c r="AF87" i="25"/>
  <c r="AG87" i="25"/>
  <c r="AH87" i="25"/>
  <c r="AI87" i="25"/>
  <c r="AJ87" i="25"/>
  <c r="AK87" i="25"/>
  <c r="AL87" i="25"/>
  <c r="AM87" i="25"/>
  <c r="AN87" i="25"/>
  <c r="AO87" i="25"/>
  <c r="AP87" i="25"/>
  <c r="AQ87" i="25"/>
  <c r="AR87" i="25"/>
  <c r="AS87" i="25"/>
  <c r="AT87" i="25"/>
  <c r="AU87" i="25"/>
  <c r="AV87" i="25"/>
  <c r="U88" i="25"/>
  <c r="V88" i="25"/>
  <c r="W88" i="25"/>
  <c r="X88" i="25"/>
  <c r="Y88" i="25"/>
  <c r="Z88" i="25"/>
  <c r="AA88" i="25"/>
  <c r="AB88" i="25"/>
  <c r="AC88" i="25"/>
  <c r="AD88" i="25"/>
  <c r="AE88" i="25"/>
  <c r="AF88" i="25"/>
  <c r="AG88" i="25"/>
  <c r="AH88" i="25"/>
  <c r="AI88" i="25"/>
  <c r="AJ88" i="25"/>
  <c r="AK88" i="25"/>
  <c r="AL88" i="25"/>
  <c r="AM88" i="25"/>
  <c r="AN88" i="25"/>
  <c r="AO88" i="25"/>
  <c r="AP88" i="25"/>
  <c r="AQ88" i="25"/>
  <c r="AR88" i="25"/>
  <c r="AS88" i="25"/>
  <c r="AT88" i="25"/>
  <c r="AU88" i="25"/>
  <c r="AV88" i="25"/>
  <c r="U89" i="25"/>
  <c r="V89" i="25"/>
  <c r="W89" i="25"/>
  <c r="X89" i="25"/>
  <c r="Y89" i="25"/>
  <c r="Z89" i="25"/>
  <c r="AA89" i="25"/>
  <c r="AB89" i="25"/>
  <c r="AC89" i="25"/>
  <c r="AD89" i="25"/>
  <c r="AE89" i="25"/>
  <c r="AF89" i="25"/>
  <c r="AG89" i="25"/>
  <c r="AH89" i="25"/>
  <c r="AI89" i="25"/>
  <c r="AJ89" i="25"/>
  <c r="AK89" i="25"/>
  <c r="AL89" i="25"/>
  <c r="AM89" i="25"/>
  <c r="AN89" i="25"/>
  <c r="AO89" i="25"/>
  <c r="AP89" i="25"/>
  <c r="AQ89" i="25"/>
  <c r="AR89" i="25"/>
  <c r="AS89" i="25"/>
  <c r="AT89" i="25"/>
  <c r="AU89" i="25"/>
  <c r="AV89" i="25"/>
  <c r="U90" i="25"/>
  <c r="V90" i="25"/>
  <c r="W90" i="25"/>
  <c r="X90" i="25"/>
  <c r="Y90" i="25"/>
  <c r="Z90" i="25"/>
  <c r="AA90" i="25"/>
  <c r="AB90" i="25"/>
  <c r="AC90" i="25"/>
  <c r="AD90" i="25"/>
  <c r="AE90" i="25"/>
  <c r="AF90" i="25"/>
  <c r="AG90" i="25"/>
  <c r="AH90" i="25"/>
  <c r="AI90" i="25"/>
  <c r="AJ90" i="25"/>
  <c r="AK90" i="25"/>
  <c r="AL90" i="25"/>
  <c r="AM90" i="25"/>
  <c r="AN90" i="25"/>
  <c r="AO90" i="25"/>
  <c r="AP90" i="25"/>
  <c r="AQ90" i="25"/>
  <c r="AR90" i="25"/>
  <c r="AS90" i="25"/>
  <c r="AT90" i="25"/>
  <c r="AU90" i="25"/>
  <c r="AV90" i="25"/>
  <c r="U91" i="25"/>
  <c r="H166" i="29" s="1"/>
  <c r="V91" i="25"/>
  <c r="I166" i="29" s="1"/>
  <c r="W91" i="25"/>
  <c r="J166" i="29" s="1"/>
  <c r="X91" i="25"/>
  <c r="K166" i="29" s="1"/>
  <c r="Y91" i="25"/>
  <c r="L166" i="29" s="1"/>
  <c r="Z91" i="25"/>
  <c r="M166" i="29" s="1"/>
  <c r="AA91" i="25"/>
  <c r="N166" i="29" s="1"/>
  <c r="AB91" i="25"/>
  <c r="O166" i="29" s="1"/>
  <c r="AC91" i="25"/>
  <c r="P166" i="29" s="1"/>
  <c r="AD91" i="25"/>
  <c r="Q166" i="29" s="1"/>
  <c r="AE91" i="25"/>
  <c r="R166" i="29" s="1"/>
  <c r="AF91" i="25"/>
  <c r="S166" i="29" s="1"/>
  <c r="AG91" i="25"/>
  <c r="T166" i="29" s="1"/>
  <c r="AH91" i="25"/>
  <c r="U166" i="29" s="1"/>
  <c r="AI91" i="25"/>
  <c r="V166" i="29" s="1"/>
  <c r="AJ91" i="25"/>
  <c r="W166" i="29" s="1"/>
  <c r="AK91" i="25"/>
  <c r="X166" i="29" s="1"/>
  <c r="AL91" i="25"/>
  <c r="Y166" i="29" s="1"/>
  <c r="AM91" i="25"/>
  <c r="Z166" i="29" s="1"/>
  <c r="AN91" i="25"/>
  <c r="AA166" i="29" s="1"/>
  <c r="AO91" i="25"/>
  <c r="AB166" i="29" s="1"/>
  <c r="AP91" i="25"/>
  <c r="AC166" i="29" s="1"/>
  <c r="AQ91" i="25"/>
  <c r="AD166" i="29" s="1"/>
  <c r="AR91" i="25"/>
  <c r="AE166" i="29" s="1"/>
  <c r="AS91" i="25"/>
  <c r="AF166" i="29" s="1"/>
  <c r="AT91" i="25"/>
  <c r="AG166" i="29" s="1"/>
  <c r="AU91" i="25"/>
  <c r="AH166" i="29" s="1"/>
  <c r="AV91" i="25"/>
  <c r="AI166" i="29" s="1"/>
  <c r="U92" i="25"/>
  <c r="V92" i="25"/>
  <c r="W92" i="25"/>
  <c r="X92" i="25"/>
  <c r="Y92" i="25"/>
  <c r="Z92" i="25"/>
  <c r="AA92" i="25"/>
  <c r="AB92" i="25"/>
  <c r="AC92" i="25"/>
  <c r="AD92" i="25"/>
  <c r="AE92" i="25"/>
  <c r="AF92" i="25"/>
  <c r="AG92" i="25"/>
  <c r="AH92" i="25"/>
  <c r="AI92" i="25"/>
  <c r="AJ92" i="25"/>
  <c r="AK92" i="25"/>
  <c r="AL92" i="25"/>
  <c r="AM92" i="25"/>
  <c r="AN92" i="25"/>
  <c r="AO92" i="25"/>
  <c r="AP92" i="25"/>
  <c r="AQ92" i="25"/>
  <c r="AR92" i="25"/>
  <c r="AS92" i="25"/>
  <c r="AT92" i="25"/>
  <c r="AU92" i="25"/>
  <c r="AV92" i="25"/>
  <c r="U93" i="25"/>
  <c r="V93" i="25"/>
  <c r="W93" i="25"/>
  <c r="X93" i="25"/>
  <c r="Y93" i="25"/>
  <c r="Z93" i="25"/>
  <c r="AA93" i="25"/>
  <c r="AB93" i="25"/>
  <c r="AC93" i="25"/>
  <c r="AD93" i="25"/>
  <c r="AE93" i="25"/>
  <c r="AF93" i="25"/>
  <c r="AG93" i="25"/>
  <c r="AH93" i="25"/>
  <c r="AI93" i="25"/>
  <c r="AJ93" i="25"/>
  <c r="AK93" i="25"/>
  <c r="AL93" i="25"/>
  <c r="AM93" i="25"/>
  <c r="AN93" i="25"/>
  <c r="AO93" i="25"/>
  <c r="AP93" i="25"/>
  <c r="AQ93" i="25"/>
  <c r="AR93" i="25"/>
  <c r="AS93" i="25"/>
  <c r="AT93" i="25"/>
  <c r="AU93" i="25"/>
  <c r="AV93" i="25"/>
  <c r="U94" i="25"/>
  <c r="V94" i="25"/>
  <c r="W94" i="25"/>
  <c r="X94" i="25"/>
  <c r="Y94" i="25"/>
  <c r="Z94" i="25"/>
  <c r="AA94" i="25"/>
  <c r="AB94" i="25"/>
  <c r="AC94" i="25"/>
  <c r="AD94" i="25"/>
  <c r="AE94" i="25"/>
  <c r="AF94" i="25"/>
  <c r="AG94" i="25"/>
  <c r="AH94" i="25"/>
  <c r="AI94" i="25"/>
  <c r="AJ94" i="25"/>
  <c r="AK94" i="25"/>
  <c r="AL94" i="25"/>
  <c r="AM94" i="25"/>
  <c r="AN94" i="25"/>
  <c r="AO94" i="25"/>
  <c r="AP94" i="25"/>
  <c r="AQ94" i="25"/>
  <c r="AR94" i="25"/>
  <c r="AS94" i="25"/>
  <c r="AT94" i="25"/>
  <c r="AU94" i="25"/>
  <c r="AV94" i="25"/>
  <c r="U95" i="25"/>
  <c r="V95" i="25"/>
  <c r="W95" i="25"/>
  <c r="X95" i="25"/>
  <c r="Y95" i="25"/>
  <c r="Z95" i="25"/>
  <c r="AA95" i="25"/>
  <c r="AB95" i="25"/>
  <c r="AC95" i="25"/>
  <c r="AD95" i="25"/>
  <c r="AE95" i="25"/>
  <c r="AF95" i="25"/>
  <c r="AG95" i="25"/>
  <c r="AH95" i="25"/>
  <c r="AI95" i="25"/>
  <c r="AJ95" i="25"/>
  <c r="AK95" i="25"/>
  <c r="AL95" i="25"/>
  <c r="AM95" i="25"/>
  <c r="AN95" i="25"/>
  <c r="AO95" i="25"/>
  <c r="AP95" i="25"/>
  <c r="AQ95" i="25"/>
  <c r="AR95" i="25"/>
  <c r="AS95" i="25"/>
  <c r="AT95" i="25"/>
  <c r="AU95" i="25"/>
  <c r="AV95" i="25"/>
  <c r="U96" i="25"/>
  <c r="V96" i="25"/>
  <c r="W96" i="25"/>
  <c r="X96" i="25"/>
  <c r="Y96" i="25"/>
  <c r="Z96" i="25"/>
  <c r="AA96" i="25"/>
  <c r="AB96" i="25"/>
  <c r="AC96" i="25"/>
  <c r="AD96" i="25"/>
  <c r="AE96" i="25"/>
  <c r="AF96" i="25"/>
  <c r="AG96" i="25"/>
  <c r="AH96" i="25"/>
  <c r="AI96" i="25"/>
  <c r="AJ96" i="25"/>
  <c r="AK96" i="25"/>
  <c r="AL96" i="25"/>
  <c r="AM96" i="25"/>
  <c r="AN96" i="25"/>
  <c r="AO96" i="25"/>
  <c r="AP96" i="25"/>
  <c r="AQ96" i="25"/>
  <c r="AR96" i="25"/>
  <c r="AS96" i="25"/>
  <c r="AT96" i="25"/>
  <c r="AU96" i="25"/>
  <c r="AV96" i="25"/>
  <c r="U97" i="25"/>
  <c r="V97" i="25"/>
  <c r="W97" i="25"/>
  <c r="X97" i="25"/>
  <c r="Y97" i="25"/>
  <c r="Z97" i="25"/>
  <c r="AA97" i="25"/>
  <c r="AB97" i="25"/>
  <c r="AC97" i="25"/>
  <c r="AD97" i="25"/>
  <c r="AE97" i="25"/>
  <c r="AF97" i="25"/>
  <c r="AG97" i="25"/>
  <c r="AH97" i="25"/>
  <c r="AI97" i="25"/>
  <c r="AJ97" i="25"/>
  <c r="AK97" i="25"/>
  <c r="AL97" i="25"/>
  <c r="AM97" i="25"/>
  <c r="AN97" i="25"/>
  <c r="AO97" i="25"/>
  <c r="AP97" i="25"/>
  <c r="AQ97" i="25"/>
  <c r="AR97" i="25"/>
  <c r="AS97" i="25"/>
  <c r="AT97" i="25"/>
  <c r="AU97" i="25"/>
  <c r="AV97" i="25"/>
  <c r="U98" i="25"/>
  <c r="V98" i="25"/>
  <c r="W98" i="25"/>
  <c r="X98" i="25"/>
  <c r="Y98" i="25"/>
  <c r="Z98" i="25"/>
  <c r="AA98" i="25"/>
  <c r="AB98" i="25"/>
  <c r="AC98" i="25"/>
  <c r="AD98" i="25"/>
  <c r="AE98" i="25"/>
  <c r="AF98" i="25"/>
  <c r="AG98" i="25"/>
  <c r="AH98" i="25"/>
  <c r="AI98" i="25"/>
  <c r="AJ98" i="25"/>
  <c r="AK98" i="25"/>
  <c r="AL98" i="25"/>
  <c r="AM98" i="25"/>
  <c r="AN98" i="25"/>
  <c r="AO98" i="25"/>
  <c r="AP98" i="25"/>
  <c r="AQ98" i="25"/>
  <c r="AR98" i="25"/>
  <c r="AS98" i="25"/>
  <c r="AT98" i="25"/>
  <c r="AU98" i="25"/>
  <c r="AV98" i="25"/>
  <c r="T96" i="25"/>
  <c r="T97" i="25"/>
  <c r="T98" i="25"/>
  <c r="T95" i="25"/>
  <c r="T92" i="25"/>
  <c r="T93" i="25"/>
  <c r="T94" i="25"/>
  <c r="T91" i="25"/>
  <c r="G166" i="29" s="1"/>
  <c r="T88" i="25"/>
  <c r="T89" i="25"/>
  <c r="T90" i="25"/>
  <c r="T87" i="25"/>
  <c r="T84" i="25"/>
  <c r="T85" i="25"/>
  <c r="T86" i="25"/>
  <c r="T83" i="25"/>
  <c r="T80" i="25"/>
  <c r="T81" i="25"/>
  <c r="T82" i="25"/>
  <c r="T79" i="25"/>
  <c r="T76" i="25"/>
  <c r="T77" i="25"/>
  <c r="T78" i="25"/>
  <c r="T75" i="25"/>
  <c r="H60" i="29" a="1"/>
  <c r="H60" i="29" s="1"/>
  <c r="I60" i="29" a="1"/>
  <c r="I60" i="29" s="1"/>
  <c r="J60" i="29" a="1"/>
  <c r="J60" i="29" s="1"/>
  <c r="K60" i="29" a="1"/>
  <c r="K60" i="29" s="1"/>
  <c r="L60" i="29" a="1"/>
  <c r="L60" i="29" s="1"/>
  <c r="M60" i="29" a="1"/>
  <c r="M60" i="29" s="1"/>
  <c r="N60" i="29" a="1"/>
  <c r="N60" i="29" s="1"/>
  <c r="O60" i="29" a="1"/>
  <c r="O60" i="29" s="1"/>
  <c r="P60" i="29" a="1"/>
  <c r="P60" i="29" s="1"/>
  <c r="Q60" i="29" a="1"/>
  <c r="Q60" i="29" s="1"/>
  <c r="R60" i="29" a="1"/>
  <c r="R60" i="29" s="1"/>
  <c r="S60" i="29" a="1"/>
  <c r="S60" i="29" s="1"/>
  <c r="T60" i="29" a="1"/>
  <c r="T60" i="29" s="1"/>
  <c r="U60" i="29" a="1"/>
  <c r="U60" i="29" s="1"/>
  <c r="V60" i="29" a="1"/>
  <c r="V60" i="29" s="1"/>
  <c r="W60" i="29" a="1"/>
  <c r="W60" i="29" s="1"/>
  <c r="X60" i="29" a="1"/>
  <c r="X60" i="29" s="1"/>
  <c r="Y60" i="29" a="1"/>
  <c r="Y60" i="29" s="1"/>
  <c r="Z60" i="29" a="1"/>
  <c r="Z60" i="29" s="1"/>
  <c r="AA60" i="29" a="1"/>
  <c r="AA60" i="29" s="1"/>
  <c r="AB60" i="29" a="1"/>
  <c r="AB60" i="29" s="1"/>
  <c r="AC60" i="29" a="1"/>
  <c r="AC60" i="29" s="1"/>
  <c r="AD60" i="29" a="1"/>
  <c r="AD60" i="29" s="1"/>
  <c r="AE60" i="29" a="1"/>
  <c r="AE60" i="29" s="1"/>
  <c r="AF60" i="29" a="1"/>
  <c r="AF60" i="29" s="1"/>
  <c r="AG60" i="29" a="1"/>
  <c r="AG60" i="29" s="1"/>
  <c r="AH60" i="29" a="1"/>
  <c r="AH60" i="29" s="1"/>
  <c r="AI60" i="29" a="1"/>
  <c r="AI60" i="29" s="1"/>
  <c r="G60" i="29" a="1"/>
  <c r="G60" i="29" s="1"/>
  <c r="D61" i="29" s="1"/>
  <c r="H53" i="29" a="1"/>
  <c r="H53" i="29" s="1"/>
  <c r="I53" i="29" a="1"/>
  <c r="I53" i="29" s="1"/>
  <c r="J53" i="29" a="1"/>
  <c r="J53" i="29" s="1"/>
  <c r="K53" i="29" a="1"/>
  <c r="K53" i="29" s="1"/>
  <c r="L53" i="29" a="1"/>
  <c r="L53" i="29" s="1"/>
  <c r="M53" i="29" a="1"/>
  <c r="M53" i="29" s="1"/>
  <c r="N53" i="29" a="1"/>
  <c r="N53" i="29" s="1"/>
  <c r="O53" i="29" a="1"/>
  <c r="O53" i="29" s="1"/>
  <c r="P53" i="29" a="1"/>
  <c r="P53" i="29" s="1"/>
  <c r="Q53" i="29" a="1"/>
  <c r="Q53" i="29" s="1"/>
  <c r="R53" i="29" a="1"/>
  <c r="R53" i="29" s="1"/>
  <c r="S53" i="29" a="1"/>
  <c r="S53" i="29" s="1"/>
  <c r="T53" i="29" a="1"/>
  <c r="T53" i="29" s="1"/>
  <c r="U53" i="29" a="1"/>
  <c r="U53" i="29" s="1"/>
  <c r="V53" i="29" a="1"/>
  <c r="V53" i="29" s="1"/>
  <c r="W53" i="29" a="1"/>
  <c r="W53" i="29" s="1"/>
  <c r="X53" i="29" a="1"/>
  <c r="X53" i="29" s="1"/>
  <c r="Y53" i="29" a="1"/>
  <c r="Y53" i="29" s="1"/>
  <c r="Z53" i="29" a="1"/>
  <c r="Z53" i="29" s="1"/>
  <c r="AA53" i="29" a="1"/>
  <c r="AA53" i="29" s="1"/>
  <c r="AB53" i="29" a="1"/>
  <c r="AB53" i="29" s="1"/>
  <c r="AC53" i="29" a="1"/>
  <c r="AC53" i="29" s="1"/>
  <c r="AD53" i="29" a="1"/>
  <c r="AD53" i="29" s="1"/>
  <c r="AE53" i="29" a="1"/>
  <c r="AE53" i="29" s="1"/>
  <c r="AF53" i="29" a="1"/>
  <c r="AF53" i="29" s="1"/>
  <c r="AG53" i="29" a="1"/>
  <c r="AG53" i="29" s="1"/>
  <c r="AH53" i="29" a="1"/>
  <c r="AH53" i="29" s="1"/>
  <c r="AI53" i="29" a="1"/>
  <c r="AI53" i="29" s="1"/>
  <c r="G53" i="29" a="1"/>
  <c r="G53" i="29" s="1"/>
  <c r="X136" i="34"/>
  <c r="Y136" i="34"/>
  <c r="Z136" i="34"/>
  <c r="X184" i="1"/>
  <c r="Y184" i="1"/>
  <c r="Z184" i="1"/>
  <c r="X185" i="1"/>
  <c r="Y185" i="1"/>
  <c r="Z185" i="1"/>
  <c r="X182" i="1"/>
  <c r="Y182" i="1"/>
  <c r="Z182" i="1"/>
  <c r="X183" i="1"/>
  <c r="Y183" i="1"/>
  <c r="Z183" i="1"/>
  <c r="B34" i="34"/>
  <c r="J96" i="29" l="1"/>
  <c r="J165" i="29" s="1"/>
  <c r="J103" i="29"/>
  <c r="J170" i="29" s="1"/>
  <c r="AG96" i="29"/>
  <c r="AG165" i="29" s="1"/>
  <c r="AG103" i="29"/>
  <c r="AG170" i="29" s="1"/>
  <c r="U96" i="29"/>
  <c r="U165" i="29" s="1"/>
  <c r="U103" i="29"/>
  <c r="U170" i="29" s="1"/>
  <c r="I96" i="29"/>
  <c r="I103" i="29"/>
  <c r="I170" i="29" s="1"/>
  <c r="AF96" i="29"/>
  <c r="AF165" i="29" s="1"/>
  <c r="AF103" i="29"/>
  <c r="AF170" i="29" s="1"/>
  <c r="T96" i="29"/>
  <c r="T165" i="29" s="1"/>
  <c r="T103" i="29"/>
  <c r="T170" i="29" s="1"/>
  <c r="H96" i="29"/>
  <c r="H103" i="29"/>
  <c r="H170" i="29" s="1"/>
  <c r="V96" i="29"/>
  <c r="V165" i="29" s="1"/>
  <c r="V103" i="29"/>
  <c r="V170" i="29" s="1"/>
  <c r="AE96" i="29"/>
  <c r="AE165" i="29" s="1"/>
  <c r="AE103" i="29"/>
  <c r="AE170" i="29" s="1"/>
  <c r="S96" i="29"/>
  <c r="S103" i="29"/>
  <c r="S170" i="29" s="1"/>
  <c r="AI96" i="29"/>
  <c r="AI165" i="29" s="1"/>
  <c r="AI103" i="29"/>
  <c r="AI170" i="29" s="1"/>
  <c r="W96" i="29"/>
  <c r="W165" i="29" s="1"/>
  <c r="W103" i="29"/>
  <c r="W170" i="29" s="1"/>
  <c r="AC96" i="29"/>
  <c r="AC165" i="29" s="1"/>
  <c r="AC103" i="29"/>
  <c r="AC170" i="29" s="1"/>
  <c r="Q96" i="29"/>
  <c r="Q103" i="29"/>
  <c r="Q170" i="29" s="1"/>
  <c r="AH96" i="29"/>
  <c r="AH165" i="29" s="1"/>
  <c r="AH103" i="29"/>
  <c r="AH170" i="29" s="1"/>
  <c r="AB96" i="29"/>
  <c r="AB165" i="29" s="1"/>
  <c r="AB103" i="29"/>
  <c r="AB170" i="29" s="1"/>
  <c r="P96" i="29"/>
  <c r="P103" i="29"/>
  <c r="P170" i="29" s="1"/>
  <c r="AD96" i="29"/>
  <c r="AD165" i="29" s="1"/>
  <c r="AD103" i="29"/>
  <c r="AD170" i="29" s="1"/>
  <c r="AA96" i="29"/>
  <c r="AA165" i="29" s="1"/>
  <c r="AA103" i="29"/>
  <c r="AA170" i="29" s="1"/>
  <c r="O96" i="29"/>
  <c r="O103" i="29"/>
  <c r="O170" i="29" s="1"/>
  <c r="Z96" i="29"/>
  <c r="Z165" i="29" s="1"/>
  <c r="Z103" i="29"/>
  <c r="Z170" i="29" s="1"/>
  <c r="N96" i="29"/>
  <c r="N103" i="29"/>
  <c r="N170" i="29" s="1"/>
  <c r="R96" i="29"/>
  <c r="R103" i="29"/>
  <c r="Y96" i="29"/>
  <c r="Y165" i="29" s="1"/>
  <c r="Y103" i="29"/>
  <c r="Y170" i="29" s="1"/>
  <c r="M96" i="29"/>
  <c r="M103" i="29"/>
  <c r="M170" i="29" s="1"/>
  <c r="K96" i="29"/>
  <c r="K103" i="29"/>
  <c r="K170" i="29" s="1"/>
  <c r="G96" i="29"/>
  <c r="G165" i="29" s="1"/>
  <c r="G103" i="29"/>
  <c r="G170" i="29" s="1"/>
  <c r="X96" i="29"/>
  <c r="X165" i="29" s="1"/>
  <c r="X103" i="29"/>
  <c r="X170" i="29" s="1"/>
  <c r="L96" i="29"/>
  <c r="L103" i="29"/>
  <c r="L170" i="29" s="1"/>
  <c r="AC89" i="29"/>
  <c r="AC160" i="29" s="1"/>
  <c r="I89" i="29"/>
  <c r="I160" i="29" s="1"/>
  <c r="Q89" i="29"/>
  <c r="Q160" i="29" s="1"/>
  <c r="AB89" i="29"/>
  <c r="AB160" i="29" s="1"/>
  <c r="P89" i="29"/>
  <c r="P160" i="29" s="1"/>
  <c r="AI89" i="29"/>
  <c r="AI160" i="29" s="1"/>
  <c r="AF89" i="29"/>
  <c r="AF160" i="29" s="1"/>
  <c r="S89" i="29"/>
  <c r="S160" i="29" s="1"/>
  <c r="R89" i="29"/>
  <c r="R160" i="29" s="1"/>
  <c r="O89" i="29"/>
  <c r="O160" i="29" s="1"/>
  <c r="J89" i="29"/>
  <c r="J160" i="29" s="1"/>
  <c r="N89" i="29"/>
  <c r="N160" i="29" s="1"/>
  <c r="K89" i="29"/>
  <c r="K160" i="29" s="1"/>
  <c r="H89" i="29"/>
  <c r="H160" i="29" s="1"/>
  <c r="Y89" i="29"/>
  <c r="Y160" i="29" s="1"/>
  <c r="M89" i="29"/>
  <c r="M160" i="29" s="1"/>
  <c r="W89" i="29"/>
  <c r="W160" i="29" s="1"/>
  <c r="X89" i="29"/>
  <c r="X160" i="29" s="1"/>
  <c r="L89" i="29"/>
  <c r="L160" i="29" s="1"/>
  <c r="Z89" i="29"/>
  <c r="Z160" i="29" s="1"/>
  <c r="U89" i="29"/>
  <c r="U160" i="29" s="1"/>
  <c r="AG89" i="29"/>
  <c r="AG160" i="29" s="1"/>
  <c r="V89" i="29"/>
  <c r="V160" i="29" s="1"/>
  <c r="AH89" i="29"/>
  <c r="AH160" i="29" s="1"/>
  <c r="AA89" i="29"/>
  <c r="AA160" i="29" s="1"/>
  <c r="G89" i="29"/>
  <c r="G160" i="29" s="1"/>
  <c r="AE89" i="29"/>
  <c r="AE160" i="29" s="1"/>
  <c r="AD89" i="29"/>
  <c r="AD160" i="29" s="1"/>
  <c r="T89" i="29"/>
  <c r="T160" i="29" s="1"/>
  <c r="A76" i="29"/>
  <c r="A49" i="29"/>
  <c r="A30" i="29"/>
  <c r="A75" i="29"/>
  <c r="D82" i="29"/>
  <c r="D104" i="29" l="1"/>
  <c r="R170" i="29"/>
  <c r="D90" i="29"/>
  <c r="F35" i="34" s="1"/>
  <c r="I165" i="29"/>
  <c r="H165" i="29"/>
  <c r="S165" i="29"/>
  <c r="Q165" i="29"/>
  <c r="P165" i="29"/>
  <c r="O165" i="29"/>
  <c r="N165" i="29"/>
  <c r="M165" i="29"/>
  <c r="L165" i="29"/>
  <c r="K165" i="29"/>
  <c r="J135" i="34"/>
  <c r="J139" i="34" s="1"/>
  <c r="J181" i="1"/>
  <c r="G71" i="29"/>
  <c r="G150" i="29" s="1"/>
  <c r="H71" i="29"/>
  <c r="H150" i="29" s="1"/>
  <c r="I71" i="29"/>
  <c r="I150" i="29" s="1"/>
  <c r="J71" i="29"/>
  <c r="J150" i="29" s="1"/>
  <c r="K71" i="29"/>
  <c r="K150" i="29" s="1"/>
  <c r="L71" i="29"/>
  <c r="L150" i="29" s="1"/>
  <c r="M71" i="29"/>
  <c r="M150" i="29" s="1"/>
  <c r="N71" i="29"/>
  <c r="N150" i="29" s="1"/>
  <c r="O71" i="29"/>
  <c r="O150" i="29" s="1"/>
  <c r="P71" i="29"/>
  <c r="P150" i="29" s="1"/>
  <c r="Q71" i="29"/>
  <c r="Q150" i="29" s="1"/>
  <c r="R71" i="29"/>
  <c r="S71" i="29"/>
  <c r="S150" i="29" s="1"/>
  <c r="T71" i="29"/>
  <c r="T150" i="29" s="1"/>
  <c r="U71" i="29"/>
  <c r="U150" i="29" s="1"/>
  <c r="V71" i="29"/>
  <c r="V150" i="29" s="1"/>
  <c r="W71" i="29"/>
  <c r="W150" i="29" s="1"/>
  <c r="X71" i="29"/>
  <c r="X150" i="29" s="1"/>
  <c r="Y71" i="29"/>
  <c r="Y150" i="29" s="1"/>
  <c r="Z71" i="29"/>
  <c r="Z150" i="29" s="1"/>
  <c r="AA71" i="29"/>
  <c r="AA150" i="29" s="1"/>
  <c r="AB71" i="29"/>
  <c r="AB150" i="29" s="1"/>
  <c r="AC71" i="29"/>
  <c r="AC150" i="29" s="1"/>
  <c r="AD71" i="29"/>
  <c r="AD150" i="29" s="1"/>
  <c r="AE71" i="29"/>
  <c r="AE150" i="29" s="1"/>
  <c r="AF71" i="29"/>
  <c r="AF150" i="29" s="1"/>
  <c r="AG71" i="29"/>
  <c r="AG150" i="29" s="1"/>
  <c r="AH71" i="29"/>
  <c r="AH150" i="29" s="1"/>
  <c r="AI71" i="29"/>
  <c r="AI150" i="29" s="1"/>
  <c r="F81" i="1"/>
  <c r="D81" i="1"/>
  <c r="Z155" i="35"/>
  <c r="Y155" i="35"/>
  <c r="X155" i="35"/>
  <c r="H155" i="35"/>
  <c r="G155" i="35"/>
  <c r="H154" i="35"/>
  <c r="G154" i="35"/>
  <c r="Z152" i="35"/>
  <c r="Y152" i="35"/>
  <c r="X152" i="35"/>
  <c r="G152" i="35"/>
  <c r="Z151" i="35"/>
  <c r="Y151" i="35"/>
  <c r="X151" i="35"/>
  <c r="G151" i="35"/>
  <c r="Z148" i="35"/>
  <c r="Y148" i="35"/>
  <c r="X148" i="35"/>
  <c r="F148" i="35"/>
  <c r="Z147" i="35"/>
  <c r="Y147" i="35"/>
  <c r="X147" i="35"/>
  <c r="J146" i="35"/>
  <c r="D122" i="35"/>
  <c r="D121" i="35"/>
  <c r="F120" i="35"/>
  <c r="D120" i="35"/>
  <c r="B118" i="35"/>
  <c r="D154" i="35" s="1"/>
  <c r="F115" i="35"/>
  <c r="D113" i="35"/>
  <c r="D112" i="35"/>
  <c r="C112" i="35"/>
  <c r="F111" i="35"/>
  <c r="E111" i="35"/>
  <c r="C111" i="35"/>
  <c r="F110" i="35"/>
  <c r="D82" i="35"/>
  <c r="D81" i="35"/>
  <c r="F80" i="35"/>
  <c r="D80" i="35"/>
  <c r="B78" i="35"/>
  <c r="D151" i="35" s="1"/>
  <c r="F75" i="35"/>
  <c r="D74" i="35"/>
  <c r="D114" i="35" s="1"/>
  <c r="D73" i="35"/>
  <c r="D72" i="35"/>
  <c r="C72" i="35"/>
  <c r="F71" i="35"/>
  <c r="E71" i="35"/>
  <c r="C71" i="35"/>
  <c r="F70" i="35"/>
  <c r="B37" i="35"/>
  <c r="F149" i="35" s="1"/>
  <c r="F35" i="35"/>
  <c r="D35" i="35"/>
  <c r="B35" i="35"/>
  <c r="F34" i="35"/>
  <c r="F37" i="35" s="1"/>
  <c r="J37" i="35" s="1"/>
  <c r="D34" i="35"/>
  <c r="B34" i="35"/>
  <c r="F147" i="35" s="1"/>
  <c r="H33" i="35"/>
  <c r="F33" i="35"/>
  <c r="D33" i="35"/>
  <c r="F29" i="35"/>
  <c r="E29" i="35"/>
  <c r="C29" i="35"/>
  <c r="F28" i="35"/>
  <c r="E28" i="35"/>
  <c r="C28" i="35"/>
  <c r="E27" i="35"/>
  <c r="C27" i="35"/>
  <c r="C26" i="35"/>
  <c r="E25" i="35"/>
  <c r="C25" i="35"/>
  <c r="E24" i="35"/>
  <c r="C24" i="35"/>
  <c r="E23" i="35"/>
  <c r="C23" i="35"/>
  <c r="D3" i="35"/>
  <c r="H35" i="34" l="1"/>
  <c r="D38" i="34" s="1" a="1"/>
  <c r="D38" i="34" s="1"/>
  <c r="J138" i="34"/>
  <c r="J137" i="34"/>
  <c r="F110" i="34"/>
  <c r="D112" i="34" s="1" a="1"/>
  <c r="D112" i="34" s="1"/>
  <c r="D172" i="29"/>
  <c r="D162" i="29"/>
  <c r="R165" i="29"/>
  <c r="D97" i="29"/>
  <c r="J186" i="1"/>
  <c r="D72" i="29"/>
  <c r="D152" i="29" s="1"/>
  <c r="R150" i="29"/>
  <c r="Z149" i="35"/>
  <c r="Z154" i="35" s="1"/>
  <c r="Y149" i="35"/>
  <c r="Y154" i="35" s="1"/>
  <c r="X149" i="35"/>
  <c r="X154" i="35" s="1"/>
  <c r="K146" i="35"/>
  <c r="D37" i="35"/>
  <c r="S156" i="29"/>
  <c r="R156" i="29"/>
  <c r="Q156" i="29"/>
  <c r="P156" i="29"/>
  <c r="O156" i="29"/>
  <c r="N156" i="29"/>
  <c r="M156" i="29"/>
  <c r="L156" i="29"/>
  <c r="K156" i="29"/>
  <c r="J156" i="29"/>
  <c r="I156" i="29"/>
  <c r="H156" i="29"/>
  <c r="G136" i="34"/>
  <c r="E25" i="34"/>
  <c r="C25" i="34"/>
  <c r="D3" i="34"/>
  <c r="E31" i="31"/>
  <c r="H110" i="34" l="1"/>
  <c r="F72" i="34"/>
  <c r="D74" i="34" s="1" a="1"/>
  <c r="D74" i="34" s="1"/>
  <c r="F158" i="1"/>
  <c r="AG156" i="29"/>
  <c r="AG83" i="29"/>
  <c r="AG155" i="29" s="1"/>
  <c r="AH156" i="29"/>
  <c r="AH83" i="29"/>
  <c r="AH155" i="29" s="1"/>
  <c r="AE156" i="29"/>
  <c r="AE83" i="29"/>
  <c r="AE155" i="29" s="1"/>
  <c r="AI156" i="29"/>
  <c r="AI83" i="29"/>
  <c r="AI155" i="29" s="1"/>
  <c r="Z156" i="29"/>
  <c r="Z83" i="29"/>
  <c r="Z155" i="29" s="1"/>
  <c r="AA156" i="29"/>
  <c r="AA83" i="29"/>
  <c r="AA155" i="29" s="1"/>
  <c r="AD156" i="29"/>
  <c r="AD83" i="29"/>
  <c r="AD155" i="29" s="1"/>
  <c r="AB156" i="29"/>
  <c r="AB83" i="29"/>
  <c r="AB155" i="29" s="1"/>
  <c r="AF156" i="29"/>
  <c r="AF83" i="29"/>
  <c r="AF155" i="29" s="1"/>
  <c r="AC156" i="29"/>
  <c r="AC83" i="29"/>
  <c r="AC155" i="29" s="1"/>
  <c r="W83" i="29"/>
  <c r="W155" i="29" s="1"/>
  <c r="W156" i="29"/>
  <c r="X83" i="29"/>
  <c r="X155" i="29" s="1"/>
  <c r="X156" i="29"/>
  <c r="V83" i="29"/>
  <c r="V155" i="29" s="1"/>
  <c r="V156" i="29"/>
  <c r="T83" i="29"/>
  <c r="T155" i="29" s="1"/>
  <c r="T156" i="29"/>
  <c r="D81" i="29"/>
  <c r="G156" i="29"/>
  <c r="U83" i="29"/>
  <c r="U155" i="29" s="1"/>
  <c r="U156" i="29"/>
  <c r="Y83" i="29"/>
  <c r="Y155" i="29" s="1"/>
  <c r="Y156" i="29"/>
  <c r="L146" i="35"/>
  <c r="K135" i="34"/>
  <c r="D34" i="34"/>
  <c r="S83" i="29" l="1"/>
  <c r="S155" i="29" s="1"/>
  <c r="G83" i="29"/>
  <c r="G155" i="29" s="1"/>
  <c r="J136" i="34" s="1"/>
  <c r="K137" i="34"/>
  <c r="K139" i="34"/>
  <c r="K138" i="34"/>
  <c r="H72" i="34"/>
  <c r="H158" i="1"/>
  <c r="D160" i="1" s="1" a="1"/>
  <c r="D160" i="1" s="1"/>
  <c r="R83" i="29"/>
  <c r="R155" i="29" s="1"/>
  <c r="Q83" i="29"/>
  <c r="Q155" i="29" s="1"/>
  <c r="P83" i="29"/>
  <c r="P155" i="29" s="1"/>
  <c r="O83" i="29"/>
  <c r="O155" i="29" s="1"/>
  <c r="N83" i="29"/>
  <c r="N155" i="29" s="1"/>
  <c r="M83" i="29"/>
  <c r="M155" i="29" s="1"/>
  <c r="L83" i="29"/>
  <c r="L155" i="29" s="1"/>
  <c r="K83" i="29"/>
  <c r="K155" i="29" s="1"/>
  <c r="J83" i="29"/>
  <c r="J155" i="29" s="1"/>
  <c r="I83" i="29"/>
  <c r="I155" i="29" s="1"/>
  <c r="H83" i="29"/>
  <c r="H155" i="29" s="1"/>
  <c r="K136" i="34" s="1"/>
  <c r="M146" i="35"/>
  <c r="L135" i="34"/>
  <c r="L137" i="34" l="1"/>
  <c r="L139" i="34"/>
  <c r="L138" i="34"/>
  <c r="L136" i="34"/>
  <c r="N146" i="35"/>
  <c r="M135" i="34"/>
  <c r="M137" i="34" l="1"/>
  <c r="M139" i="34"/>
  <c r="M138" i="34"/>
  <c r="M136" i="34"/>
  <c r="O146" i="35"/>
  <c r="N135" i="34"/>
  <c r="N137" i="34" l="1"/>
  <c r="N139" i="34"/>
  <c r="N138" i="34"/>
  <c r="N136" i="34"/>
  <c r="P146" i="35"/>
  <c r="O135" i="34"/>
  <c r="O137" i="34" l="1"/>
  <c r="O139" i="34"/>
  <c r="O138" i="34"/>
  <c r="O136" i="34"/>
  <c r="Q146" i="35"/>
  <c r="P135" i="34"/>
  <c r="P137" i="34" l="1"/>
  <c r="P139" i="34"/>
  <c r="P138" i="34"/>
  <c r="P136" i="34"/>
  <c r="R146" i="35"/>
  <c r="Q135" i="34"/>
  <c r="Q137" i="34" l="1"/>
  <c r="Q139" i="34"/>
  <c r="Q138" i="34"/>
  <c r="Q136" i="34"/>
  <c r="S146" i="35"/>
  <c r="R135" i="34"/>
  <c r="R137" i="34" l="1"/>
  <c r="R139" i="34"/>
  <c r="R138" i="34"/>
  <c r="R136" i="34"/>
  <c r="T146" i="35"/>
  <c r="S135" i="34"/>
  <c r="S137" i="34" l="1"/>
  <c r="S139" i="34"/>
  <c r="S138" i="34"/>
  <c r="S136" i="34"/>
  <c r="U146" i="35"/>
  <c r="T135" i="34"/>
  <c r="T137" i="34" l="1"/>
  <c r="T139" i="34"/>
  <c r="T138" i="34"/>
  <c r="T136" i="34"/>
  <c r="V146" i="35"/>
  <c r="U135" i="34"/>
  <c r="U137" i="34" l="1"/>
  <c r="U139" i="34"/>
  <c r="U138" i="34"/>
  <c r="U136" i="34"/>
  <c r="W146" i="35"/>
  <c r="V135" i="34"/>
  <c r="V137" i="34" l="1"/>
  <c r="V139" i="34"/>
  <c r="V138" i="34"/>
  <c r="V136" i="34"/>
  <c r="W135" i="34"/>
  <c r="W137" i="34" l="1"/>
  <c r="W138" i="34"/>
  <c r="W139" i="34"/>
  <c r="W136" i="34"/>
  <c r="C84" i="29"/>
  <c r="C83" i="29"/>
  <c r="C82" i="29"/>
  <c r="D54" i="29"/>
  <c r="B82" i="35" l="1"/>
  <c r="F152" i="35" s="1"/>
  <c r="F57" i="31"/>
  <c r="E57" i="31"/>
  <c r="E46" i="31"/>
  <c r="D46" i="31"/>
  <c r="D20" i="31"/>
  <c r="E20" i="31"/>
  <c r="F31" i="31"/>
  <c r="G31" i="31" s="1"/>
  <c r="K31" i="31" l="1"/>
  <c r="H31" i="31"/>
  <c r="I31" i="31"/>
  <c r="J31" i="31" s="1"/>
  <c r="L31" i="31" l="1"/>
  <c r="H185" i="1" l="1"/>
  <c r="G185" i="1"/>
  <c r="H184" i="1"/>
  <c r="G184" i="1"/>
  <c r="F30" i="1"/>
  <c r="F29" i="1"/>
  <c r="H146" i="29"/>
  <c r="I146" i="29"/>
  <c r="J146" i="29"/>
  <c r="K146" i="29"/>
  <c r="L146" i="29"/>
  <c r="M146" i="29"/>
  <c r="N146" i="29"/>
  <c r="O146" i="29"/>
  <c r="P146" i="29"/>
  <c r="Q146" i="29"/>
  <c r="R146" i="29"/>
  <c r="S146" i="29"/>
  <c r="T146" i="29"/>
  <c r="U146" i="29"/>
  <c r="V146" i="29"/>
  <c r="W146" i="29"/>
  <c r="X146" i="29"/>
  <c r="Y146" i="29"/>
  <c r="Z146" i="29"/>
  <c r="AA146" i="29"/>
  <c r="AB146" i="29"/>
  <c r="AC146" i="29"/>
  <c r="AD146" i="29"/>
  <c r="AE146" i="29"/>
  <c r="AF146" i="29"/>
  <c r="AG146" i="29"/>
  <c r="AH146" i="29"/>
  <c r="AI146" i="29"/>
  <c r="D62" i="29"/>
  <c r="A48" i="29"/>
  <c r="H141" i="29"/>
  <c r="I141" i="29"/>
  <c r="J141" i="29"/>
  <c r="K141" i="29"/>
  <c r="L141" i="29"/>
  <c r="M141" i="29"/>
  <c r="N141" i="29"/>
  <c r="O141" i="29"/>
  <c r="P141" i="29"/>
  <c r="Q141" i="29"/>
  <c r="R141" i="29"/>
  <c r="S141" i="29"/>
  <c r="T141" i="29"/>
  <c r="U141" i="29"/>
  <c r="V141" i="29"/>
  <c r="W141" i="29"/>
  <c r="X141" i="29"/>
  <c r="Y141" i="29"/>
  <c r="Z141" i="29"/>
  <c r="AA141" i="29"/>
  <c r="AB141" i="29"/>
  <c r="AC141" i="29"/>
  <c r="AD141" i="29"/>
  <c r="AE141" i="29"/>
  <c r="AF141" i="29"/>
  <c r="AG141" i="29"/>
  <c r="AH141" i="29"/>
  <c r="AI141" i="29"/>
  <c r="G141" i="29"/>
  <c r="C64" i="29"/>
  <c r="C63" i="29"/>
  <c r="C62" i="29"/>
  <c r="D55" i="29"/>
  <c r="B121" i="35" l="1"/>
  <c r="F154" i="35" s="1"/>
  <c r="B122" i="35"/>
  <c r="F155" i="35" s="1"/>
  <c r="B123" i="1"/>
  <c r="F185" i="1" s="1"/>
  <c r="B122" i="1"/>
  <c r="F184" i="1" s="1"/>
  <c r="G146" i="29"/>
  <c r="D3" i="1" l="1"/>
  <c r="F4" i="31" s="1"/>
  <c r="G3" i="14"/>
  <c r="D121" i="1" l="1"/>
  <c r="E113" i="1"/>
  <c r="C113" i="1"/>
  <c r="AB63" i="29"/>
  <c r="AA63" i="29"/>
  <c r="Z63" i="29"/>
  <c r="Y63" i="29"/>
  <c r="X63" i="29"/>
  <c r="AC63" i="29" l="1"/>
  <c r="AC145" i="29" s="1"/>
  <c r="AF63" i="29"/>
  <c r="AF145" i="29" s="1"/>
  <c r="T63" i="29"/>
  <c r="U63" i="29"/>
  <c r="AG63" i="29"/>
  <c r="AG145" i="29" s="1"/>
  <c r="AD63" i="29"/>
  <c r="AD145" i="29" s="1"/>
  <c r="G63" i="29"/>
  <c r="G145" i="29" s="1"/>
  <c r="AE63" i="29"/>
  <c r="AE145" i="29" s="1"/>
  <c r="V63" i="29"/>
  <c r="AH63" i="29"/>
  <c r="AH145" i="29" s="1"/>
  <c r="W63" i="29"/>
  <c r="AI63" i="29"/>
  <c r="AI145" i="29" s="1"/>
  <c r="L56" i="29"/>
  <c r="L140" i="29" s="1"/>
  <c r="H46" i="31"/>
  <c r="Z56" i="29"/>
  <c r="Z140" i="29" s="1"/>
  <c r="Z145" i="29"/>
  <c r="AA56" i="29"/>
  <c r="AA140" i="29" s="1"/>
  <c r="AA145" i="29"/>
  <c r="AD56" i="29"/>
  <c r="AD140" i="29" s="1"/>
  <c r="AI56" i="29"/>
  <c r="AI140" i="29" s="1"/>
  <c r="G56" i="29"/>
  <c r="G140" i="29" s="1"/>
  <c r="AE56" i="29"/>
  <c r="AE140" i="29" s="1"/>
  <c r="AB56" i="29"/>
  <c r="AB140" i="29" s="1"/>
  <c r="AB145" i="29"/>
  <c r="AC56" i="29"/>
  <c r="AC140" i="29" s="1"/>
  <c r="AF56" i="29"/>
  <c r="AF140" i="29" s="1"/>
  <c r="AG56" i="29"/>
  <c r="AG140" i="29" s="1"/>
  <c r="AH56" i="29"/>
  <c r="AH140" i="29" s="1"/>
  <c r="D122" i="1"/>
  <c r="G46" i="31" s="1"/>
  <c r="D83" i="1"/>
  <c r="H20" i="31" s="1"/>
  <c r="J155" i="35" l="1"/>
  <c r="I63" i="29"/>
  <c r="I145" i="29" s="1"/>
  <c r="J185" i="1" s="1"/>
  <c r="K63" i="29"/>
  <c r="K145" i="29" s="1"/>
  <c r="L63" i="29"/>
  <c r="L145" i="29" s="1"/>
  <c r="M63" i="29"/>
  <c r="M145" i="29" s="1"/>
  <c r="N63" i="29"/>
  <c r="N145" i="29" s="1"/>
  <c r="O63" i="29"/>
  <c r="O145" i="29" s="1"/>
  <c r="P63" i="29"/>
  <c r="P145" i="29" s="1"/>
  <c r="Q63" i="29"/>
  <c r="Q145" i="29" s="1"/>
  <c r="R63" i="29"/>
  <c r="R145" i="29" s="1"/>
  <c r="S63" i="29"/>
  <c r="S145" i="29" s="1"/>
  <c r="H63" i="29"/>
  <c r="H145" i="29" s="1"/>
  <c r="J63" i="29"/>
  <c r="J145" i="29" s="1"/>
  <c r="T145" i="29"/>
  <c r="U145" i="29"/>
  <c r="V145" i="29"/>
  <c r="W145" i="29"/>
  <c r="X145" i="29"/>
  <c r="Y145" i="29"/>
  <c r="I56" i="29"/>
  <c r="I140" i="29" s="1"/>
  <c r="J184" i="1" s="1"/>
  <c r="T56" i="29"/>
  <c r="T140" i="29" s="1"/>
  <c r="P56" i="29"/>
  <c r="P140" i="29" s="1"/>
  <c r="U56" i="29"/>
  <c r="U140" i="29" s="1"/>
  <c r="K56" i="29"/>
  <c r="K140" i="29" s="1"/>
  <c r="H56" i="29"/>
  <c r="H140" i="29" s="1"/>
  <c r="J56" i="29"/>
  <c r="J140" i="29" s="1"/>
  <c r="R56" i="29"/>
  <c r="R140" i="29" s="1"/>
  <c r="N56" i="29"/>
  <c r="N140" i="29" s="1"/>
  <c r="M56" i="29"/>
  <c r="M140" i="29" s="1"/>
  <c r="V56" i="29"/>
  <c r="W56" i="29"/>
  <c r="W140" i="29" s="1"/>
  <c r="S56" i="29"/>
  <c r="S140" i="29" s="1"/>
  <c r="X56" i="29"/>
  <c r="X140" i="29" s="1"/>
  <c r="Y56" i="29"/>
  <c r="Y140" i="29" s="1"/>
  <c r="O56" i="29"/>
  <c r="O140" i="29" s="1"/>
  <c r="Q56" i="29"/>
  <c r="Q140" i="29" s="1"/>
  <c r="D64" i="29" l="1"/>
  <c r="V140" i="29"/>
  <c r="D57" i="29"/>
  <c r="S155" i="35"/>
  <c r="V155" i="35"/>
  <c r="U155" i="35"/>
  <c r="T155" i="35"/>
  <c r="R155" i="35"/>
  <c r="Q155" i="35"/>
  <c r="K155" i="35"/>
  <c r="P155" i="35"/>
  <c r="O155" i="35"/>
  <c r="N155" i="35"/>
  <c r="L155" i="35"/>
  <c r="W155" i="35"/>
  <c r="M155" i="35"/>
  <c r="F19" i="29"/>
  <c r="F21" i="29"/>
  <c r="G21" i="29"/>
  <c r="E14" i="29" l="1"/>
  <c r="D8" i="29" l="1"/>
  <c r="G13" i="29"/>
  <c r="G14" i="29" s="1"/>
  <c r="H13" i="29"/>
  <c r="I13" i="29"/>
  <c r="J13" i="29"/>
  <c r="K13" i="29"/>
  <c r="L13" i="29"/>
  <c r="M13" i="29"/>
  <c r="N13" i="29"/>
  <c r="O13" i="29"/>
  <c r="P13" i="29"/>
  <c r="Q13" i="29"/>
  <c r="R13" i="29"/>
  <c r="S13" i="29"/>
  <c r="T13" i="29"/>
  <c r="U13" i="29"/>
  <c r="V13" i="29"/>
  <c r="W13" i="29"/>
  <c r="X13" i="29"/>
  <c r="Y13" i="29"/>
  <c r="D82" i="1"/>
  <c r="G20" i="31" s="1"/>
  <c r="C137" i="29"/>
  <c r="C132" i="29"/>
  <c r="C140" i="29" s="1"/>
  <c r="C141" i="29" s="1"/>
  <c r="C142" i="29" s="1"/>
  <c r="C155" i="29" s="1"/>
  <c r="C156" i="29" s="1"/>
  <c r="C157" i="29" s="1"/>
  <c r="C136" i="29"/>
  <c r="C135" i="29"/>
  <c r="D43" i="29"/>
  <c r="D36" i="29"/>
  <c r="C45" i="29"/>
  <c r="B137" i="29"/>
  <c r="B132" i="29"/>
  <c r="C131" i="29"/>
  <c r="C130" i="29"/>
  <c r="F5" i="29"/>
  <c r="G5" i="29"/>
  <c r="H5" i="29"/>
  <c r="I5" i="29"/>
  <c r="J5" i="29"/>
  <c r="K5" i="29"/>
  <c r="L5" i="29"/>
  <c r="M5" i="29"/>
  <c r="N5" i="29"/>
  <c r="O5" i="29"/>
  <c r="P5" i="29"/>
  <c r="Q5" i="29"/>
  <c r="R5" i="29"/>
  <c r="S5" i="29"/>
  <c r="T5" i="29"/>
  <c r="U5" i="29"/>
  <c r="V5" i="29"/>
  <c r="W5" i="29"/>
  <c r="X5" i="29"/>
  <c r="Y5" i="29"/>
  <c r="Z5" i="29"/>
  <c r="AA5" i="29"/>
  <c r="AB5" i="29"/>
  <c r="AC5" i="29"/>
  <c r="AD5" i="29"/>
  <c r="AE5" i="29"/>
  <c r="AF5" i="29"/>
  <c r="AG5" i="29"/>
  <c r="AH5" i="29"/>
  <c r="AI5" i="29"/>
  <c r="E5" i="29"/>
  <c r="C44" i="29"/>
  <c r="C43" i="29"/>
  <c r="C145" i="29" l="1"/>
  <c r="C146" i="29" s="1"/>
  <c r="C147" i="29" s="1"/>
  <c r="C150" i="29"/>
  <c r="C151" i="29" s="1"/>
  <c r="C152" i="29" s="1"/>
  <c r="C170" i="29" s="1"/>
  <c r="C171" i="29" s="1"/>
  <c r="C172" i="29" s="1"/>
  <c r="B81" i="35"/>
  <c r="F151" i="35" s="1"/>
  <c r="F136" i="34"/>
  <c r="F121" i="1"/>
  <c r="D147" i="29"/>
  <c r="F123" i="1" s="1"/>
  <c r="D142" i="29"/>
  <c r="B83" i="1"/>
  <c r="B82" i="1"/>
  <c r="C165" i="29" l="1"/>
  <c r="C166" i="29" s="1"/>
  <c r="C167" i="29" s="1"/>
  <c r="C160" i="29"/>
  <c r="C161" i="29" s="1"/>
  <c r="C162" i="29" s="1"/>
  <c r="F121" i="35"/>
  <c r="F122" i="35"/>
  <c r="H122" i="35" s="1"/>
  <c r="F122" i="1"/>
  <c r="K46" i="31"/>
  <c r="D126" i="1" l="1" a="1"/>
  <c r="D126" i="1" s="1"/>
  <c r="H121" i="35"/>
  <c r="D124" i="35" s="1" a="1"/>
  <c r="D124" i="35" s="1"/>
  <c r="D125" i="35" a="1"/>
  <c r="D125" i="35" s="1"/>
  <c r="I46" i="31"/>
  <c r="H123" i="1"/>
  <c r="L46" i="31" s="1"/>
  <c r="H122" i="1"/>
  <c r="J46" i="31" s="1"/>
  <c r="H41" i="29" a="1"/>
  <c r="H41" i="29" s="1"/>
  <c r="H136" i="29" s="1"/>
  <c r="I41" i="29" a="1"/>
  <c r="I41" i="29" s="1"/>
  <c r="I136" i="29" s="1"/>
  <c r="J41" i="29" a="1"/>
  <c r="J41" i="29" s="1"/>
  <c r="J136" i="29" s="1"/>
  <c r="K41" i="29" a="1"/>
  <c r="K41" i="29" s="1"/>
  <c r="K136" i="29" s="1"/>
  <c r="L41" i="29" a="1"/>
  <c r="L41" i="29" s="1"/>
  <c r="L136" i="29" s="1"/>
  <c r="M41" i="29" a="1"/>
  <c r="M41" i="29" s="1"/>
  <c r="M136" i="29" s="1"/>
  <c r="N41" i="29" a="1"/>
  <c r="N41" i="29" s="1"/>
  <c r="N136" i="29" s="1"/>
  <c r="O41" i="29" a="1"/>
  <c r="O41" i="29" s="1"/>
  <c r="O136" i="29" s="1"/>
  <c r="P41" i="29" a="1"/>
  <c r="P41" i="29" s="1"/>
  <c r="P136" i="29" s="1"/>
  <c r="Q41" i="29" a="1"/>
  <c r="Q41" i="29" s="1"/>
  <c r="Q136" i="29" s="1"/>
  <c r="R41" i="29" a="1"/>
  <c r="R41" i="29" s="1"/>
  <c r="R136" i="29" s="1"/>
  <c r="S41" i="29" a="1"/>
  <c r="S41" i="29" s="1"/>
  <c r="S136" i="29" s="1"/>
  <c r="T41" i="29" a="1"/>
  <c r="T41" i="29" s="1"/>
  <c r="U41" i="29" a="1"/>
  <c r="U41" i="29" s="1"/>
  <c r="V41" i="29" a="1"/>
  <c r="V41" i="29" s="1"/>
  <c r="W41" i="29" a="1"/>
  <c r="W41" i="29" s="1"/>
  <c r="X41" i="29" a="1"/>
  <c r="X41" i="29" s="1"/>
  <c r="Y41" i="29" a="1"/>
  <c r="Y41" i="29" s="1"/>
  <c r="Z41" i="29" a="1"/>
  <c r="Z41" i="29" s="1"/>
  <c r="AA41" i="29" a="1"/>
  <c r="AA41" i="29" s="1"/>
  <c r="AB41" i="29" a="1"/>
  <c r="AB41" i="29" s="1"/>
  <c r="AC41" i="29" a="1"/>
  <c r="AC41" i="29" s="1"/>
  <c r="AD41" i="29" a="1"/>
  <c r="AD41" i="29" s="1"/>
  <c r="AE41" i="29" a="1"/>
  <c r="AE41" i="29" s="1"/>
  <c r="AF41" i="29" a="1"/>
  <c r="AF41" i="29" s="1"/>
  <c r="AG41" i="29" a="1"/>
  <c r="AG41" i="29" s="1"/>
  <c r="AH41" i="29" a="1"/>
  <c r="AH41" i="29" s="1"/>
  <c r="AI41" i="29" a="1"/>
  <c r="AI41" i="29" s="1"/>
  <c r="G41" i="29" a="1"/>
  <c r="G41" i="29" s="1"/>
  <c r="H34" i="29" a="1"/>
  <c r="H34" i="29" s="1"/>
  <c r="H102" i="29" s="1"/>
  <c r="I34" i="29" a="1"/>
  <c r="I34" i="29" s="1"/>
  <c r="I102" i="29" s="1"/>
  <c r="J34" i="29" a="1"/>
  <c r="J34" i="29" s="1"/>
  <c r="J102" i="29" s="1"/>
  <c r="K34" i="29" a="1"/>
  <c r="K34" i="29" s="1"/>
  <c r="K102" i="29" s="1"/>
  <c r="L34" i="29" a="1"/>
  <c r="L34" i="29" s="1"/>
  <c r="L102" i="29" s="1"/>
  <c r="M34" i="29" a="1"/>
  <c r="M34" i="29" s="1"/>
  <c r="M102" i="29" s="1"/>
  <c r="N34" i="29" a="1"/>
  <c r="N34" i="29" s="1"/>
  <c r="N102" i="29" s="1"/>
  <c r="O34" i="29" a="1"/>
  <c r="O34" i="29" s="1"/>
  <c r="O102" i="29" s="1"/>
  <c r="P34" i="29" a="1"/>
  <c r="P34" i="29" s="1"/>
  <c r="P102" i="29" s="1"/>
  <c r="Q34" i="29" a="1"/>
  <c r="Q34" i="29" s="1"/>
  <c r="Q102" i="29" s="1"/>
  <c r="R34" i="29" a="1"/>
  <c r="R34" i="29" s="1"/>
  <c r="R102" i="29" s="1"/>
  <c r="S34" i="29" a="1"/>
  <c r="S34" i="29" s="1"/>
  <c r="S102" i="29" s="1"/>
  <c r="T34" i="29" a="1"/>
  <c r="T34" i="29" s="1"/>
  <c r="U34" i="29" a="1"/>
  <c r="U34" i="29" s="1"/>
  <c r="V34" i="29" a="1"/>
  <c r="V34" i="29" s="1"/>
  <c r="V102" i="29" s="1"/>
  <c r="W34" i="29" a="1"/>
  <c r="W34" i="29" s="1"/>
  <c r="W102" i="29" s="1"/>
  <c r="X34" i="29" a="1"/>
  <c r="X34" i="29" s="1"/>
  <c r="X102" i="29" s="1"/>
  <c r="Y34" i="29" a="1"/>
  <c r="Y34" i="29" s="1"/>
  <c r="Y102" i="29" s="1"/>
  <c r="Z34" i="29" a="1"/>
  <c r="Z34" i="29" s="1"/>
  <c r="AA34" i="29" a="1"/>
  <c r="AA34" i="29" s="1"/>
  <c r="AB34" i="29" a="1"/>
  <c r="AB34" i="29" s="1"/>
  <c r="AC34" i="29" a="1"/>
  <c r="AC34" i="29" s="1"/>
  <c r="AD34" i="29" a="1"/>
  <c r="AD34" i="29" s="1"/>
  <c r="AE34" i="29" a="1"/>
  <c r="AE34" i="29" s="1"/>
  <c r="AF34" i="29" a="1"/>
  <c r="AF34" i="29" s="1"/>
  <c r="AG34" i="29" a="1"/>
  <c r="AG34" i="29" s="1"/>
  <c r="AH34" i="29" a="1"/>
  <c r="AH34" i="29" s="1"/>
  <c r="AI34" i="29" a="1"/>
  <c r="AI34" i="29" s="1"/>
  <c r="G34" i="29" a="1"/>
  <c r="G34" i="29" s="1"/>
  <c r="E21" i="29"/>
  <c r="C125" i="29"/>
  <c r="C124" i="29"/>
  <c r="C119" i="29"/>
  <c r="B119" i="29" s="1"/>
  <c r="C118" i="29"/>
  <c r="B118" i="29" s="1"/>
  <c r="B117" i="29"/>
  <c r="B116" i="29"/>
  <c r="C112" i="29"/>
  <c r="B112" i="29" s="1"/>
  <c r="C111" i="29"/>
  <c r="B111" i="29" s="1"/>
  <c r="AI110" i="29"/>
  <c r="AH110" i="29"/>
  <c r="AG110" i="29"/>
  <c r="AF110" i="29"/>
  <c r="AE110" i="29"/>
  <c r="AD110" i="29"/>
  <c r="AC110" i="29"/>
  <c r="AB110" i="29"/>
  <c r="AA110" i="29"/>
  <c r="Z110" i="29"/>
  <c r="Y110" i="29"/>
  <c r="X110" i="29"/>
  <c r="W110" i="29"/>
  <c r="V110" i="29"/>
  <c r="U110" i="29"/>
  <c r="B110" i="29"/>
  <c r="AI109" i="29"/>
  <c r="AH109" i="29"/>
  <c r="AG109" i="29"/>
  <c r="AF109" i="29"/>
  <c r="AE109" i="29"/>
  <c r="AD109" i="29"/>
  <c r="AC109" i="29"/>
  <c r="AB109" i="29"/>
  <c r="AA109" i="29"/>
  <c r="Z109" i="29"/>
  <c r="Y109" i="29"/>
  <c r="X109" i="29"/>
  <c r="W109" i="29"/>
  <c r="V109" i="29"/>
  <c r="U109" i="29"/>
  <c r="B109" i="29"/>
  <c r="AI13" i="29"/>
  <c r="AH13" i="29"/>
  <c r="AG13" i="29"/>
  <c r="AF13" i="29"/>
  <c r="AE13" i="29"/>
  <c r="AD13" i="29"/>
  <c r="AC13" i="29"/>
  <c r="AB13" i="29"/>
  <c r="AA13" i="29"/>
  <c r="Z13" i="29"/>
  <c r="F13" i="29"/>
  <c r="F14" i="29" s="1"/>
  <c r="E13" i="29"/>
  <c r="D10" i="29"/>
  <c r="D9" i="29"/>
  <c r="D7" i="29"/>
  <c r="A29" i="29"/>
  <c r="T136" i="29" l="1"/>
  <c r="D125" i="1" a="1"/>
  <c r="D125" i="1" s="1"/>
  <c r="AG95" i="29"/>
  <c r="AG102" i="29"/>
  <c r="AC95" i="29"/>
  <c r="AC102" i="29"/>
  <c r="AD95" i="29"/>
  <c r="AD102" i="29"/>
  <c r="AB95" i="29"/>
  <c r="AB102" i="29"/>
  <c r="AA95" i="29"/>
  <c r="AA102" i="29"/>
  <c r="Z95" i="29"/>
  <c r="Z102" i="29"/>
  <c r="AI95" i="29"/>
  <c r="AI102" i="29"/>
  <c r="AH95" i="29"/>
  <c r="AH102" i="29"/>
  <c r="U95" i="29"/>
  <c r="U102" i="29"/>
  <c r="AF95" i="29"/>
  <c r="AF102" i="29"/>
  <c r="T95" i="29"/>
  <c r="T102" i="29"/>
  <c r="AE95" i="29"/>
  <c r="AE102" i="29"/>
  <c r="Q131" i="29"/>
  <c r="Q95" i="29"/>
  <c r="P131" i="29"/>
  <c r="P95" i="29"/>
  <c r="N131" i="29"/>
  <c r="N95" i="29"/>
  <c r="Y37" i="29"/>
  <c r="Y130" i="29" s="1"/>
  <c r="Y95" i="29"/>
  <c r="X37" i="29"/>
  <c r="X130" i="29" s="1"/>
  <c r="X95" i="29"/>
  <c r="L131" i="29"/>
  <c r="L95" i="29"/>
  <c r="W37" i="29"/>
  <c r="W130" i="29" s="1"/>
  <c r="W95" i="29"/>
  <c r="K131" i="29"/>
  <c r="K95" i="29"/>
  <c r="M131" i="29"/>
  <c r="M95" i="29"/>
  <c r="V37" i="29"/>
  <c r="V130" i="29" s="1"/>
  <c r="V95" i="29"/>
  <c r="J131" i="29"/>
  <c r="J95" i="29"/>
  <c r="I131" i="29"/>
  <c r="I95" i="29"/>
  <c r="O131" i="29"/>
  <c r="O95" i="29"/>
  <c r="H131" i="29"/>
  <c r="H95" i="29"/>
  <c r="R131" i="29"/>
  <c r="R95" i="29"/>
  <c r="S131" i="29"/>
  <c r="S95" i="29"/>
  <c r="AB131" i="29"/>
  <c r="AB37" i="29"/>
  <c r="AB130" i="29" s="1"/>
  <c r="AA131" i="29"/>
  <c r="AA37" i="29"/>
  <c r="AA130" i="29" s="1"/>
  <c r="Z131" i="29"/>
  <c r="Z37" i="29"/>
  <c r="Z130" i="29" s="1"/>
  <c r="AC136" i="29"/>
  <c r="AC44" i="29"/>
  <c r="AC135" i="29" s="1"/>
  <c r="AI131" i="29"/>
  <c r="AI37" i="29"/>
  <c r="AI130" i="29" s="1"/>
  <c r="AB136" i="29"/>
  <c r="AB44" i="29"/>
  <c r="AB135" i="29" s="1"/>
  <c r="AH131" i="29"/>
  <c r="AH37" i="29"/>
  <c r="AH130" i="29" s="1"/>
  <c r="AA136" i="29"/>
  <c r="AA44" i="29"/>
  <c r="AA135" i="29" s="1"/>
  <c r="AD136" i="29"/>
  <c r="AD44" i="29"/>
  <c r="AD135" i="29" s="1"/>
  <c r="AG131" i="29"/>
  <c r="AG37" i="29"/>
  <c r="AG130" i="29" s="1"/>
  <c r="Z136" i="29"/>
  <c r="Z44" i="29"/>
  <c r="Z135" i="29" s="1"/>
  <c r="AI136" i="29"/>
  <c r="AI44" i="29"/>
  <c r="AI135" i="29" s="1"/>
  <c r="AC131" i="29"/>
  <c r="AC37" i="29"/>
  <c r="AC130" i="29" s="1"/>
  <c r="AF136" i="29"/>
  <c r="AF44" i="29"/>
  <c r="AF135" i="29" s="1"/>
  <c r="AE136" i="29"/>
  <c r="AE44" i="29"/>
  <c r="AE135" i="29" s="1"/>
  <c r="AF131" i="29"/>
  <c r="AF37" i="29"/>
  <c r="AF130" i="29" s="1"/>
  <c r="AD131" i="29"/>
  <c r="AD37" i="29"/>
  <c r="AD130" i="29" s="1"/>
  <c r="AH136" i="29"/>
  <c r="AH44" i="29"/>
  <c r="AH135" i="29" s="1"/>
  <c r="AG136" i="29"/>
  <c r="AG44" i="29"/>
  <c r="AG135" i="29" s="1"/>
  <c r="AE131" i="29"/>
  <c r="AE37" i="29"/>
  <c r="AE130" i="29" s="1"/>
  <c r="J34" i="35"/>
  <c r="J35" i="35"/>
  <c r="U37" i="29"/>
  <c r="U130" i="29" s="1"/>
  <c r="J35" i="1"/>
  <c r="S21" i="29"/>
  <c r="AE21" i="29"/>
  <c r="H21" i="29"/>
  <c r="T21" i="29"/>
  <c r="AF21" i="29"/>
  <c r="I21" i="29"/>
  <c r="U21" i="29"/>
  <c r="AG21" i="29"/>
  <c r="J21" i="29"/>
  <c r="V21" i="29"/>
  <c r="AH21" i="29"/>
  <c r="K21" i="29"/>
  <c r="W21" i="29"/>
  <c r="AI21" i="29"/>
  <c r="L21" i="29"/>
  <c r="X21" i="29"/>
  <c r="M21" i="29"/>
  <c r="Y21" i="29"/>
  <c r="N21" i="29"/>
  <c r="Z21" i="29"/>
  <c r="O21" i="29"/>
  <c r="AA21" i="29"/>
  <c r="P21" i="29"/>
  <c r="AB21" i="29"/>
  <c r="Q21" i="29"/>
  <c r="AC21" i="29"/>
  <c r="R21" i="29"/>
  <c r="AD21" i="29"/>
  <c r="H14" i="29"/>
  <c r="T14" i="29"/>
  <c r="AF14" i="29"/>
  <c r="AE14" i="29"/>
  <c r="I14" i="29"/>
  <c r="U14" i="29"/>
  <c r="AG14" i="29"/>
  <c r="J14" i="29"/>
  <c r="V14" i="29"/>
  <c r="AH14" i="29"/>
  <c r="K14" i="29"/>
  <c r="W14" i="29"/>
  <c r="AI14" i="29"/>
  <c r="L14" i="29"/>
  <c r="X14" i="29"/>
  <c r="M14" i="29"/>
  <c r="Y14" i="29"/>
  <c r="N14" i="29"/>
  <c r="Z14" i="29"/>
  <c r="O14" i="29"/>
  <c r="AA14" i="29"/>
  <c r="P14" i="29"/>
  <c r="AB14" i="29"/>
  <c r="Q14" i="29"/>
  <c r="AC14" i="29"/>
  <c r="R14" i="29"/>
  <c r="AD14" i="29"/>
  <c r="S14" i="29"/>
  <c r="D42" i="29"/>
  <c r="K44" i="29" s="1"/>
  <c r="K135" i="29" s="1"/>
  <c r="G136" i="29"/>
  <c r="W44" i="29"/>
  <c r="W135" i="29" s="1"/>
  <c r="W136" i="29"/>
  <c r="V44" i="29"/>
  <c r="V135" i="29" s="1"/>
  <c r="V136" i="29"/>
  <c r="U44" i="29"/>
  <c r="U135" i="29" s="1"/>
  <c r="U136" i="29"/>
  <c r="X44" i="29"/>
  <c r="X135" i="29" s="1"/>
  <c r="X136" i="29"/>
  <c r="Y44" i="29"/>
  <c r="Y135" i="29" s="1"/>
  <c r="Y136" i="29"/>
  <c r="T44" i="29"/>
  <c r="T135" i="29" s="1"/>
  <c r="G131" i="29"/>
  <c r="D35" i="29"/>
  <c r="R37" i="29" s="1"/>
  <c r="R130" i="29" s="1"/>
  <c r="T37" i="29"/>
  <c r="T130" i="29" s="1"/>
  <c r="V131" i="29"/>
  <c r="T131" i="29"/>
  <c r="U131" i="29"/>
  <c r="Y131" i="29"/>
  <c r="X131" i="29"/>
  <c r="W131" i="29"/>
  <c r="F26" i="29"/>
  <c r="J36" i="1"/>
  <c r="E26" i="29"/>
  <c r="Q109" i="29"/>
  <c r="P109" i="29"/>
  <c r="T109" i="29"/>
  <c r="R109" i="29"/>
  <c r="S109" i="29"/>
  <c r="G37" i="29" l="1"/>
  <c r="G130" i="29" s="1"/>
  <c r="J151" i="35" s="1"/>
  <c r="G44" i="29"/>
  <c r="G135" i="29" s="1"/>
  <c r="J152" i="35" s="1"/>
  <c r="W151" i="35"/>
  <c r="U151" i="35"/>
  <c r="W152" i="35"/>
  <c r="N152" i="35"/>
  <c r="D16" i="29"/>
  <c r="O44" i="29"/>
  <c r="O135" i="29" s="1"/>
  <c r="Q44" i="29"/>
  <c r="Q135" i="29" s="1"/>
  <c r="H44" i="29"/>
  <c r="H135" i="29" s="1"/>
  <c r="R44" i="29"/>
  <c r="R135" i="29" s="1"/>
  <c r="S44" i="29"/>
  <c r="S135" i="29" s="1"/>
  <c r="I44" i="29"/>
  <c r="I135" i="29" s="1"/>
  <c r="N44" i="29"/>
  <c r="N135" i="29" s="1"/>
  <c r="P44" i="29"/>
  <c r="P135" i="29" s="1"/>
  <c r="J44" i="29"/>
  <c r="J135" i="29" s="1"/>
  <c r="L44" i="29"/>
  <c r="L135" i="29" s="1"/>
  <c r="M44" i="29"/>
  <c r="M135" i="29" s="1"/>
  <c r="K37" i="29"/>
  <c r="K130" i="29" s="1"/>
  <c r="L37" i="29"/>
  <c r="L130" i="29" s="1"/>
  <c r="J37" i="29"/>
  <c r="J130" i="29" s="1"/>
  <c r="N37" i="29"/>
  <c r="N130" i="29" s="1"/>
  <c r="O37" i="29"/>
  <c r="O130" i="29" s="1"/>
  <c r="I37" i="29"/>
  <c r="I130" i="29" s="1"/>
  <c r="J182" i="1" s="1"/>
  <c r="M37" i="29"/>
  <c r="M130" i="29" s="1"/>
  <c r="P37" i="29"/>
  <c r="P130" i="29" s="1"/>
  <c r="H37" i="29"/>
  <c r="H130" i="29" s="1"/>
  <c r="Q37" i="29"/>
  <c r="Q130" i="29" s="1"/>
  <c r="S37" i="29"/>
  <c r="S130" i="29" s="1"/>
  <c r="D23" i="29"/>
  <c r="R110" i="29"/>
  <c r="S110" i="29"/>
  <c r="Q110" i="29"/>
  <c r="T110" i="29"/>
  <c r="P110" i="29"/>
  <c r="J183" i="1" l="1"/>
  <c r="R151" i="35"/>
  <c r="U152" i="35"/>
  <c r="Q151" i="35"/>
  <c r="M151" i="35"/>
  <c r="T152" i="35"/>
  <c r="O151" i="35"/>
  <c r="R152" i="35"/>
  <c r="N151" i="35"/>
  <c r="P152" i="35"/>
  <c r="V151" i="35"/>
  <c r="O152" i="35"/>
  <c r="K152" i="35"/>
  <c r="T151" i="35"/>
  <c r="M152" i="35"/>
  <c r="K151" i="35"/>
  <c r="S152" i="35"/>
  <c r="S151" i="35"/>
  <c r="Q152" i="35"/>
  <c r="L152" i="35"/>
  <c r="P151" i="35"/>
  <c r="L151" i="35"/>
  <c r="V152" i="35"/>
  <c r="D24" i="29"/>
  <c r="D22" i="29"/>
  <c r="D45" i="29"/>
  <c r="D137" i="29" s="1"/>
  <c r="F82" i="35" s="1"/>
  <c r="H82" i="35" s="1"/>
  <c r="H152" i="35" s="1"/>
  <c r="D38" i="29"/>
  <c r="D132" i="29" s="1"/>
  <c r="D17" i="29"/>
  <c r="D15" i="29" s="1"/>
  <c r="K35" i="35" l="1"/>
  <c r="K34" i="35"/>
  <c r="F81" i="35"/>
  <c r="D84" i="29"/>
  <c r="F34" i="34" s="1"/>
  <c r="F82" i="1"/>
  <c r="F83" i="1"/>
  <c r="K36" i="1"/>
  <c r="D25" i="29"/>
  <c r="U26" i="29"/>
  <c r="U125" i="29" s="1"/>
  <c r="AD26" i="29"/>
  <c r="AD125" i="29" s="1"/>
  <c r="I26" i="29"/>
  <c r="I125" i="29" s="1"/>
  <c r="AE26" i="29"/>
  <c r="AE125" i="29" s="1"/>
  <c r="S26" i="29"/>
  <c r="S125" i="29" s="1"/>
  <c r="AF26" i="29"/>
  <c r="AF125" i="29" s="1"/>
  <c r="G26" i="29"/>
  <c r="G125" i="29" s="1"/>
  <c r="X26" i="29"/>
  <c r="Z26" i="29"/>
  <c r="Z125" i="29" s="1"/>
  <c r="AB26" i="29"/>
  <c r="AB125" i="29" s="1"/>
  <c r="AC26" i="29"/>
  <c r="AC125" i="29" s="1"/>
  <c r="AA26" i="29"/>
  <c r="AA125" i="29" s="1"/>
  <c r="AG26" i="29"/>
  <c r="AG125" i="29" s="1"/>
  <c r="V26" i="29"/>
  <c r="V125" i="29" s="1"/>
  <c r="AH26" i="29"/>
  <c r="AH125" i="29" s="1"/>
  <c r="Q26" i="29"/>
  <c r="Q125" i="29" s="1"/>
  <c r="W26" i="29"/>
  <c r="W125" i="29" s="1"/>
  <c r="AI26" i="29"/>
  <c r="M26" i="29"/>
  <c r="M125" i="29" s="1"/>
  <c r="J26" i="29"/>
  <c r="J125" i="29" s="1"/>
  <c r="K26" i="29"/>
  <c r="K125" i="29" s="1"/>
  <c r="P26" i="29"/>
  <c r="P125" i="29" s="1"/>
  <c r="O26" i="29"/>
  <c r="O125" i="29" s="1"/>
  <c r="L26" i="29"/>
  <c r="L125" i="29" s="1"/>
  <c r="H26" i="29"/>
  <c r="H125" i="29" s="1"/>
  <c r="T26" i="29"/>
  <c r="T125" i="29" s="1"/>
  <c r="N26" i="29"/>
  <c r="N125" i="29" s="1"/>
  <c r="U19" i="29"/>
  <c r="U124" i="29" s="1"/>
  <c r="V19" i="29"/>
  <c r="V124" i="29" s="1"/>
  <c r="AH19" i="29"/>
  <c r="AH124" i="29" s="1"/>
  <c r="AI19" i="29"/>
  <c r="AI124" i="29" s="1"/>
  <c r="Y19" i="29"/>
  <c r="Y124" i="29" s="1"/>
  <c r="Z19" i="29"/>
  <c r="Z124" i="29" s="1"/>
  <c r="AA19" i="29"/>
  <c r="AA124" i="29" s="1"/>
  <c r="AB19" i="29"/>
  <c r="AB124" i="29" s="1"/>
  <c r="AC19" i="29"/>
  <c r="AC124" i="29" s="1"/>
  <c r="AD19" i="29"/>
  <c r="AD124" i="29" s="1"/>
  <c r="AE19" i="29"/>
  <c r="AE124" i="29" s="1"/>
  <c r="AG19" i="29"/>
  <c r="AG124" i="29" s="1"/>
  <c r="W19" i="29"/>
  <c r="W124" i="29" s="1"/>
  <c r="AF19" i="29"/>
  <c r="AF124" i="29" s="1"/>
  <c r="X19" i="29"/>
  <c r="X124" i="29" s="1"/>
  <c r="J19" i="29"/>
  <c r="J124" i="29" s="1"/>
  <c r="K19" i="29"/>
  <c r="K124" i="29" s="1"/>
  <c r="L19" i="29"/>
  <c r="L124" i="29" s="1"/>
  <c r="M19" i="29"/>
  <c r="M124" i="29" s="1"/>
  <c r="N19" i="29"/>
  <c r="N124" i="29" s="1"/>
  <c r="O19" i="29"/>
  <c r="P19" i="29"/>
  <c r="P124" i="29" s="1"/>
  <c r="Q19" i="29"/>
  <c r="Q124" i="29" s="1"/>
  <c r="G19" i="29"/>
  <c r="G124" i="29" s="1"/>
  <c r="S19" i="29"/>
  <c r="H19" i="29"/>
  <c r="H124" i="29" s="1"/>
  <c r="T19" i="29"/>
  <c r="T124" i="29" s="1"/>
  <c r="I19" i="29"/>
  <c r="I124" i="29" s="1"/>
  <c r="E19" i="29"/>
  <c r="K35" i="1"/>
  <c r="D18" i="29"/>
  <c r="D86" i="1" l="1" a="1"/>
  <c r="D86" i="1" s="1"/>
  <c r="D157" i="29"/>
  <c r="O148" i="35"/>
  <c r="T147" i="35"/>
  <c r="L35" i="35"/>
  <c r="Q147" i="35"/>
  <c r="P147" i="35"/>
  <c r="S148" i="35"/>
  <c r="O147" i="35"/>
  <c r="N148" i="35"/>
  <c r="N147" i="35"/>
  <c r="M148" i="35"/>
  <c r="L148" i="35"/>
  <c r="W148" i="35"/>
  <c r="L147" i="35"/>
  <c r="M147" i="35"/>
  <c r="P148" i="35"/>
  <c r="J148" i="35"/>
  <c r="H81" i="35"/>
  <c r="H151" i="35" s="1"/>
  <c r="D85" i="35" a="1"/>
  <c r="D85" i="35" s="1"/>
  <c r="J147" i="35"/>
  <c r="S147" i="35"/>
  <c r="Q148" i="35"/>
  <c r="K148" i="35"/>
  <c r="R148" i="35"/>
  <c r="V148" i="35"/>
  <c r="L34" i="35"/>
  <c r="W147" i="35"/>
  <c r="K147" i="35"/>
  <c r="T148" i="35"/>
  <c r="H83" i="1"/>
  <c r="L20" i="31" s="1"/>
  <c r="K20" i="31"/>
  <c r="H82" i="1"/>
  <c r="J20" i="31" s="1"/>
  <c r="I20" i="31"/>
  <c r="F34" i="1"/>
  <c r="D85" i="1" l="1" a="1"/>
  <c r="D85" i="1" s="1"/>
  <c r="F4" i="35"/>
  <c r="F4" i="34"/>
  <c r="H34" i="34"/>
  <c r="D37" i="34" s="1" a="1"/>
  <c r="D37" i="34" s="1"/>
  <c r="O149" i="35"/>
  <c r="O154" i="35" s="1"/>
  <c r="W149" i="35"/>
  <c r="W154" i="35" s="1"/>
  <c r="N149" i="35"/>
  <c r="N154" i="35" s="1"/>
  <c r="P149" i="35"/>
  <c r="P154" i="35" s="1"/>
  <c r="M149" i="35"/>
  <c r="M154" i="35" s="1"/>
  <c r="K149" i="35"/>
  <c r="K154" i="35" s="1"/>
  <c r="Q149" i="35"/>
  <c r="Q154" i="35" s="1"/>
  <c r="D40" i="35"/>
  <c r="H35" i="35"/>
  <c r="S149" i="35"/>
  <c r="S154" i="35" s="1"/>
  <c r="L149" i="35"/>
  <c r="L154" i="35" s="1"/>
  <c r="T149" i="35"/>
  <c r="T154" i="35" s="1"/>
  <c r="D39" i="35"/>
  <c r="H34" i="35"/>
  <c r="J149" i="35"/>
  <c r="J154" i="35" s="1"/>
  <c r="D84" i="35" a="1"/>
  <c r="D84" i="35" s="1"/>
  <c r="C52" i="26"/>
  <c r="C51" i="26"/>
  <c r="I45" i="26"/>
  <c r="F66" i="26"/>
  <c r="E66" i="26"/>
  <c r="D66" i="26"/>
  <c r="C66" i="26"/>
  <c r="F65" i="26"/>
  <c r="E65" i="26"/>
  <c r="D65" i="26"/>
  <c r="C65" i="26"/>
  <c r="F64" i="26"/>
  <c r="E64" i="26"/>
  <c r="D64" i="26"/>
  <c r="C64" i="26"/>
  <c r="F63" i="26"/>
  <c r="E63" i="26"/>
  <c r="D63" i="26"/>
  <c r="C63" i="26"/>
  <c r="F62" i="26"/>
  <c r="E62" i="26"/>
  <c r="D62" i="26"/>
  <c r="C62" i="26"/>
  <c r="F59" i="26"/>
  <c r="E59" i="26"/>
  <c r="D59" i="26"/>
  <c r="C59" i="26"/>
  <c r="F58" i="26"/>
  <c r="E58" i="26"/>
  <c r="D58" i="26"/>
  <c r="C58" i="26"/>
  <c r="F57" i="26"/>
  <c r="E57" i="26"/>
  <c r="D57" i="26"/>
  <c r="C57" i="26"/>
  <c r="F56" i="26"/>
  <c r="E56" i="26"/>
  <c r="D56" i="26"/>
  <c r="C56" i="26"/>
  <c r="F55" i="26"/>
  <c r="E55" i="26"/>
  <c r="D55" i="26"/>
  <c r="C55" i="26"/>
  <c r="F52" i="26"/>
  <c r="E52" i="26"/>
  <c r="D52" i="26"/>
  <c r="F51" i="26"/>
  <c r="E51" i="26"/>
  <c r="D51" i="26"/>
  <c r="F50" i="26"/>
  <c r="E50" i="26"/>
  <c r="D50" i="26"/>
  <c r="C50" i="26"/>
  <c r="F49" i="26"/>
  <c r="E49" i="26"/>
  <c r="D49" i="26"/>
  <c r="C49" i="26"/>
  <c r="F48" i="26"/>
  <c r="E48" i="26"/>
  <c r="D48" i="26"/>
  <c r="C48" i="26"/>
  <c r="C30" i="26"/>
  <c r="D30" i="26"/>
  <c r="E30" i="26"/>
  <c r="F30" i="26"/>
  <c r="C31" i="26"/>
  <c r="D31" i="26"/>
  <c r="E31" i="26"/>
  <c r="F31" i="26"/>
  <c r="C32" i="26"/>
  <c r="D32" i="26"/>
  <c r="E32" i="26"/>
  <c r="F32" i="26"/>
  <c r="C33" i="26"/>
  <c r="D33" i="26"/>
  <c r="E33" i="26"/>
  <c r="F33" i="26"/>
  <c r="F29" i="26"/>
  <c r="E29" i="26"/>
  <c r="D29" i="26"/>
  <c r="C29" i="26"/>
  <c r="D23" i="26"/>
  <c r="E23" i="26"/>
  <c r="F23" i="26"/>
  <c r="D24" i="26"/>
  <c r="E24" i="26"/>
  <c r="F24" i="26"/>
  <c r="D25" i="26"/>
  <c r="E25" i="26"/>
  <c r="F25" i="26"/>
  <c r="D26" i="26"/>
  <c r="E26" i="26"/>
  <c r="F26" i="26"/>
  <c r="F22" i="26"/>
  <c r="E22" i="26"/>
  <c r="D22" i="26"/>
  <c r="C22" i="26"/>
  <c r="C23" i="26"/>
  <c r="C24" i="26"/>
  <c r="K12" i="26"/>
  <c r="C26" i="26"/>
  <c r="C25" i="26"/>
  <c r="F16" i="26"/>
  <c r="F17" i="26"/>
  <c r="F18" i="26"/>
  <c r="F19" i="26"/>
  <c r="F15" i="26"/>
  <c r="E19" i="26"/>
  <c r="E16" i="26"/>
  <c r="E17" i="26"/>
  <c r="E18" i="26"/>
  <c r="E15" i="26"/>
  <c r="D16" i="26"/>
  <c r="D17" i="26"/>
  <c r="D18" i="26"/>
  <c r="D19" i="26"/>
  <c r="D15" i="26"/>
  <c r="C15" i="26"/>
  <c r="C16" i="26"/>
  <c r="C17" i="26"/>
  <c r="C18" i="26"/>
  <c r="C19" i="26"/>
  <c r="H136" i="34" l="1"/>
  <c r="H37" i="35"/>
  <c r="L37" i="35" s="1"/>
  <c r="K37" i="35" s="1"/>
  <c r="F35" i="1"/>
  <c r="D35" i="1"/>
  <c r="L35" i="1" s="1"/>
  <c r="F36" i="1"/>
  <c r="D42" i="35" l="1" a="1"/>
  <c r="D42" i="35" s="1"/>
  <c r="F38" i="1"/>
  <c r="H34" i="1" l="1"/>
  <c r="F4" i="1" l="1"/>
  <c r="H5" i="31" s="1"/>
  <c r="I2" i="5" l="1"/>
  <c r="I3" i="5" s="1"/>
  <c r="I4" i="5" s="1"/>
  <c r="I5" i="5" s="1"/>
  <c r="I6" i="5" s="1"/>
  <c r="I7" i="5" s="1"/>
  <c r="I8" i="5" s="1"/>
  <c r="I9" i="5" s="1"/>
  <c r="I10" i="5" s="1"/>
  <c r="J27" i="5" l="1"/>
  <c r="J28" i="5" s="1"/>
  <c r="J29" i="5" s="1"/>
  <c r="J30" i="5" s="1"/>
  <c r="J31" i="5" s="1"/>
  <c r="D36" i="1" l="1"/>
  <c r="D34" i="1"/>
  <c r="D38" i="1" l="1"/>
  <c r="J38" i="1" s="1"/>
  <c r="L36" i="1"/>
  <c r="E30" i="1"/>
  <c r="C30" i="1"/>
  <c r="E29" i="1"/>
  <c r="C29" i="1"/>
  <c r="E28" i="1"/>
  <c r="C28" i="1"/>
  <c r="I5" i="14" l="1"/>
  <c r="B38" i="1"/>
  <c r="B36" i="1"/>
  <c r="B35" i="1"/>
  <c r="G183" i="1"/>
  <c r="G182" i="1"/>
  <c r="C73" i="1"/>
  <c r="C24" i="1"/>
  <c r="C27" i="1"/>
  <c r="C25" i="1"/>
  <c r="C26" i="1"/>
  <c r="H3" i="5"/>
  <c r="H4" i="5" s="1"/>
  <c r="H5" i="5" s="1"/>
  <c r="H6" i="5" s="1"/>
  <c r="H7" i="5" s="1"/>
  <c r="H8" i="5" s="1"/>
  <c r="H9" i="5" s="1"/>
  <c r="H10" i="5" s="1"/>
  <c r="H11" i="5" s="1"/>
  <c r="H12" i="5" s="1"/>
  <c r="H13" i="5" s="1"/>
  <c r="H14" i="5" s="1"/>
  <c r="H15" i="5" s="1"/>
  <c r="H16" i="5" s="1"/>
  <c r="H17" i="5" s="1"/>
  <c r="H18" i="5" s="1"/>
  <c r="H19" i="5" s="1"/>
  <c r="H20" i="5" s="1"/>
  <c r="H21" i="5" s="1"/>
  <c r="H22" i="5" s="1"/>
  <c r="H23" i="5" s="1"/>
  <c r="H24" i="5" s="1"/>
  <c r="E73" i="1"/>
  <c r="E26" i="1"/>
  <c r="E25" i="1"/>
  <c r="E24" i="1"/>
  <c r="D40" i="1" l="1"/>
  <c r="K181" i="1"/>
  <c r="K186" i="1" s="1"/>
  <c r="K184" i="1" l="1"/>
  <c r="K183" i="1"/>
  <c r="K182" i="1"/>
  <c r="K185" i="1"/>
  <c r="H35" i="1"/>
  <c r="F182" i="1"/>
  <c r="L181" i="1"/>
  <c r="L186" i="1" s="1"/>
  <c r="F183" i="1"/>
  <c r="L184" i="1" l="1"/>
  <c r="L183" i="1"/>
  <c r="L185" i="1"/>
  <c r="L182" i="1"/>
  <c r="D126" i="29"/>
  <c r="R19" i="29"/>
  <c r="R124" i="29" s="1"/>
  <c r="O124" i="29"/>
  <c r="S124" i="29"/>
  <c r="M181" i="1"/>
  <c r="M186" i="1" s="1"/>
  <c r="M182" i="1" l="1"/>
  <c r="M184" i="1"/>
  <c r="M183" i="1"/>
  <c r="M185" i="1"/>
  <c r="V147" i="35"/>
  <c r="V149" i="35" s="1"/>
  <c r="V154" i="35" s="1"/>
  <c r="R147" i="35"/>
  <c r="R149" i="35" s="1"/>
  <c r="R154" i="35" s="1"/>
  <c r="U147" i="35"/>
  <c r="N181" i="1"/>
  <c r="N186" i="1" s="1"/>
  <c r="D41" i="1"/>
  <c r="N182" i="1" l="1"/>
  <c r="N184" i="1"/>
  <c r="N183" i="1"/>
  <c r="N185" i="1"/>
  <c r="R36" i="29"/>
  <c r="T36" i="29"/>
  <c r="S36" i="29"/>
  <c r="AE36" i="29"/>
  <c r="X36" i="29"/>
  <c r="AB36" i="29"/>
  <c r="H36" i="29"/>
  <c r="V36" i="29"/>
  <c r="Y36" i="29"/>
  <c r="U36" i="29"/>
  <c r="I36" i="29"/>
  <c r="AG36" i="29"/>
  <c r="Z36" i="29"/>
  <c r="AC36" i="29"/>
  <c r="K36" i="29"/>
  <c r="AA36" i="29"/>
  <c r="AF36" i="29"/>
  <c r="J36" i="29"/>
  <c r="AH36" i="29"/>
  <c r="AD36" i="29"/>
  <c r="M36" i="29"/>
  <c r="AI36" i="29"/>
  <c r="L36" i="29"/>
  <c r="W36" i="29"/>
  <c r="AD116" i="29"/>
  <c r="H109" i="29"/>
  <c r="H111" i="29" s="1"/>
  <c r="J109" i="29"/>
  <c r="R116" i="29"/>
  <c r="G116" i="29"/>
  <c r="G118" i="29" s="1"/>
  <c r="H116" i="29"/>
  <c r="H118" i="29" s="1"/>
  <c r="AG116" i="29"/>
  <c r="AG118" i="29" s="1"/>
  <c r="X116" i="29"/>
  <c r="M109" i="29"/>
  <c r="N116" i="29"/>
  <c r="AI116" i="29"/>
  <c r="I116" i="29"/>
  <c r="G109" i="29"/>
  <c r="G111" i="29" s="1"/>
  <c r="P116" i="29"/>
  <c r="U116" i="29"/>
  <c r="W116" i="29"/>
  <c r="O116" i="29"/>
  <c r="V116" i="29"/>
  <c r="E109" i="29"/>
  <c r="E111" i="29" s="1"/>
  <c r="E116" i="29"/>
  <c r="E118" i="29" s="1"/>
  <c r="Z116" i="29"/>
  <c r="S116" i="29"/>
  <c r="AH116" i="29"/>
  <c r="AB116" i="29"/>
  <c r="I109" i="29"/>
  <c r="L116" i="29"/>
  <c r="Q116" i="29"/>
  <c r="F109" i="29"/>
  <c r="F111" i="29" s="1"/>
  <c r="J116" i="29"/>
  <c r="K109" i="29"/>
  <c r="K116" i="29"/>
  <c r="AA116" i="29"/>
  <c r="Y116" i="29"/>
  <c r="N109" i="29"/>
  <c r="AF116" i="29"/>
  <c r="F116" i="29"/>
  <c r="F118" i="29" s="1"/>
  <c r="O36" i="29"/>
  <c r="L109" i="29"/>
  <c r="AC116" i="29"/>
  <c r="T116" i="29"/>
  <c r="AE116" i="29"/>
  <c r="M116" i="29"/>
  <c r="O109" i="29"/>
  <c r="N36" i="29"/>
  <c r="P36" i="29"/>
  <c r="Q36" i="29"/>
  <c r="H36" i="1"/>
  <c r="O6" i="5"/>
  <c r="O181" i="1"/>
  <c r="O186" i="1" s="1"/>
  <c r="O185" i="1" l="1"/>
  <c r="O182" i="1"/>
  <c r="O184" i="1"/>
  <c r="O183" i="1"/>
  <c r="R26" i="29"/>
  <c r="R125" i="29" s="1"/>
  <c r="Y26" i="29"/>
  <c r="Y125" i="29" s="1"/>
  <c r="AI125" i="29"/>
  <c r="D127" i="29"/>
  <c r="X125" i="29"/>
  <c r="I111" i="29"/>
  <c r="AD118" i="29"/>
  <c r="Y118" i="29"/>
  <c r="P118" i="29"/>
  <c r="M111" i="29"/>
  <c r="AB118" i="29"/>
  <c r="M118" i="29"/>
  <c r="U118" i="29"/>
  <c r="S118" i="29"/>
  <c r="L111" i="29"/>
  <c r="L118" i="29"/>
  <c r="J111" i="29"/>
  <c r="I118" i="29"/>
  <c r="N111" i="29"/>
  <c r="W118" i="29"/>
  <c r="O111" i="29"/>
  <c r="V118" i="29"/>
  <c r="N118" i="29"/>
  <c r="X118" i="29"/>
  <c r="Z111" i="29"/>
  <c r="Z112" i="29"/>
  <c r="R118" i="29"/>
  <c r="Z118" i="29"/>
  <c r="AF118" i="29"/>
  <c r="AI111" i="29"/>
  <c r="AI112" i="29"/>
  <c r="Q111" i="29"/>
  <c r="Q112" i="29"/>
  <c r="AB111" i="29"/>
  <c r="AB112" i="29"/>
  <c r="S111" i="29"/>
  <c r="S112" i="29"/>
  <c r="W112" i="29"/>
  <c r="W111" i="29"/>
  <c r="K111" i="29"/>
  <c r="AC118" i="29"/>
  <c r="J118" i="29"/>
  <c r="AI118" i="29"/>
  <c r="AC112" i="29"/>
  <c r="AC111" i="29"/>
  <c r="AH118" i="29"/>
  <c r="AE118" i="29"/>
  <c r="K118" i="29"/>
  <c r="T111" i="29"/>
  <c r="T112" i="29"/>
  <c r="AG112" i="29"/>
  <c r="AG111" i="29"/>
  <c r="T118" i="29"/>
  <c r="Y111" i="29"/>
  <c r="Y112" i="29"/>
  <c r="P111" i="29"/>
  <c r="P112" i="29"/>
  <c r="V112" i="29"/>
  <c r="V111" i="29"/>
  <c r="AF111" i="29"/>
  <c r="AF112" i="29"/>
  <c r="R111" i="29"/>
  <c r="R112" i="29"/>
  <c r="AA118" i="29"/>
  <c r="U111" i="29"/>
  <c r="U112" i="29"/>
  <c r="O118" i="29"/>
  <c r="AD112" i="29"/>
  <c r="AD111" i="29"/>
  <c r="AE112" i="29"/>
  <c r="AE111" i="29"/>
  <c r="AH111" i="29"/>
  <c r="AH112" i="29"/>
  <c r="AA111" i="29"/>
  <c r="AA112" i="29"/>
  <c r="Q118" i="29"/>
  <c r="X112" i="29"/>
  <c r="X111" i="29"/>
  <c r="Y117" i="29"/>
  <c r="Y119" i="29" s="1"/>
  <c r="AB117" i="29"/>
  <c r="AB119" i="29" s="1"/>
  <c r="H117" i="29"/>
  <c r="H119" i="29" s="1"/>
  <c r="X117" i="29"/>
  <c r="X119" i="29" s="1"/>
  <c r="J117" i="29"/>
  <c r="J119" i="29" s="1"/>
  <c r="F117" i="29"/>
  <c r="F119" i="29" s="1"/>
  <c r="T117" i="29"/>
  <c r="T119" i="29" s="1"/>
  <c r="N110" i="29"/>
  <c r="N112" i="29" s="1"/>
  <c r="V117" i="29"/>
  <c r="V119" i="29" s="1"/>
  <c r="E117" i="29"/>
  <c r="E119" i="29" s="1"/>
  <c r="G110" i="29"/>
  <c r="G112" i="29" s="1"/>
  <c r="I110" i="29"/>
  <c r="I112" i="29" s="1"/>
  <c r="AC117" i="29"/>
  <c r="AC119" i="29" s="1"/>
  <c r="O117" i="29"/>
  <c r="O119" i="29" s="1"/>
  <c r="S117" i="29"/>
  <c r="S119" i="29" s="1"/>
  <c r="H110" i="29"/>
  <c r="H112" i="29" s="1"/>
  <c r="M110" i="29"/>
  <c r="M112" i="29" s="1"/>
  <c r="AH117" i="29"/>
  <c r="AH119" i="29" s="1"/>
  <c r="AA117" i="29"/>
  <c r="AA119" i="29" s="1"/>
  <c r="Q117" i="29"/>
  <c r="Q119" i="29" s="1"/>
  <c r="F110" i="29"/>
  <c r="F112" i="29" s="1"/>
  <c r="M117" i="29"/>
  <c r="M119" i="29" s="1"/>
  <c r="AF117" i="29"/>
  <c r="AF119" i="29" s="1"/>
  <c r="Z117" i="29"/>
  <c r="Z119" i="29" s="1"/>
  <c r="W117" i="29"/>
  <c r="W119" i="29" s="1"/>
  <c r="L110" i="29"/>
  <c r="L112" i="29" s="1"/>
  <c r="K110" i="29"/>
  <c r="K112" i="29" s="1"/>
  <c r="U117" i="29"/>
  <c r="U119" i="29" s="1"/>
  <c r="O110" i="29"/>
  <c r="O112" i="29" s="1"/>
  <c r="N117" i="29"/>
  <c r="N119" i="29" s="1"/>
  <c r="L117" i="29"/>
  <c r="L119" i="29" s="1"/>
  <c r="P117" i="29"/>
  <c r="P119" i="29" s="1"/>
  <c r="E110" i="29"/>
  <c r="E112" i="29" s="1"/>
  <c r="AD117" i="29"/>
  <c r="AD119" i="29" s="1"/>
  <c r="J110" i="29"/>
  <c r="J112" i="29" s="1"/>
  <c r="G117" i="29"/>
  <c r="G119" i="29" s="1"/>
  <c r="I117" i="29"/>
  <c r="I119" i="29" s="1"/>
  <c r="K117" i="29"/>
  <c r="K119" i="29" s="1"/>
  <c r="AE117" i="29"/>
  <c r="AE119" i="29" s="1"/>
  <c r="AG117" i="29"/>
  <c r="AG119" i="29" s="1"/>
  <c r="AI117" i="29"/>
  <c r="AI119" i="29" s="1"/>
  <c r="R117" i="29"/>
  <c r="R119" i="29" s="1"/>
  <c r="H38" i="1"/>
  <c r="L38" i="1" s="1"/>
  <c r="P181" i="1"/>
  <c r="P186" i="1" s="1"/>
  <c r="P185" i="1" l="1"/>
  <c r="P182" i="1"/>
  <c r="P184" i="1"/>
  <c r="P183" i="1"/>
  <c r="U148" i="35"/>
  <c r="U149" i="35" s="1"/>
  <c r="U154" i="35" s="1"/>
  <c r="K38" i="1"/>
  <c r="Q181" i="1"/>
  <c r="Q186" i="1" s="1"/>
  <c r="Q183" i="1" l="1"/>
  <c r="Q182" i="1"/>
  <c r="Q184" i="1"/>
  <c r="Q185" i="1"/>
  <c r="O7" i="5"/>
  <c r="R181" i="1"/>
  <c r="R186" i="1" s="1"/>
  <c r="R182" i="1" l="1"/>
  <c r="R184" i="1"/>
  <c r="R183" i="1"/>
  <c r="R185" i="1"/>
  <c r="S181" i="1"/>
  <c r="S186" i="1" s="1"/>
  <c r="S184" i="1" l="1"/>
  <c r="S185" i="1"/>
  <c r="S183" i="1"/>
  <c r="S182" i="1"/>
  <c r="H182" i="1"/>
  <c r="T181" i="1"/>
  <c r="T186" i="1" s="1"/>
  <c r="T185" i="1" l="1"/>
  <c r="T183" i="1"/>
  <c r="T182" i="1"/>
  <c r="T184" i="1"/>
  <c r="U181" i="1"/>
  <c r="U186" i="1" s="1"/>
  <c r="U182" i="1" l="1"/>
  <c r="U183" i="1"/>
  <c r="U185" i="1"/>
  <c r="U184" i="1"/>
  <c r="H183" i="1"/>
  <c r="V181" i="1"/>
  <c r="V186" i="1" s="1"/>
  <c r="V183" i="1" l="1"/>
  <c r="V185" i="1"/>
  <c r="V182" i="1"/>
  <c r="V184" i="1"/>
  <c r="W181" i="1"/>
  <c r="W186" i="1" s="1"/>
  <c r="W184" i="1" l="1"/>
  <c r="W183" i="1"/>
  <c r="W185" i="1"/>
  <c r="W182" i="1"/>
  <c r="H57" i="31"/>
  <c r="G57" i="31"/>
  <c r="K57" i="31"/>
  <c r="I57" i="31"/>
  <c r="G60" i="31" l="1"/>
  <c r="L57" i="31"/>
  <c r="J57" i="31"/>
  <c r="G59" i="31" s="1"/>
  <c r="D43" i="1" a="1"/>
  <c r="D43" i="1" s="1"/>
  <c r="D167" i="29"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<sst xmlns="http://schemas.openxmlformats.org/spreadsheetml/2006/main" count="1968" uniqueCount="486">
  <si>
    <t>Base year</t>
  </si>
  <si>
    <t>Target year</t>
  </si>
  <si>
    <t>Scenario</t>
  </si>
  <si>
    <t>Region</t>
  </si>
  <si>
    <t>Unit</t>
  </si>
  <si>
    <t>Geography</t>
  </si>
  <si>
    <t>MtCO2</t>
  </si>
  <si>
    <t>Emissions intensity</t>
  </si>
  <si>
    <t>CE</t>
  </si>
  <si>
    <t>CI</t>
  </si>
  <si>
    <t>CE2</t>
  </si>
  <si>
    <t>Absolute contraction (LAR)</t>
  </si>
  <si>
    <t>Absolute contraction (CAGR)</t>
  </si>
  <si>
    <t>CI2</t>
  </si>
  <si>
    <t>Parameter</t>
  </si>
  <si>
    <t>Activity unit description</t>
  </si>
  <si>
    <t>Subcategory/Description</t>
  </si>
  <si>
    <t>Disclaimer</t>
  </si>
  <si>
    <t>Terms of use</t>
  </si>
  <si>
    <t>History of revisions</t>
  </si>
  <si>
    <t xml:space="preserve">Version </t>
  </si>
  <si>
    <t>Release date</t>
  </si>
  <si>
    <t>Description</t>
  </si>
  <si>
    <t>-----</t>
  </si>
  <si>
    <t>Scope 1 target</t>
  </si>
  <si>
    <t>Scope 2 target</t>
  </si>
  <si>
    <t>Support:</t>
  </si>
  <si>
    <t>info@sciencebasedtargets.org</t>
  </si>
  <si>
    <t>Version:</t>
  </si>
  <si>
    <t>%</t>
  </si>
  <si>
    <t>Target timeframe</t>
  </si>
  <si>
    <t>Target setting method</t>
  </si>
  <si>
    <t>Review all target modelling data</t>
  </si>
  <si>
    <t>Section 4. All target modelling data</t>
  </si>
  <si>
    <t>QUICK GUIDE</t>
  </si>
  <si>
    <t>README</t>
  </si>
  <si>
    <t>`</t>
  </si>
  <si>
    <t xml:space="preserve">Review data references here. </t>
  </si>
  <si>
    <t>Science Based Targets initiative website</t>
  </si>
  <si>
    <t>Please review our terms of use, disclaimer, and history of revisions made to this tool.</t>
  </si>
  <si>
    <t>Sectoral Decarbonization Approach</t>
  </si>
  <si>
    <t>IEA</t>
  </si>
  <si>
    <t>International Energy Agency</t>
  </si>
  <si>
    <t>Energy Technology Perspectives</t>
  </si>
  <si>
    <t>SDA</t>
  </si>
  <si>
    <t>1.5C</t>
  </si>
  <si>
    <t>Climate scenario aligned with a 1.5 degree temperature goal</t>
  </si>
  <si>
    <t>tCO2e</t>
  </si>
  <si>
    <t>Metric tons of carbon dioxide equivalent</t>
  </si>
  <si>
    <t xml:space="preserve">BACK-END DATA </t>
  </si>
  <si>
    <t>GRAPH DATA</t>
  </si>
  <si>
    <t>Foundations of Science-based Target Setting</t>
  </si>
  <si>
    <t>SBTi 1.5C</t>
  </si>
  <si>
    <t>2014</t>
  </si>
  <si>
    <t>2015</t>
  </si>
  <si>
    <t>2016</t>
  </si>
  <si>
    <t>2017</t>
  </si>
  <si>
    <t>2018</t>
  </si>
  <si>
    <t>2019</t>
  </si>
  <si>
    <t>2020</t>
  </si>
  <si>
    <t>2021</t>
  </si>
  <si>
    <t>2022</t>
  </si>
  <si>
    <t>2023</t>
  </si>
  <si>
    <t>2024</t>
  </si>
  <si>
    <t>2025</t>
  </si>
  <si>
    <t>2026</t>
  </si>
  <si>
    <t>2027</t>
  </si>
  <si>
    <t>2028</t>
  </si>
  <si>
    <t>2029</t>
  </si>
  <si>
    <t>2030</t>
  </si>
  <si>
    <t>2031</t>
  </si>
  <si>
    <t>2032</t>
  </si>
  <si>
    <t>2033</t>
  </si>
  <si>
    <t>2034</t>
  </si>
  <si>
    <t>2035</t>
  </si>
  <si>
    <t>2036</t>
  </si>
  <si>
    <t>2037</t>
  </si>
  <si>
    <t>2038</t>
  </si>
  <si>
    <t>2039</t>
  </si>
  <si>
    <t>2040</t>
  </si>
  <si>
    <t>2041</t>
  </si>
  <si>
    <t>2042</t>
  </si>
  <si>
    <t>2043</t>
  </si>
  <si>
    <t>2044</t>
  </si>
  <si>
    <t>2045</t>
  </si>
  <si>
    <t>2046</t>
  </si>
  <si>
    <t>2047</t>
  </si>
  <si>
    <t>2048</t>
  </si>
  <si>
    <t>2049</t>
  </si>
  <si>
    <t>2050</t>
  </si>
  <si>
    <t>Most recent year (MRY)</t>
  </si>
  <si>
    <t>Base year | Scope 2 emissions</t>
  </si>
  <si>
    <t>MRY | Scope 2 emissions</t>
  </si>
  <si>
    <t>Net Zero 2050 ambition (cross sector)</t>
  </si>
  <si>
    <t>Scope 1 Reduction to date</t>
  </si>
  <si>
    <t>Scope 2 Reduction to date</t>
  </si>
  <si>
    <t>Scope 1 FLA adjustment</t>
  </si>
  <si>
    <t>Scope 1 target with FLA adjustment</t>
  </si>
  <si>
    <t>Scope 1 target before FLA adjustment</t>
  </si>
  <si>
    <t>Scope 2 target before FLA adjustment</t>
  </si>
  <si>
    <t>Scope 2 target with FLA adjustment</t>
  </si>
  <si>
    <t>% SBT reduction</t>
  </si>
  <si>
    <t>List of changes</t>
  </si>
  <si>
    <t>Main tab | Section 1 Input data</t>
  </si>
  <si>
    <t>Increased base year eliglibilty to 2022 for S1, S2 &amp; S3</t>
  </si>
  <si>
    <t>Main tab | Section 2 SDA</t>
  </si>
  <si>
    <t>Updated target SDA calculations to accommodate base years up to 2022</t>
  </si>
  <si>
    <t>Power sector 1.5C targets in line with SBTi 1.5C pathway (no change)</t>
  </si>
  <si>
    <t>Added Steel, Cement, Buildings (residential and commercial) 1.5C pathways derived from IEA NZE</t>
  </si>
  <si>
    <t>Added Residential Buildings WB2C pathway for consistency only</t>
  </si>
  <si>
    <r>
      <rPr>
        <b/>
        <sz val="11"/>
        <color theme="1"/>
        <rFont val="Calibri"/>
        <family val="2"/>
        <scheme val="minor"/>
      </rPr>
      <t xml:space="preserve">WARNING: </t>
    </r>
    <r>
      <rPr>
        <sz val="10"/>
        <color theme="1"/>
        <rFont val="Arial"/>
        <family val="2"/>
      </rPr>
      <t>Residential buildings pathway is almost entirely unapplicable to a company S1&amp;S2 emissions, should be used mostly for S3 applications</t>
    </r>
  </si>
  <si>
    <t>Steel, Cement, Buildings 1.5C S2 pathways derived from IEA NZE Power Sector pathway for scenario consistency (not SBTi 1.5C pathway for Power sector)</t>
  </si>
  <si>
    <t>Kept WB2C legacy pathways, available until July 15 2022</t>
  </si>
  <si>
    <t>Added chart for combined S1+S2 intensity target</t>
  </si>
  <si>
    <t>Changed results layout</t>
  </si>
  <si>
    <t>Main tab | Section 3 Absolute contraction</t>
  </si>
  <si>
    <t>Updated absolute contraction calculations for S1 &amp; S2 emissions (base year dependent)</t>
  </si>
  <si>
    <t>Eliminated absolute contraction calculation for WB2C for S1 &amp; S2</t>
  </si>
  <si>
    <t>Improved calculation for combined S1+S2 absolute target in results table</t>
  </si>
  <si>
    <t>Added results for "reduction to date", "FLA adjustment" and SBT reduction to show new FLA calculation</t>
  </si>
  <si>
    <t>Change results layout</t>
  </si>
  <si>
    <t>Scope 3 tab | All sections</t>
  </si>
  <si>
    <t>Updated absolute contraction calculations for S3 emissions (base year dependent)</t>
  </si>
  <si>
    <t>Eliminated absolute contraction calculation for 2C for S3 emissions</t>
  </si>
  <si>
    <t>Updated Scope 3 physical intensity calculation</t>
  </si>
  <si>
    <r>
      <rPr>
        <b/>
        <sz val="11"/>
        <color theme="1"/>
        <rFont val="Calibri"/>
        <family val="2"/>
        <scheme val="minor"/>
      </rPr>
      <t>NOTE:</t>
    </r>
    <r>
      <rPr>
        <sz val="10"/>
        <color theme="1"/>
        <rFont val="Arial"/>
        <family val="2"/>
      </rPr>
      <t xml:space="preserve"> No FLA for Scope 3</t>
    </r>
  </si>
  <si>
    <t>Other fixes</t>
  </si>
  <si>
    <t>Updates to README tab</t>
  </si>
  <si>
    <t>Adjustments to target modelling data (section 4 in main tab)</t>
  </si>
  <si>
    <t>Adjusted database tab (will keep locked but visible to users)</t>
  </si>
  <si>
    <t>Added rows for showing FLA adjustment in calculations tab (will keep locked but visible to users)</t>
  </si>
  <si>
    <t>Changed order of required input and added section for Most Recent Year activity and emissions data</t>
  </si>
  <si>
    <t>Minor edits to guidance text (column F), mouse over text and notice/notifications. Additional suggestions welcome!</t>
  </si>
  <si>
    <t>Please confirm</t>
  </si>
  <si>
    <t>Grammar is ok. Sufficient guidance</t>
  </si>
  <si>
    <t>Check calcs, please test different base &amp; target years</t>
  </si>
  <si>
    <t>Check calcs (target ouput)</t>
  </si>
  <si>
    <t>Do we need additional text guidance?</t>
  </si>
  <si>
    <t>Check results</t>
  </si>
  <si>
    <t>Check results, axis, chart layout</t>
  </si>
  <si>
    <t>Check calcs as per TVP version 3.0</t>
  </si>
  <si>
    <t>Confirm we don't need it</t>
  </si>
  <si>
    <t>Check calcs (target output)</t>
  </si>
  <si>
    <t>Any feedback on results layout?</t>
  </si>
  <si>
    <t xml:space="preserve">Confirm we don't need it </t>
  </si>
  <si>
    <t>Check text please</t>
  </si>
  <si>
    <t>Check layout</t>
  </si>
  <si>
    <t>Check layout and comment on clarity/transparency</t>
  </si>
  <si>
    <t>Years eligible suffice/work</t>
  </si>
  <si>
    <t>MRY data input is clear. Conditional formatting works</t>
  </si>
  <si>
    <t>Company | Scope 1 emissions, no FLA (tCO2e)</t>
  </si>
  <si>
    <t>Company | Scope 1 emissions FLA (tCO2e)</t>
  </si>
  <si>
    <t>Company | Scope 2 emissions, no FLA (tCO2e)</t>
  </si>
  <si>
    <t>Company | Scope 2 emissions FLA (tCO2e)</t>
  </si>
  <si>
    <t>Scope 2 FLA adjustment</t>
  </si>
  <si>
    <t>Company | Scope 1 emissions (tCO2e)</t>
  </si>
  <si>
    <t>Company | Scope 2 emissions (tCO2e)</t>
  </si>
  <si>
    <t xml:space="preserve">Including both options for FLA check for SDA is challenging. Currently it is not included. </t>
  </si>
  <si>
    <t>Do we need to add it or suggest users a workaround?</t>
  </si>
  <si>
    <r>
      <rPr>
        <b/>
        <sz val="14"/>
        <color rgb="FFC00000"/>
        <rFont val="Arial"/>
        <family val="2"/>
      </rPr>
      <t>IMPORTANT:</t>
    </r>
    <r>
      <rPr>
        <sz val="14"/>
        <color rgb="FFC00000"/>
        <rFont val="Arial"/>
        <family val="2"/>
      </rPr>
      <t xml:space="preserve"> By using this tool you acknowledge that you have read, understood and agree to our Terms of Use and Disclaimer.</t>
    </r>
  </si>
  <si>
    <t xml:space="preserve">Keppel Land trial indicates that for their ABS target for scope 1 and 2 they would have to reduce 89.1% to be in line with 1.5C pathway. Previous version of the tool only indicates a 42% reduction to be in line with 1.5C pathway. </t>
  </si>
  <si>
    <t xml:space="preserve">Target year output for physical intensity scope 3 has an extra '.0' on the end, we might want to remove for consistency </t>
  </si>
  <si>
    <t>Keppel Land physical intensity scope 3 target data outputs a 51.6% reduction needed which equates to a 5.16% linear annual reduction as per the TVR</t>
  </si>
  <si>
    <t>Pop up window when hovering over MRY indicates a 15 year target timeframe still - update to 10 years max</t>
  </si>
  <si>
    <t xml:space="preserve">Calculation not working, reduction % stays the same regardless of which base year chosen </t>
  </si>
  <si>
    <t>When choosing 'target year output' the option of fixed market share is displayed underneath for data input instead of target year output</t>
  </si>
  <si>
    <t>When selecting 2021 or 2022 using power SDA, there are errors that pop up in the % reduction table but this does not occur when selecting 2020 or lower base years</t>
  </si>
  <si>
    <t>Not applicable as they were not on SDA drop down list</t>
  </si>
  <si>
    <t>yes companies will be very confused by this - it needs to be clear that it is only for scope 3 and not an option for scope 1 and 2</t>
  </si>
  <si>
    <t>Agreed but I think we should make this clearer in the text description in 'important notice'</t>
  </si>
  <si>
    <t>Growth projections for 'services - buildings' changes when selecting WB2C (18%) to 1.5C (19%)… is this intended?</t>
  </si>
  <si>
    <t xml:space="preserve">Base year cell in scope 3 tool still has a hover over text reading that 15 years target time frame is ok - update to 10 years max </t>
  </si>
  <si>
    <t xml:space="preserve">Crazy reduction outputs for SDA services buildings that are not in line with reality </t>
  </si>
  <si>
    <t xml:space="preserve">Unit is incorrect for SDA services buildings </t>
  </si>
  <si>
    <t>Conditional formatting for MRY is not working for power SDA (maybe all SDAs?)</t>
  </si>
  <si>
    <t>MRY data did not impact results of reduction for power SDA and it should….</t>
  </si>
  <si>
    <t>Graphs for power SDA should be 'generation' rather than scope 1</t>
  </si>
  <si>
    <t xml:space="preserve">Random comments and updates needed </t>
  </si>
  <si>
    <t>Change the warning for absolute contraction to only 'power generation emissions' rather than power sector companies</t>
  </si>
  <si>
    <t xml:space="preserve">Update blurb about FLA to be more user friendly </t>
  </si>
  <si>
    <t>TVT notes on specific changes</t>
  </si>
  <si>
    <t>Fixed mouse over text</t>
  </si>
  <si>
    <t>Ok, thank you</t>
  </si>
  <si>
    <t>Confirmed that dropdown will only include Power, Service and Residential buildings</t>
  </si>
  <si>
    <t>As per our conversation, WB2C SDA is not longer enabled in this tool version</t>
  </si>
  <si>
    <t>As agreed, users will be required to submit two tools (one with base year, one with MRY data)</t>
  </si>
  <si>
    <t>Clarified during call</t>
  </si>
  <si>
    <t>Fixed issue with FLA adjusting kicking in</t>
  </si>
  <si>
    <t>adjusted decimals</t>
  </si>
  <si>
    <t xml:space="preserve">Yes, but WB2C is now disabled </t>
  </si>
  <si>
    <t>corrected, thanks</t>
  </si>
  <si>
    <t>yes,conversion factors for buildings got misaligned with sectors in the Lists tab. This has been fixed</t>
  </si>
  <si>
    <t>fixed, thanks</t>
  </si>
  <si>
    <t>MRY data input is now disabled for SDA calcs</t>
  </si>
  <si>
    <t>changed</t>
  </si>
  <si>
    <t>% FLA Adjustment</t>
  </si>
  <si>
    <t>% Reduction to date</t>
  </si>
  <si>
    <t>Select a base year</t>
  </si>
  <si>
    <t>Select a target year</t>
  </si>
  <si>
    <t>Thank you Emma for your review</t>
  </si>
  <si>
    <t>Hid rows for unused sector data</t>
  </si>
  <si>
    <t>Added to wish list for next tool version</t>
  </si>
  <si>
    <t>MRY | Scope 1 emissions</t>
  </si>
  <si>
    <t>Please test again</t>
  </si>
  <si>
    <t>Fixed, please test again</t>
  </si>
  <si>
    <t xml:space="preserve">Please suggest text to add </t>
  </si>
  <si>
    <t>LAR increases significantly since the new rate is 7% compounded</t>
  </si>
  <si>
    <t>McKenna responses</t>
  </si>
  <si>
    <t>Ok now</t>
  </si>
  <si>
    <t>I think we will do this on the website rather than within the tool. However, maybe we could add like a '*' next to the residential building option so companies are aware</t>
  </si>
  <si>
    <t>yay great</t>
  </si>
  <si>
    <t>Yes great!</t>
  </si>
  <si>
    <t>great thanks!</t>
  </si>
  <si>
    <t>hahaha</t>
  </si>
  <si>
    <t>Timeline counter</t>
  </si>
  <si>
    <t>0.0</t>
  </si>
  <si>
    <t>This Tool is intended to enable companies to develop appropriate science-based emissions reductions targets, as well as to assist companies and interested third parties in assessing and evaluating companies' targets. 
These terms of use govern all access to and use of the Tool. Please read these terms carefully before accessing or using the Tool and any associated materials. By accepting these terms, you indicate that you have read and understood them and that you agree to abide by them. If you do not agree to these terms, you will not be able to use the Tool. 
It is your responsibility to check these terms periodically for changes. Your continued use of the Tool following the posting of any changes to these terms constitutes acceptance of those changes.</t>
  </si>
  <si>
    <t>For additional terms and definitions, consult the SBTi glossary: http://sciencebasedtargets.org/glossary</t>
  </si>
  <si>
    <t xml:space="preserve">SBTi Step by step process </t>
  </si>
  <si>
    <t>SBTi Resources</t>
  </si>
  <si>
    <t>SBTi Corporate Target Submission Form</t>
  </si>
  <si>
    <t>SBTi Sector Guidance</t>
  </si>
  <si>
    <t>Enter your company name</t>
  </si>
  <si>
    <t>Near-Term Scope 1 SBT Formulation</t>
  </si>
  <si>
    <t>Near-Term Scope 2 SBT Formulation</t>
  </si>
  <si>
    <t>Near-Term Scope 1+2 SBT Formulation</t>
  </si>
  <si>
    <t xml:space="preserve">SBTi Criteria and Recommendations </t>
  </si>
  <si>
    <t>Although reasonable care was taken in the preparation of this Tool, the Science Based Targets initiative (SBTi) hereby states and affirms that the Tool is provided without warranty, either expressed or implied, of accuracy, completeness or fitness for purpose. The SBTi hereby further disclaims any liability, direct or indirect, for damages or loss relating to the use of this Tool to the fullest extent permitted by law. This Tool is based on a voluntary framework or procedures and is not intended to replace the legal or regulatory requirements of any country. 
Developing science-based targets is a multi-step process and appropriate company-wide science-based targets can only be developed after careful consideration of the necessary input data regarding company emissions and activity levels. Only then should emissions targets be developed. The SBTi does not examine, verify or hold any such input data provided by users of the Tool.
The information (including data) contained in the Tool is not intended to constitute or form the basis of any advice (financial or otherwise). The Tool relies on data obtained from a variety of third-party sources. This data was obtained from sources believed by SBTi be reliable, but there can be no assurance as to the accuracy or completeness of this data. Further, scenarios and assumptions included in the Tool are inherently uncertain due to events or combinations of events that cannot reasonably be foreseen, including, without limitation, the actions of governments, organizations and individuals. The SBTi does not accept any liability for any claim or loss arising from any use of or reliance on any data or information in the Tool. 
This Tool is protected by copyright. Information or material from this Tool may be reproduced only in unaltered form for personal, non-commercial use. All other rights are reserved. Information or material used from this Tool may be used only for the purposes of private study, research, criticism, or review permitted under the Copyright Designs &amp; Patents Act 1988 as amended from time to time ('Copyright Act'). Any reproduction permitted in accordance with the Copyright Act shall acknowledge this Tool as the source of any selected passage, extract, diagram, content or other information. 
The SBTi reserves the right to revise or withdraw this Tool according to a set revision schedule or as advisable to reflect the most recent emissions scenarios, regulatory, legal or scientific developments, and GHG accounting best practices, and will not be liable if for any reason the Tool is unavailable at any time or for any period. 
“Science Based Targets initiative” and “SBTi” refer to the Science Based Targets initiative, a private company registered in England number 14960097 and registered as a UK Charity number 1205768. © SBTi 2024</t>
  </si>
  <si>
    <t>SBTi Criteria Assessment Indicators</t>
  </si>
  <si>
    <t>SBTi Procedure for Validation of SBTi Targets</t>
  </si>
  <si>
    <t>SBTi Corporate Net-Zero Standard</t>
  </si>
  <si>
    <t>Advanced</t>
  </si>
  <si>
    <t>China</t>
  </si>
  <si>
    <t>EMDE</t>
  </si>
  <si>
    <t>Global</t>
  </si>
  <si>
    <t>Passenger Cars</t>
  </si>
  <si>
    <t>LCVs</t>
  </si>
  <si>
    <r>
      <t xml:space="preserve">How to navigate this tool </t>
    </r>
    <r>
      <rPr>
        <b/>
        <sz val="20"/>
        <color rgb="FFFF0000"/>
        <rFont val="Arial"/>
        <family val="2"/>
      </rPr>
      <t xml:space="preserve"> - TO BE UPDATED -</t>
    </r>
  </si>
  <si>
    <t>Vehicle category</t>
  </si>
  <si>
    <t>Legacy WTW (B2DS)</t>
  </si>
  <si>
    <t>WTW emissions intensity LDV</t>
  </si>
  <si>
    <t>Reduction relative to 2020</t>
  </si>
  <si>
    <t>Reduction relative to 2018</t>
  </si>
  <si>
    <t>Reduction relative to 2022</t>
  </si>
  <si>
    <t>Comparison of target ambition on WtW basis</t>
  </si>
  <si>
    <t>Test case 1</t>
  </si>
  <si>
    <t>ITF</t>
  </si>
  <si>
    <t>SFC</t>
  </si>
  <si>
    <t>Test case 2</t>
  </si>
  <si>
    <t>Reduction relative to 2016</t>
  </si>
  <si>
    <t>Flow</t>
  </si>
  <si>
    <t>Vehicle Category</t>
  </si>
  <si>
    <t>2011</t>
  </si>
  <si>
    <t>2012</t>
  </si>
  <si>
    <t>2013</t>
  </si>
  <si>
    <t>2010</t>
  </si>
  <si>
    <t>SS</t>
  </si>
  <si>
    <t>Model sheet</t>
  </si>
  <si>
    <t>Sales share</t>
  </si>
  <si>
    <t>LCint</t>
  </si>
  <si>
    <t>Shares of sales per region</t>
  </si>
  <si>
    <t xml:space="preserve">Target year </t>
  </si>
  <si>
    <r>
      <t xml:space="preserve">SBTi online resources  </t>
    </r>
    <r>
      <rPr>
        <b/>
        <sz val="20"/>
        <color rgb="FFFF0000"/>
        <rFont val="Arial"/>
        <family val="2"/>
      </rPr>
      <t xml:space="preserve">- TO BE UPDATED - </t>
    </r>
  </si>
  <si>
    <t>Base year | Scope 1 emissions</t>
  </si>
  <si>
    <t>gCO2e/vkm</t>
  </si>
  <si>
    <t>GHG emissions intensity (gCO2e/vkm) by region on LC Basis</t>
  </si>
  <si>
    <t>Graph 1 | Absolute contraction 1.5C</t>
  </si>
  <si>
    <t xml:space="preserve">Base year </t>
  </si>
  <si>
    <t>Metric</t>
  </si>
  <si>
    <t>share of sales</t>
  </si>
  <si>
    <t>grams of CO2e per vehicle-kilometer</t>
  </si>
  <si>
    <t>Most recent year</t>
  </si>
  <si>
    <t>Cb</t>
  </si>
  <si>
    <t>Cy</t>
  </si>
  <si>
    <t>Benchmark | GHG emissions intensity by region on LC Basis</t>
  </si>
  <si>
    <t>Benchmark | Shares of sales per region</t>
  </si>
  <si>
    <t>Base year | Life-cycle intensity (average)</t>
  </si>
  <si>
    <t>Base year | Sales share (average)</t>
  </si>
  <si>
    <t>Tb</t>
  </si>
  <si>
    <t>Benchmark | Normative trajectory value in year b</t>
  </si>
  <si>
    <t>% difference</t>
  </si>
  <si>
    <t>Near-term life-cycle target formulation</t>
  </si>
  <si>
    <t>Near-term sales share target formulation</t>
  </si>
  <si>
    <t>Annual reduction 1.5C (2020 - 2030)</t>
  </si>
  <si>
    <t>Annual reduction 1.5C (&gt; 2020)</t>
  </si>
  <si>
    <t>Annual reduction 1.5C (&gt; 2030)</t>
  </si>
  <si>
    <t>Absolute contraction targets</t>
  </si>
  <si>
    <t>Absolute contraction targets | Scope 1 and 2</t>
  </si>
  <si>
    <t>Percentage of low-emission vehicle sales in selected region</t>
  </si>
  <si>
    <t>Method</t>
  </si>
  <si>
    <t>Same as above</t>
  </si>
  <si>
    <t>Please refer to the SBTi Automotive Standard</t>
  </si>
  <si>
    <t xml:space="preserve">Section 1: </t>
  </si>
  <si>
    <t xml:space="preserve">Section 2: </t>
  </si>
  <si>
    <t xml:space="preserve">Section 3:  </t>
  </si>
  <si>
    <t xml:space="preserve">Section 4: </t>
  </si>
  <si>
    <t>Review all target modelling output data.</t>
  </si>
  <si>
    <t>Near-term target setting tool for Automakers | User Guide</t>
  </si>
  <si>
    <t>Required Input</t>
  </si>
  <si>
    <t>Calculations / Results</t>
  </si>
  <si>
    <t>Same as Section 1 above</t>
  </si>
  <si>
    <t>Absolute contraction approach</t>
  </si>
  <si>
    <t>Convergence approach</t>
  </si>
  <si>
    <t>Percent improvement approach</t>
  </si>
  <si>
    <r>
      <t xml:space="preserve">Absolute emission reduction targets for Scope 1 and 2. Input emissions data as required to calculate targets using the </t>
    </r>
    <r>
      <rPr>
        <b/>
        <u/>
        <sz val="10"/>
        <rFont val="Arial"/>
        <family val="2"/>
      </rPr>
      <t>absolute contraction approach</t>
    </r>
    <r>
      <rPr>
        <sz val="10"/>
        <rFont val="Arial"/>
        <family val="2"/>
      </rPr>
      <t>.</t>
    </r>
  </si>
  <si>
    <r>
      <t xml:space="preserve">Life-cycle intensity and sales share targets for LDVs. Input life-cycle intensity data (gCO2e/vkm) and sales shares (%) per relevant geography to calculate targets using the </t>
    </r>
    <r>
      <rPr>
        <b/>
        <u/>
        <sz val="10"/>
        <rFont val="Arial"/>
        <family val="2"/>
      </rPr>
      <t>convergence approach</t>
    </r>
    <r>
      <rPr>
        <sz val="10"/>
        <rFont val="Arial"/>
        <family val="2"/>
      </rPr>
      <t xml:space="preserve">. </t>
    </r>
  </si>
  <si>
    <t>Array formula</t>
  </si>
  <si>
    <t>Select most recent year of available data</t>
  </si>
  <si>
    <t>Low-emissions vehicle sales share convergence method</t>
  </si>
  <si>
    <t>Absolute contraction method | Scopes 1 and 2</t>
  </si>
  <si>
    <t>draft version - do not circulate</t>
  </si>
  <si>
    <t xml:space="preserve">Version: </t>
  </si>
  <si>
    <t>% 
reduction</t>
  </si>
  <si>
    <t xml:space="preserve">Target modelling results </t>
  </si>
  <si>
    <t>Low-emission vehicle sales share 
(%)</t>
  </si>
  <si>
    <t>Life-cycle intensity 
(gCO2e/vkm)</t>
  </si>
  <si>
    <t>% 
increase</t>
  </si>
  <si>
    <t>% 
difference</t>
  </si>
  <si>
    <t>&lt; COPY ROW</t>
  </si>
  <si>
    <t>&lt; PASTE ROWS</t>
  </si>
  <si>
    <t>INPUT REQUIRED</t>
  </si>
  <si>
    <t>Single road vehicle category</t>
  </si>
  <si>
    <t>Single road Vehicle category</t>
  </si>
  <si>
    <t>Automakers | Near-term targets</t>
  </si>
  <si>
    <t>Target Aggregator</t>
  </si>
  <si>
    <t>Front end of the target setting tool aimed at modelling SBTs for road vehicles using convergence and percent improvement approaches</t>
  </si>
  <si>
    <t>Tool for aggregating eligible target types (for same vehicle category and same target-setting approach) based on weighted averages</t>
  </si>
  <si>
    <t>Data and calculations used in modelling life-cycle and low-emission sales share targets. Backend data uses proprietary data and is password protected.</t>
  </si>
  <si>
    <t>Activity 
Annual sales per region
(units)</t>
  </si>
  <si>
    <t>Activity 
Annual sales per region
(unit)</t>
  </si>
  <si>
    <t>ABC Motors</t>
  </si>
  <si>
    <t>Automotive standard criteria</t>
  </si>
  <si>
    <t>AMSS-C6: Companies shall set targets to reduce combined scope 1 and 2 emissions</t>
  </si>
  <si>
    <t>AMSS-C7: Companies shall set targets to increase their low-emission vehicle sales share covering their overall annual vehicle sales/registration portfolio for the target base year</t>
  </si>
  <si>
    <t>AMSS-C5: Companies shall set targets to reduce vehicle life-cycle emission intensity covering their overall annual vehicle sales/registration portfolio</t>
  </si>
  <si>
    <t>Advanced Economies</t>
  </si>
  <si>
    <t>Emerging Markets and Developing Economies</t>
  </si>
  <si>
    <t>Medium Duty Trucks</t>
  </si>
  <si>
    <t>Medium duty trucks</t>
  </si>
  <si>
    <t>Heavy duty trucks</t>
  </si>
  <si>
    <t>2&amp;3 wheelers</t>
  </si>
  <si>
    <r>
      <t>Life-cycle intensity and sales share targets for 2-3 wheelers, buses and minibuses, medium and heavy duty trucks. Input life-cycle intensity data (gCO2e/vkm) and sales shares (%) per relevant geography to calculate targets using the</t>
    </r>
    <r>
      <rPr>
        <b/>
        <u/>
        <sz val="10"/>
        <rFont val="Arial"/>
        <family val="2"/>
      </rPr>
      <t xml:space="preserve"> percent improvement approach and the convergence approach,</t>
    </r>
    <r>
      <rPr>
        <sz val="10"/>
        <rFont val="Arial"/>
        <family val="2"/>
      </rPr>
      <t xml:space="preserve"> respectively.</t>
    </r>
  </si>
  <si>
    <t>PLDVs</t>
  </si>
  <si>
    <r>
      <t xml:space="preserve">Section 2. Near-term life-cycle intensity and low-emission vehicle sales share targets </t>
    </r>
    <r>
      <rPr>
        <b/>
        <sz val="14"/>
        <color rgb="FFC00000"/>
        <rFont val="Arial"/>
        <family val="2"/>
      </rPr>
      <t>(PLDVs &amp; LCVs)</t>
    </r>
  </si>
  <si>
    <r>
      <t xml:space="preserve">Section 3. Near-term life-cycle intensity and low-emission vehicle sales share targets </t>
    </r>
    <r>
      <rPr>
        <b/>
        <sz val="14"/>
        <color rgb="FFC00000"/>
        <rFont val="Arial"/>
        <family val="2"/>
      </rPr>
      <t>(2&amp;3 wheelers, buses &amp; minibuses, medium and heavy duty trucks)</t>
    </r>
  </si>
  <si>
    <t>SECTION 1: SCOPE 1 AND SCOPE 2 ABSOLUTE CONTRACTION TARGETS</t>
  </si>
  <si>
    <t>Vehicle cycle</t>
  </si>
  <si>
    <t>GHG emission intensity of autopart manufacturing</t>
  </si>
  <si>
    <t>Net Zero Scope 1+2 SBT Formulation</t>
  </si>
  <si>
    <t>ABC Motors commits to reduce scope 1 and 2 emissions 89% by 2040 from a 2022 base year</t>
  </si>
  <si>
    <t xml:space="preserve">Please note that only targets modelled for the same road vehicle category can be aggregated with this table. </t>
  </si>
  <si>
    <t xml:space="preserve">Section 3: </t>
  </si>
  <si>
    <t>Section 1. Scope 1 and 2 targets</t>
  </si>
  <si>
    <t>Vehicle category for sold autoparts</t>
  </si>
  <si>
    <t xml:space="preserve">Section 2:  </t>
  </si>
  <si>
    <t>Section X. Scope 1 and 2 targets</t>
  </si>
  <si>
    <t>NFG</t>
  </si>
  <si>
    <t>AUTOMAKERS SECTION 2: TARGET CALCULATIONS FOR 2&amp;3 WHEELERS, BUSES, MEDIUM AND HEAVY DUTY TRUCKS</t>
  </si>
  <si>
    <t>AUTOPART MANUFACTURERS</t>
  </si>
  <si>
    <t xml:space="preserve">Acronyms and definitions </t>
  </si>
  <si>
    <t xml:space="preserve">References </t>
  </si>
  <si>
    <t>Select a geography</t>
  </si>
  <si>
    <t>Select a vehicle category</t>
  </si>
  <si>
    <t>VCint</t>
  </si>
  <si>
    <t>2051</t>
  </si>
  <si>
    <t>2052</t>
  </si>
  <si>
    <t>2053</t>
  </si>
  <si>
    <t>2054</t>
  </si>
  <si>
    <t>2055</t>
  </si>
  <si>
    <t>2056</t>
  </si>
  <si>
    <t>2057</t>
  </si>
  <si>
    <t>2058</t>
  </si>
  <si>
    <t>2059</t>
  </si>
  <si>
    <t>2060</t>
  </si>
  <si>
    <t>APSS-C6: Companies shall set targets to reduce annual auto parts manufacture emission intensity, covering their activities related to parts manufacturing</t>
  </si>
  <si>
    <t>AMSS-C6: Companies shall set targets to reduce scope 3 category 1 emissions</t>
  </si>
  <si>
    <t>Passenger cars</t>
  </si>
  <si>
    <t>Buses</t>
  </si>
  <si>
    <t>APSS-C7: Companies shall set targets to reduce scope 3 category 1 emissions</t>
  </si>
  <si>
    <t>APSS-C8: Companies shall set targets to reduce scope 3 category 11 emissions</t>
  </si>
  <si>
    <r>
      <t xml:space="preserve">Section 2. Target setting for non light-duty vehicles </t>
    </r>
    <r>
      <rPr>
        <b/>
        <sz val="14"/>
        <color rgb="FF7030A0"/>
        <rFont val="Arial"/>
        <family val="2"/>
      </rPr>
      <t>(2&amp;3 wheelers, buses, medium and heavy duty trucks)</t>
    </r>
  </si>
  <si>
    <t>Section 1. Target setting for autopart manufacturers' operational and value chain emissions</t>
  </si>
  <si>
    <t>Materials (aggregate - scope 3 cat 1)</t>
  </si>
  <si>
    <t>All</t>
  </si>
  <si>
    <t>Materials</t>
  </si>
  <si>
    <t>Mat</t>
  </si>
  <si>
    <t>WtWInt</t>
  </si>
  <si>
    <t>Fuel Cycle</t>
  </si>
  <si>
    <t xml:space="preserve">GHG emission intensity of emission intensity of powertrains </t>
  </si>
  <si>
    <t>Benchmark | Materials (Scope 3 Category 1)</t>
  </si>
  <si>
    <t>Section 3. Target setting for scope 3 category 1 emissions</t>
  </si>
  <si>
    <t>AUTOMAKERS SECTION 1: TARGET CALCULATIONS FOR LIGHT-DUTY VEHICLES</t>
  </si>
  <si>
    <r>
      <t xml:space="preserve">Section 1. Target setting for light-duty vehicles </t>
    </r>
    <r>
      <rPr>
        <b/>
        <sz val="14"/>
        <color rgb="FF7030A0"/>
        <rFont val="Arial"/>
        <family val="2"/>
      </rPr>
      <t>(Passenger cars and LCVs)</t>
    </r>
  </si>
  <si>
    <t>AUTOMAKERS SECTION 3: SCOPE 3 CATEGORY 1 EMISSIONS</t>
  </si>
  <si>
    <t>WtWint</t>
  </si>
  <si>
    <t>Benchmark | GHG emissions intensity by region on WtW Basis</t>
  </si>
  <si>
    <t>Note:</t>
  </si>
  <si>
    <t>gCO2e/part</t>
  </si>
  <si>
    <t>International Transport Forum</t>
  </si>
  <si>
    <t>STEPS</t>
  </si>
  <si>
    <t>Stated policies scenario</t>
  </si>
  <si>
    <t>APS</t>
  </si>
  <si>
    <t>NZE</t>
  </si>
  <si>
    <t>Net-zero scenario</t>
  </si>
  <si>
    <t>Announced Pledges Scenarios (International Energy Agency)</t>
  </si>
  <si>
    <t>Grams of carbon dioxide equivalent per vehicle kilometer</t>
  </si>
  <si>
    <t>Grams of carbon dioxide equivalent per autopart manufactured</t>
  </si>
  <si>
    <t>LDV</t>
  </si>
  <si>
    <t>Light duty vehicle</t>
  </si>
  <si>
    <t>LCV</t>
  </si>
  <si>
    <t>Light commercial vehicle</t>
  </si>
  <si>
    <t>Two- and three-wheeled vehicles</t>
  </si>
  <si>
    <t>WTT</t>
  </si>
  <si>
    <t>TTW</t>
  </si>
  <si>
    <t>WTW</t>
  </si>
  <si>
    <t>Well-to-tank</t>
  </si>
  <si>
    <t>Tank-to-wheel</t>
  </si>
  <si>
    <t>Well-to-wheel</t>
  </si>
  <si>
    <t>Draft for internal beta-testing / SBTi review</t>
  </si>
  <si>
    <t>Released for public consultation</t>
  </si>
  <si>
    <r>
      <t xml:space="preserve">SBTi Automotive Target-Setting Tool | </t>
    </r>
    <r>
      <rPr>
        <b/>
        <sz val="22"/>
        <color rgb="FFFF0000"/>
        <rFont val="Arial"/>
        <family val="2"/>
      </rPr>
      <t>DRAFT VERSION</t>
    </r>
  </si>
  <si>
    <r>
      <t xml:space="preserve">Section 2. Target setting for manufacturers of powertrains for light-duty vehicles </t>
    </r>
    <r>
      <rPr>
        <b/>
        <sz val="14"/>
        <color rgb="FF7030A0"/>
        <rFont val="Arial"/>
        <family val="2"/>
      </rPr>
      <t>(Passenger cars and LCVs)</t>
    </r>
  </si>
  <si>
    <r>
      <t xml:space="preserve">Section 3. Target setting for manufacturers of powertrains for non light-duty vehicles </t>
    </r>
    <r>
      <rPr>
        <b/>
        <sz val="14"/>
        <color rgb="FF7030A0"/>
        <rFont val="Arial"/>
        <family val="2"/>
      </rPr>
      <t>(2&amp;3 wheelers, buses, medium and heavy duty trucks)</t>
    </r>
  </si>
  <si>
    <t>% change</t>
  </si>
  <si>
    <t>Note: For a complete list of references used in developing benchmark trajectories please refer to the SBTi Automotive Sector Net Zero Standard</t>
  </si>
  <si>
    <t xml:space="preserve">International Transport Forum (2025), All-Out Scenario modelling in the International Transport Forum’s Transport Outlook, 2025 (ITF, forthcoming)
International Transport Forum (2020), Good to Go? Assessing the Environmental Performance of New Mobility
https://www.itf-oecd.org/good-go-assessing-environmental-performance-new-mobility
International Transport Forum (2024), Greener Micromobility
https://www.itf-oecd.org/greener-micromobility
International Energy Agency (2024), World Energy Outlook 2024 Free Dataset. Includes world aggregated data for all three modelled scenarios (STEPS, APS, NZE) and selected data for key regions and countries for 2030, 2035, 2040 and 2050, as well as historical data (2010, 2022, 2023)
https://www.iea.org/data-and-statistics/data-product/world-energy-outlook-2024-free-dataset
International Energy Agency (2024), Life Cycle Upstream Emissions Factors 2024
https://www.iea.org/data-and-statistics/data-product/life-cycle-upstream-emissions-factors-2024-2
Argonne National laboratory (2024), GREET Energy Systems and Infrastructure Analysis 
https://greet.anl.gov/
</t>
  </si>
  <si>
    <t>Base year | Scope 3 category 1 emission intensity</t>
  </si>
  <si>
    <t>Vehicle-cycle trajectories corrected for increases in emissions intensity occurring between 2022-2025</t>
  </si>
  <si>
    <t>Company name</t>
  </si>
  <si>
    <t>Base year | Aggregated emission intensity (average)</t>
  </si>
  <si>
    <t>Base year | Low-emission vehicle sales share (average)</t>
  </si>
  <si>
    <t xml:space="preserve"> Aggregated emission intensity target formulation</t>
  </si>
  <si>
    <t>Low-emissions vehicle sales share target formulation</t>
  </si>
  <si>
    <t>Target results: Scope 3 category 1 emission intensity</t>
  </si>
  <si>
    <t>Base year | Vehicle Parts - Emission intensity (average)</t>
  </si>
  <si>
    <t>Scope 3 category 11 target formulation</t>
  </si>
  <si>
    <t>Please use the latest version of the Science-based Target Setting Tool (ie. cross-sector tool) to calculate standalone targets for scope 1 and scope 2 emissions</t>
  </si>
  <si>
    <t>Target setting tool for Automakers | User Guide</t>
  </si>
  <si>
    <t>Target setting tool for Autoparts | User Guide</t>
  </si>
  <si>
    <t>IMPORTANT NOTICE: The SBTi released this draft version of the Automotive Target-Setting tool solely for informative purposes to allow interested parties to test sector-specific criteria and benchmarks during the public consultation phase. Please note that there could be minor text misalignments between this tool and the draft standard.</t>
  </si>
  <si>
    <t>June 2025</t>
  </si>
  <si>
    <t>AMSS-C5: Companies shall set targets to reduce vehicle aggregated emissions intensity covering their overall annual vehicle sales/registration portfolio.</t>
  </si>
  <si>
    <t>transport@sciencebasedtargets.org</t>
  </si>
  <si>
    <t>China region</t>
  </si>
  <si>
    <t>Target-setting criteria AMSS-C5 and AMSS-C7 for non light-duty vehicles sold/registered in the selected base year. Users must enter, per each relevant vehicle category and geographies, a) a single estimate of the aggregated GHG emission intensity (gCO2e/vkm), following the aggregated emissions boundary defined in criteria AMSS-C1, and b) low-emission vehicle sales share  (%) to calculate intensity targets in the selected target year.</t>
  </si>
  <si>
    <t>Target-setting criteria AMSS-C6. Users must enter base year scope 3 category 1 emissions intensity (gCO2e/vkm) for the vehicle manufacturer's annual production portfolio to calculate intensity targets in the selected target year.</t>
  </si>
  <si>
    <t>Target-setting criteria AMSS-C5 and AMSS-C7 for light-duty vehicles sold/registered in the selected base year. Users must enter, per each relevant vehicle category and geographies, a) a single estimate of the aggregated GHG emission intensity (gCO2e/vkm), following the aggregated emissions boundary defined in criteria AMSS-C1, and b) low-emission vehicle sales share  (%) to calculate intensity targets in the selected target year.</t>
  </si>
  <si>
    <t xml:space="preserve">Target-setting criteria APSS-C6 and APSS-C7. Users must enter, per each relevant vehicle category and geographies, a) base year emission intensity of the combined manufacturing and end-of-life phases of automotive parts for sale (gCO2e/vkm) per vehicle category for each relevant geography to calculate intensity targets in the selected target year, and b) base year scope 3 category 1 emission intensity of  materials supply in automotive parts manufacturing for sale to the automotive sector (gCO2e/part) to calculate intensity targets in the selected target year. </t>
  </si>
  <si>
    <r>
      <t>Target-setting criteria APSS-C8 for non light-duty vehicles. Users must enter base year scope 3 category 11 emissions intensity (gCO2e/vkm) of powertrains used in non ligh-duty vehicles on a Well-to-Wheel basis to calculate intenstiy targets in the selected target year  (</t>
    </r>
    <r>
      <rPr>
        <b/>
        <u/>
        <sz val="10"/>
        <rFont val="Arial"/>
        <family val="2"/>
      </rPr>
      <t>applies only to powertrain suppliers</t>
    </r>
    <r>
      <rPr>
        <sz val="10"/>
        <rFont val="Arial"/>
        <family val="2"/>
      </rPr>
      <t>).</t>
    </r>
  </si>
  <si>
    <r>
      <t>Target-setting criteria APSS-C8 for light-duty vehicles. Users must enter base year scope 3 category 11 emissions intensity (gCO2e/vkm) of powertrains used in ligh-duty vehicles on a Well-to-Wheel basis to calculate intenstiy targets in the selected target year  (</t>
    </r>
    <r>
      <rPr>
        <b/>
        <u/>
        <sz val="10"/>
        <rFont val="Arial"/>
        <family val="2"/>
      </rPr>
      <t>applies only to powertrain suppliers</t>
    </r>
    <r>
      <rPr>
        <sz val="10"/>
        <rFont val="Arial"/>
        <family val="2"/>
      </rPr>
      <t>).</t>
    </r>
  </si>
  <si>
    <t>Benchmark | Aggregated GHG emissions intensity by region</t>
  </si>
  <si>
    <t>Aggregated emissions intensity | percent improvement method</t>
  </si>
  <si>
    <t>Aggregated emissions intensity | convergence method</t>
  </si>
  <si>
    <t>Low-emissions vehicle sales share | convergence method</t>
  </si>
  <si>
    <t>Scope 3 category 1 | percent improvement method</t>
  </si>
  <si>
    <t>Scope 3 category 1 emissions | percent improvement method</t>
  </si>
  <si>
    <t>Scope 3 category 1 emissions intensity, in year y</t>
  </si>
  <si>
    <t>Scope 3 category 1 emissions intensity, in base year</t>
  </si>
  <si>
    <t>Scope 3 category 1 intensity target</t>
  </si>
  <si>
    <t>Aggregated auto parts manufacture emission intensity | convergence method</t>
  </si>
  <si>
    <t xml:space="preserve">Benchmark | GHG emissions intensity by region </t>
  </si>
  <si>
    <t>Scope 3  category 11 fuel-cycle intensity for LDV powertrains | convergence method</t>
  </si>
  <si>
    <t>Scope 3 category 11 emissions intensity, in base year</t>
  </si>
  <si>
    <t>Scope 3 category 11 emissions intensity, in year y</t>
  </si>
  <si>
    <t>Scope 3 category 11 intensity target</t>
  </si>
  <si>
    <t>Scope 3 category 11 fuel-cycle intensity for non LDV powertrains | percent improvement method</t>
  </si>
  <si>
    <t>LEV</t>
  </si>
  <si>
    <t>Low-emissions vehicle</t>
  </si>
  <si>
    <t>Aggregated auto parts manufacture emission intensity target formulation</t>
  </si>
  <si>
    <t>Scope 3 category 1 intensity target formulation</t>
  </si>
  <si>
    <t>Scope 3 category 11 intensity target formulation</t>
  </si>
  <si>
    <t>Base year | Scope 3 Category 11 fuel-cycle intensity</t>
  </si>
  <si>
    <t>Base year | Scope 3 Category 1 emissions intensity</t>
  </si>
  <si>
    <t>OPTIONAL | Target aggregation sheet - Light-duty vehicles (Passenger cars and LCVs)</t>
  </si>
  <si>
    <t>OPTIONAL | Target aggregation sheet - Non light-duty vehicles (2&amp;3 wheelers, buses, medium and heavy duty trucks)</t>
  </si>
  <si>
    <r>
      <t xml:space="preserve">Step 2: </t>
    </r>
    <r>
      <rPr>
        <sz val="10"/>
        <color theme="1"/>
        <rFont val="Arial"/>
        <family val="2"/>
      </rPr>
      <t>Review the aggregated target formulations for AMSS-C5 and AMSS-C7 targets</t>
    </r>
  </si>
  <si>
    <t>Aggregated GHG emissions intensity 
(gCO2e/vkm)</t>
  </si>
  <si>
    <t>Aggregated emissions intensity 
(gCO2e/vkm)</t>
  </si>
  <si>
    <t>Table 1 - Passenger cars and LCVs targets</t>
  </si>
  <si>
    <t>Table 2 - Passenger cars and LCVs targets</t>
  </si>
  <si>
    <r>
      <rPr>
        <b/>
        <sz val="10"/>
        <color theme="1"/>
        <rFont val="Arial"/>
        <family val="2"/>
      </rPr>
      <t xml:space="preserve">Step 1: </t>
    </r>
    <r>
      <rPr>
        <sz val="10"/>
        <color theme="1"/>
        <rFont val="Arial"/>
        <family val="2"/>
      </rPr>
      <t>For passenger cars and light-commercial vehicles per each selected region, after modelling targets in the Automaker's tab, copy target results from Table 1 into Table 2. Add base year activity values as required in column F. Targets will be aggregated using a weighted average over relative share of base year activity.</t>
    </r>
  </si>
  <si>
    <r>
      <rPr>
        <b/>
        <sz val="10"/>
        <color theme="1"/>
        <rFont val="Arial"/>
        <family val="2"/>
      </rPr>
      <t xml:space="preserve">Step 1: </t>
    </r>
    <r>
      <rPr>
        <sz val="10"/>
        <color theme="1"/>
        <rFont val="Arial"/>
        <family val="2"/>
      </rPr>
      <t>For each single road vehicle category (i.e. 2&amp;3 wheelers, buses, medium and heavy duty trucks) per each selected region, after modelling targets in the Automaker's tab, copy target results from Table 1 into Table 2. Add base year activity values as required in column F. Targets will be aggregated using a weighted average over relative share of base year activity.</t>
    </r>
  </si>
  <si>
    <t>Table 1 - 2&amp;3 wheelers, buses &amp; minibuses, medium and heavy duty trucks</t>
  </si>
  <si>
    <t>Table 2 - 2&amp;3 wheelers, buses &amp; minibuses, medium and heavy duty trucks</t>
  </si>
  <si>
    <t>July 2025</t>
  </si>
  <si>
    <t>Released for public consultation with updated sales shares trajectories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</si>
</sst>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
    <numFmt numFmtId="165" formatCode="#,##0.0"/>
    <numFmt numFmtId="166" formatCode="#,##0.000"/>
    <numFmt numFmtId="167" formatCode="mmm\-yyyy"/>
  </numFmts>
  <fonts count="70" x14ac:knownFonts="1">
    <font>
      <sz val="10"/>
      <color theme="1"/>
      <name val="Arial"/>
      <family val="2"/>
    </font>
    <font>
      <sz val="11"/>
      <color theme="1"/>
      <name val="Calibri"/>
      <family val="2"/>
      <scheme val="minor"/>
    </font>
    <font>
      <b/>
      <sz val="10"/>
      <color theme="1"/>
      <name val="Arial"/>
      <family val="2"/>
    </font>
    <font>
      <sz val="18"/>
      <color theme="1"/>
      <name val="Arial"/>
      <family val="2"/>
    </font>
    <font>
      <sz val="11"/>
      <color theme="1"/>
      <name val="Calibri"/>
      <family val="2"/>
      <scheme val="minor"/>
    </font>
    <font>
      <sz val="10"/>
      <color theme="1"/>
      <name val="Arial"/>
      <family val="2"/>
    </font>
    <font>
      <sz val="9"/>
      <color theme="1"/>
      <name val="Arial"/>
      <family val="2"/>
    </font>
    <font>
      <i/>
      <sz val="10"/>
      <color theme="1"/>
      <name val="Arial"/>
      <family val="2"/>
    </font>
    <font>
      <b/>
      <sz val="11"/>
      <color theme="1"/>
      <name val="Calibri"/>
      <family val="2"/>
      <scheme val="minor"/>
    </font>
    <font>
      <b/>
      <sz val="14"/>
      <color theme="1"/>
      <name val="Arial"/>
      <family val="2"/>
    </font>
    <font>
      <sz val="12"/>
      <color theme="1"/>
      <name val="Arial"/>
      <family val="2"/>
    </font>
    <font>
      <sz val="11"/>
      <color theme="1"/>
      <name val="Arial"/>
      <family val="2"/>
    </font>
    <font>
      <b/>
      <sz val="12"/>
      <color theme="1"/>
      <name val="Arial"/>
      <family val="2"/>
    </font>
    <font>
      <b/>
      <sz val="24"/>
      <name val="Arial"/>
      <family val="2"/>
    </font>
    <font>
      <sz val="12"/>
      <color theme="1"/>
      <name val="Calibri"/>
      <family val="2"/>
      <scheme val="minor"/>
    </font>
    <font>
      <b/>
      <sz val="16"/>
      <color theme="5" tint="-0.499984740745262"/>
      <name val="Arial"/>
      <family val="2"/>
    </font>
    <font>
      <b/>
      <sz val="20"/>
      <color rgb="FF00546E"/>
      <name val="Arial"/>
      <family val="2"/>
    </font>
    <font>
      <u/>
      <sz val="12"/>
      <color theme="10"/>
      <name val="Calibri"/>
      <family val="2"/>
      <scheme val="minor"/>
    </font>
    <font>
      <u/>
      <sz val="10"/>
      <color theme="10"/>
      <name val="Arial"/>
      <family val="2"/>
    </font>
    <font>
      <sz val="10"/>
      <color rgb="FF00546E"/>
      <name val="Arial"/>
      <family val="2"/>
    </font>
    <font>
      <b/>
      <sz val="16"/>
      <color rgb="FF00546E"/>
      <name val="Arial"/>
      <family val="2"/>
    </font>
    <font>
      <sz val="10"/>
      <color theme="0"/>
      <name val="Arial"/>
      <family val="2"/>
    </font>
    <font>
      <sz val="11"/>
      <color theme="0"/>
      <name val="Arial"/>
      <family val="2"/>
    </font>
    <font>
      <b/>
      <sz val="22"/>
      <name val="Arial"/>
      <family val="2"/>
    </font>
    <font>
      <b/>
      <sz val="10"/>
      <color theme="0"/>
      <name val="Arial"/>
      <family val="2"/>
    </font>
    <font>
      <sz val="10"/>
      <color rgb="FFC00000"/>
      <name val="Arial"/>
      <family val="2"/>
    </font>
    <font>
      <b/>
      <sz val="12"/>
      <color theme="0"/>
      <name val="Arial"/>
      <family val="2"/>
    </font>
    <font>
      <sz val="11"/>
      <color rgb="FF44546A"/>
      <name val="Calibri"/>
      <family val="2"/>
    </font>
    <font>
      <u/>
      <sz val="12"/>
      <color theme="0"/>
      <name val="Arial"/>
      <family val="2"/>
    </font>
    <font>
      <b/>
      <u/>
      <sz val="11"/>
      <color theme="0"/>
      <name val="Arial"/>
      <family val="2"/>
    </font>
    <font>
      <sz val="14"/>
      <color theme="0"/>
      <name val="Arial"/>
      <family val="2"/>
    </font>
    <font>
      <sz val="10"/>
      <name val="Arial"/>
      <family val="2"/>
    </font>
    <font>
      <b/>
      <sz val="20"/>
      <color theme="0"/>
      <name val="Arial"/>
      <family val="2"/>
    </font>
    <font>
      <b/>
      <sz val="9"/>
      <color theme="1"/>
      <name val="Arial"/>
      <family val="2"/>
    </font>
    <font>
      <b/>
      <sz val="18"/>
      <color rgb="FFFF0000"/>
      <name val="Arial"/>
      <family val="2"/>
    </font>
    <font>
      <b/>
      <u/>
      <sz val="10"/>
      <color rgb="FFFF0000"/>
      <name val="Arial"/>
      <family val="2"/>
    </font>
    <font>
      <b/>
      <sz val="11"/>
      <color theme="1"/>
      <name val="Arial"/>
      <family val="2"/>
    </font>
    <font>
      <sz val="10"/>
      <color rgb="FFFF0000"/>
      <name val="Arial"/>
      <family val="2"/>
    </font>
    <font>
      <u/>
      <sz val="10"/>
      <color indexed="12"/>
      <name val="Arial"/>
      <family val="2"/>
    </font>
    <font>
      <sz val="10"/>
      <color rgb="FF7030A0"/>
      <name val="Arial"/>
      <family val="2"/>
    </font>
    <font>
      <b/>
      <sz val="10"/>
      <name val="Arial"/>
      <family val="2"/>
    </font>
    <font>
      <b/>
      <sz val="18"/>
      <color theme="1"/>
      <name val="Arial"/>
      <family val="2"/>
    </font>
    <font>
      <b/>
      <sz val="10"/>
      <color rgb="FFFF0000"/>
      <name val="Arial"/>
      <family val="2"/>
    </font>
    <font>
      <sz val="14"/>
      <color rgb="FFC00000"/>
      <name val="Arial"/>
      <family val="2"/>
    </font>
    <font>
      <b/>
      <sz val="14"/>
      <color rgb="FFC00000"/>
      <name val="Arial"/>
      <family val="2"/>
    </font>
    <font>
      <sz val="8"/>
      <name val="Arial"/>
      <family val="2"/>
    </font>
    <font>
      <b/>
      <sz val="20"/>
      <color rgb="FFFF0000"/>
      <name val="Arial"/>
      <family val="2"/>
    </font>
    <font>
      <b/>
      <sz val="22"/>
      <color rgb="FFFF0000"/>
      <name val="Arial"/>
      <family val="2"/>
    </font>
    <font>
      <sz val="8"/>
      <color rgb="FFFF0000"/>
      <name val="Arial"/>
      <family val="2"/>
    </font>
    <font>
      <b/>
      <sz val="11"/>
      <color rgb="FF000000"/>
      <name val="Calibri"/>
      <family val="2"/>
      <scheme val="minor"/>
    </font>
    <font>
      <b/>
      <sz val="16"/>
      <color theme="1"/>
      <name val="Arial"/>
      <family val="2"/>
    </font>
    <font>
      <sz val="11"/>
      <color rgb="FF000000"/>
      <name val="Arial"/>
      <family val="2"/>
    </font>
    <font>
      <b/>
      <u/>
      <sz val="10"/>
      <name val="Arial"/>
      <family val="2"/>
    </font>
    <font>
      <sz val="11"/>
      <name val="Arial"/>
      <family val="2"/>
    </font>
    <font>
      <sz val="10"/>
      <color theme="7"/>
      <name val="Arial"/>
      <family val="2"/>
    </font>
    <font>
      <sz val="11"/>
      <name val="Calibri"/>
      <family val="2"/>
    </font>
    <font>
      <b/>
      <sz val="24"/>
      <color rgb="FF3F3F3F"/>
      <name val="Arial"/>
      <family val="2"/>
    </font>
    <font>
      <b/>
      <sz val="36"/>
      <color rgb="FF3F3F3F"/>
      <name val="Arial"/>
      <family val="2"/>
    </font>
    <font>
      <b/>
      <u/>
      <sz val="12"/>
      <name val="Arial"/>
      <family val="2"/>
    </font>
    <font>
      <b/>
      <sz val="14"/>
      <color theme="0"/>
      <name val="Arial"/>
      <family val="2"/>
    </font>
    <font>
      <sz val="10"/>
      <name val="Calibri"/>
      <family val="2"/>
    </font>
    <font>
      <b/>
      <sz val="10"/>
      <color rgb="FFC00000"/>
      <name val="Arial"/>
      <family val="2"/>
    </font>
    <font>
      <b/>
      <sz val="12"/>
      <color rgb="FF00546E"/>
      <name val="Arial"/>
      <family val="2"/>
    </font>
    <font>
      <b/>
      <sz val="11"/>
      <name val="Arial"/>
      <family val="2"/>
    </font>
    <font>
      <i/>
      <u/>
      <sz val="10"/>
      <color theme="10"/>
      <name val="Arial"/>
      <family val="2"/>
    </font>
    <font>
      <b/>
      <sz val="14"/>
      <name val="Arial"/>
      <family val="2"/>
    </font>
    <font>
      <b/>
      <sz val="14"/>
      <color rgb="FF7030A0"/>
      <name val="Arial"/>
      <family val="2"/>
    </font>
    <font>
      <sz val="9"/>
      <color rgb="FFFF0000"/>
      <name val="Arial"/>
      <family val="2"/>
    </font>
    <font>
      <b/>
      <sz val="9"/>
      <color rgb="FFFF0000"/>
      <name val="Arial"/>
      <family val="2"/>
    </font>
    <font>
      <sz val="8"/>
      <color theme="1"/>
      <name val="Arial"/>
      <family val="2"/>
    </font>
  </fonts>
  <fills count="24">
    <fill>
      <patternFill patternType="none"/>
    </fill>
    <fill>
      <patternFill patternType="gray125"/>
    </fill>
    <fill>
      <patternFill patternType="solid">
        <fgColor theme="0"/>
        <bgColor indexed="64"/>
      </patternFill>
    </fill>
    <fill>
      <patternFill patternType="solid">
        <fgColor theme="0" tint="-0.499984740745262"/>
        <bgColor indexed="64"/>
      </patternFill>
    </fill>
    <fill>
      <patternFill patternType="solid">
        <fgColor rgb="FFFFC000"/>
        <bgColor indexed="64"/>
      </patternFill>
    </fill>
    <fill>
      <patternFill patternType="solid">
        <fgColor theme="0" tint="-0.14999847407452621"/>
        <bgColor indexed="64"/>
      </patternFill>
    </fill>
    <fill>
      <patternFill patternType="solid">
        <fgColor rgb="FFF7D379"/>
        <bgColor indexed="64"/>
      </patternFill>
    </fill>
    <fill>
      <patternFill patternType="solid">
        <fgColor rgb="FF00546E"/>
        <bgColor indexed="64"/>
      </patternFill>
    </fill>
    <fill>
      <patternFill patternType="solid">
        <fgColor rgb="FFF5A81C"/>
        <bgColor indexed="64"/>
      </patternFill>
    </fill>
    <fill>
      <patternFill patternType="solid">
        <fgColor rgb="FF00759A"/>
        <bgColor indexed="64"/>
      </patternFill>
    </fill>
    <fill>
      <patternFill patternType="solid">
        <fgColor rgb="FFC00000"/>
        <bgColor indexed="64"/>
      </patternFill>
    </fill>
    <fill>
      <patternFill patternType="solid">
        <fgColor rgb="FFFFFF00"/>
        <bgColor indexed="64"/>
      </patternFill>
    </fill>
    <fill>
      <patternFill patternType="solid">
        <fgColor rgb="FF92D050"/>
        <bgColor indexed="64"/>
      </patternFill>
    </fill>
    <fill>
      <patternFill patternType="solid">
        <fgColor theme="7" tint="0.59999389629810485"/>
        <bgColor indexed="64"/>
      </patternFill>
    </fill>
    <fill>
      <patternFill patternType="solid">
        <fgColor theme="6" tint="0.59999389629810485"/>
        <bgColor indexed="64"/>
      </patternFill>
    </fill>
    <fill>
      <patternFill patternType="solid">
        <fgColor rgb="FFFFE598"/>
        <bgColor rgb="FFFFE598"/>
      </patternFill>
    </fill>
    <fill>
      <patternFill patternType="solid">
        <fgColor rgb="FF00546E"/>
        <bgColor rgb="FF00546E"/>
      </patternFill>
    </fill>
    <fill>
      <patternFill patternType="solid">
        <fgColor rgb="FFA5A5A5"/>
        <bgColor rgb="FFA5A5A5"/>
      </patternFill>
    </fill>
    <fill>
      <patternFill patternType="solid">
        <fgColor theme="0" tint="-0.499984740745262"/>
        <bgColor rgb="FF00546E"/>
      </patternFill>
    </fill>
    <fill>
      <patternFill patternType="solid">
        <fgColor rgb="FFF7D379"/>
        <bgColor rgb="FFFFCC66"/>
      </patternFill>
    </fill>
    <fill>
      <patternFill patternType="solid">
        <fgColor theme="9"/>
        <bgColor indexed="64"/>
      </patternFill>
    </fill>
    <fill>
      <patternFill patternType="solid">
        <fgColor rgb="FF7030A0"/>
        <bgColor indexed="64"/>
      </patternFill>
    </fill>
    <fill>
      <patternFill patternType="solid">
        <fgColor theme="8" tint="0.79998168889431442"/>
        <bgColor theme="8" tint="0.79998168889431442"/>
      </patternFill>
    </fill>
    <fill>
      <patternFill patternType="solid">
        <fgColor rgb="FFF7D379"/>
        <bgColor rgb="FFFFE598"/>
      </patternFill>
    </fill>
  </fills>
  <borders count="23">
    <border>
      <left/>
      <right/>
      <top/>
      <bottom/>
      <diagonal/>
    </border>
    <border>
      <left/>
      <right/>
      <top/>
      <bottom style="thin">
        <color rgb="FF00546E"/>
      </bottom>
      <diagonal/>
    </border>
    <border>
      <left/>
      <right/>
      <top style="thin">
        <color rgb="FF00546E"/>
      </top>
      <bottom/>
      <diagonal/>
    </border>
    <border>
      <left/>
      <right/>
      <top style="thick">
        <color theme="0"/>
      </top>
      <bottom/>
      <diagonal/>
    </border>
    <border>
      <left/>
      <right/>
      <top/>
      <bottom style="thick">
        <color theme="0"/>
      </bottom>
      <diagonal/>
    </border>
    <border>
      <left/>
      <right/>
      <top style="thick">
        <color theme="0"/>
      </top>
      <bottom style="thick">
        <color theme="0"/>
      </bottom>
      <diagonal/>
    </border>
    <border>
      <left/>
      <right style="thick">
        <color theme="0"/>
      </right>
      <top/>
      <bottom style="thick">
        <color theme="0"/>
      </bottom>
      <diagonal/>
    </border>
    <border>
      <left style="thick">
        <color theme="0"/>
      </left>
      <right/>
      <top/>
      <bottom style="thick">
        <color theme="0"/>
      </bottom>
      <diagonal/>
    </border>
    <border>
      <left/>
      <right style="thick">
        <color theme="0"/>
      </right>
      <top style="thick">
        <color theme="0"/>
      </top>
      <bottom/>
      <diagonal/>
    </border>
    <border>
      <left style="thick">
        <color theme="0"/>
      </left>
      <right/>
      <top style="thick">
        <color theme="0"/>
      </top>
      <bottom/>
      <diagonal/>
    </border>
    <border>
      <left/>
      <right/>
      <top style="thin">
        <color rgb="FF00546E"/>
      </top>
      <bottom style="thick">
        <color theme="0"/>
      </bottom>
      <diagonal/>
    </border>
    <border>
      <left style="thick">
        <color theme="0"/>
      </left>
      <right/>
      <top style="thick">
        <color theme="0"/>
      </top>
      <bottom style="thick">
        <color theme="0"/>
      </bottom>
      <diagonal/>
    </border>
    <border>
      <left/>
      <right style="thick">
        <color theme="0"/>
      </right>
      <top style="thick">
        <color theme="0"/>
      </top>
      <bottom style="thick">
        <color theme="0"/>
      </bottom>
      <diagonal/>
    </border>
    <border>
      <left/>
      <right/>
      <top/>
      <bottom style="medium">
        <color rgb="FF000000"/>
      </bottom>
      <diagonal/>
    </border>
    <border>
      <left style="thick">
        <color theme="0"/>
      </left>
      <right/>
      <top/>
      <bottom/>
      <diagonal/>
    </border>
    <border>
      <left style="thick">
        <color theme="0"/>
      </left>
      <right style="thick">
        <color theme="0"/>
      </right>
      <top style="thick">
        <color theme="0"/>
      </top>
      <bottom style="thick">
        <color theme="0"/>
      </bottom>
      <diagonal/>
    </border>
    <border>
      <left style="thick">
        <color theme="0"/>
      </left>
      <right style="thick">
        <color theme="0"/>
      </right>
      <top/>
      <bottom style="thick">
        <color theme="0"/>
      </bottom>
      <diagonal/>
    </border>
    <border>
      <left style="thin">
        <color theme="0"/>
      </left>
      <right style="thin">
        <color theme="0"/>
      </right>
      <top style="thin">
        <color theme="0"/>
      </top>
      <bottom style="thin">
        <color theme="0"/>
      </bottom>
      <diagonal/>
    </border>
    <border>
      <left/>
      <right/>
      <top style="thin">
        <color theme="0"/>
      </top>
      <bottom style="thin">
        <color theme="0"/>
      </bottom>
      <diagonal/>
    </border>
    <border>
      <left/>
      <right style="thick">
        <color theme="0"/>
      </right>
      <top style="thin">
        <color theme="0"/>
      </top>
      <bottom style="thin">
        <color theme="0"/>
      </bottom>
      <diagonal/>
    </border>
    <border>
      <left style="thick">
        <color theme="0"/>
      </left>
      <right/>
      <top style="thin">
        <color theme="0"/>
      </top>
      <bottom style="thin">
        <color theme="0"/>
      </bottom>
      <diagonal/>
    </border>
    <border>
      <left style="thin">
        <color theme="8" tint="0.39997558519241921"/>
      </left>
      <right/>
      <top style="thin">
        <color theme="8" tint="0.39997558519241921"/>
      </top>
      <bottom style="thin">
        <color theme="8" tint="0.39997558519241921"/>
      </bottom>
      <diagonal/>
    </border>
    <border>
      <left/>
      <right/>
      <top style="thin">
        <color theme="8" tint="0.39997558519241921"/>
      </top>
      <bottom style="thin">
        <color theme="8" tint="0.39997558519241921"/>
      </bottom>
      <diagonal/>
    </border>
  </borders>
  <cellStyleXfs count="10">
    <xf numFmtId="0" fontId="0" fillId="0" borderId="0"/>
    <xf numFmtId="0" fontId="4" fillId="0" borderId="0"/>
    <xf numFmtId="9" fontId="5" fillId="0" borderId="0" applyFont="0" applyFill="0" applyBorder="0" applyAlignment="0" applyProtection="0"/>
    <xf numFmtId="0" fontId="1" fillId="0" borderId="0"/>
    <xf numFmtId="0" fontId="14" fillId="0" borderId="0"/>
    <xf numFmtId="9" fontId="14" fillId="0" borderId="0" applyFont="0" applyFill="0" applyBorder="0" applyAlignment="0" applyProtection="0"/>
    <xf numFmtId="0" fontId="17" fillId="0" borderId="0" applyNumberFormat="0" applyFill="0" applyBorder="0" applyAlignment="0" applyProtection="0"/>
    <xf numFmtId="0" fontId="31" fillId="0" borderId="0"/>
    <xf numFmtId="0" fontId="38" fillId="0" borderId="0" applyNumberFormat="0" applyFill="0" applyBorder="0" applyAlignment="0" applyProtection="0">
      <alignment vertical="top"/>
      <protection locked="0"/>
    </xf>
    <xf numFmtId="9" fontId="31" fillId="0" borderId="0" applyFont="0" applyFill="0" applyBorder="0" applyAlignment="0" applyProtection="0"/>
  </cellStyleXfs>
  <cellXfs count="317">
    <xf numFmtId="0" fontId="0" fillId="0" borderId="0" xfId="0"/>
    <xf numFmtId="0" fontId="2" fillId="0" borderId="0" xfId="0" applyFont="1"/>
    <xf numFmtId="3" fontId="0" fillId="0" borderId="0" xfId="0" applyNumberFormat="1"/>
    <xf numFmtId="0" fontId="5" fillId="0" borderId="0" xfId="0" applyFont="1"/>
    <xf numFmtId="2" fontId="5" fillId="0" borderId="0" xfId="0" applyNumberFormat="1" applyFont="1"/>
    <xf numFmtId="0" fontId="6" fillId="0" borderId="0" xfId="0" applyFont="1"/>
    <xf numFmtId="0" fontId="0" fillId="2" borderId="0" xfId="0" applyFill="1"/>
    <xf numFmtId="0" fontId="9" fillId="0" borderId="0" xfId="0" applyFont="1"/>
    <xf numFmtId="0" fontId="12" fillId="0" borderId="0" xfId="0" applyFont="1"/>
    <xf numFmtId="0" fontId="11" fillId="2" borderId="0" xfId="0" applyFont="1" applyFill="1" applyAlignment="1">
      <alignment horizontal="left" vertical="top" wrapText="1"/>
    </xf>
    <xf numFmtId="0" fontId="15" fillId="2" borderId="1" xfId="0" applyFont="1" applyFill="1" applyBorder="1" applyAlignment="1" applyProtection="1">
      <alignment vertical="center"/>
      <protection hidden="1"/>
    </xf>
    <xf numFmtId="0" fontId="16" fillId="2" borderId="1" xfId="0" applyFont="1" applyFill="1" applyBorder="1" applyAlignment="1" applyProtection="1">
      <alignment vertical="center"/>
      <protection hidden="1"/>
    </xf>
    <xf numFmtId="0" fontId="20" fillId="2" borderId="1" xfId="0" applyFont="1" applyFill="1" applyBorder="1" applyAlignment="1" applyProtection="1">
      <alignment vertical="center"/>
      <protection hidden="1"/>
    </xf>
    <xf numFmtId="0" fontId="2" fillId="2" borderId="0" xfId="0" applyFont="1" applyFill="1" applyAlignment="1" applyProtection="1">
      <alignment horizontal="right" vertical="center"/>
      <protection hidden="1"/>
    </xf>
    <xf numFmtId="0" fontId="0" fillId="2" borderId="0" xfId="0" applyFill="1" applyAlignment="1" applyProtection="1">
      <alignment vertical="center"/>
      <protection hidden="1"/>
    </xf>
    <xf numFmtId="0" fontId="18" fillId="2" borderId="0" xfId="6" applyFont="1" applyFill="1" applyBorder="1" applyAlignment="1" applyProtection="1">
      <alignment vertical="center"/>
      <protection hidden="1"/>
    </xf>
    <xf numFmtId="0" fontId="13" fillId="2" borderId="0" xfId="0" applyFont="1" applyFill="1" applyAlignment="1" applyProtection="1">
      <alignment vertical="center"/>
      <protection hidden="1"/>
    </xf>
    <xf numFmtId="0" fontId="16" fillId="2" borderId="0" xfId="0" applyFont="1" applyFill="1" applyAlignment="1" applyProtection="1">
      <alignment vertical="center"/>
      <protection hidden="1"/>
    </xf>
    <xf numFmtId="0" fontId="22" fillId="2" borderId="0" xfId="0" applyFont="1" applyFill="1" applyAlignment="1">
      <alignment vertical="center" wrapText="1"/>
    </xf>
    <xf numFmtId="0" fontId="26" fillId="2" borderId="0" xfId="0" applyFont="1" applyFill="1" applyAlignment="1">
      <alignment vertical="center" wrapText="1"/>
    </xf>
    <xf numFmtId="0" fontId="20" fillId="2" borderId="0" xfId="0" applyFont="1" applyFill="1" applyAlignment="1" applyProtection="1">
      <alignment vertical="center"/>
      <protection hidden="1"/>
    </xf>
    <xf numFmtId="0" fontId="15" fillId="2" borderId="0" xfId="0" applyFont="1" applyFill="1" applyAlignment="1" applyProtection="1">
      <alignment vertical="center"/>
      <protection hidden="1"/>
    </xf>
    <xf numFmtId="0" fontId="32" fillId="7" borderId="0" xfId="0" applyFont="1" applyFill="1" applyAlignment="1" applyProtection="1">
      <alignment vertical="center"/>
      <protection hidden="1"/>
    </xf>
    <xf numFmtId="0" fontId="0" fillId="2" borderId="0" xfId="0" applyFill="1" applyAlignment="1">
      <alignment vertical="center"/>
    </xf>
    <xf numFmtId="0" fontId="14" fillId="2" borderId="1" xfId="4" applyFill="1" applyBorder="1"/>
    <xf numFmtId="0" fontId="14" fillId="2" borderId="0" xfId="4" applyFill="1" applyAlignment="1">
      <alignment vertical="top" wrapText="1"/>
    </xf>
    <xf numFmtId="0" fontId="19" fillId="2" borderId="0" xfId="4" applyFont="1" applyFill="1" applyAlignment="1">
      <alignment horizontal="left" vertical="top" wrapText="1"/>
    </xf>
    <xf numFmtId="0" fontId="5" fillId="2" borderId="0" xfId="0" applyFont="1" applyFill="1"/>
    <xf numFmtId="0" fontId="30" fillId="7" borderId="0" xfId="4" applyFont="1" applyFill="1" applyAlignment="1">
      <alignment vertical="top" wrapText="1"/>
    </xf>
    <xf numFmtId="0" fontId="10" fillId="2" borderId="0" xfId="0" applyFont="1" applyFill="1" applyAlignment="1">
      <alignment vertical="center"/>
    </xf>
    <xf numFmtId="0" fontId="11" fillId="2" borderId="0" xfId="0" applyFont="1" applyFill="1" applyAlignment="1">
      <alignment vertical="center"/>
    </xf>
    <xf numFmtId="0" fontId="11" fillId="2" borderId="0" xfId="0" applyFont="1" applyFill="1"/>
    <xf numFmtId="0" fontId="27" fillId="0" borderId="0" xfId="0" applyFont="1"/>
    <xf numFmtId="0" fontId="3" fillId="0" borderId="0" xfId="0" applyFont="1"/>
    <xf numFmtId="0" fontId="0" fillId="0" borderId="0" xfId="0" applyAlignment="1">
      <alignment vertical="center"/>
    </xf>
    <xf numFmtId="0" fontId="2" fillId="0" borderId="0" xfId="0" applyFont="1" applyAlignment="1">
      <alignment horizontal="right" vertical="center"/>
    </xf>
    <xf numFmtId="0" fontId="18" fillId="0" borderId="0" xfId="6" applyFont="1" applyFill="1" applyBorder="1" applyAlignment="1" applyProtection="1">
      <alignment vertical="center"/>
    </xf>
    <xf numFmtId="0" fontId="10" fillId="9" borderId="0" xfId="4" applyFont="1" applyFill="1"/>
    <xf numFmtId="0" fontId="21" fillId="7" borderId="4" xfId="4" applyFont="1" applyFill="1" applyBorder="1" applyAlignment="1">
      <alignment horizontal="left" vertical="center" indent="2"/>
    </xf>
    <xf numFmtId="0" fontId="7" fillId="0" borderId="0" xfId="0" applyFont="1" applyAlignment="1">
      <alignment vertical="center"/>
    </xf>
    <xf numFmtId="0" fontId="21" fillId="7" borderId="5" xfId="4" applyFont="1" applyFill="1" applyBorder="1" applyAlignment="1">
      <alignment horizontal="left" vertical="center" indent="2"/>
    </xf>
    <xf numFmtId="0" fontId="0" fillId="0" borderId="0" xfId="0" applyAlignment="1">
      <alignment vertical="top" wrapText="1"/>
    </xf>
    <xf numFmtId="3" fontId="0" fillId="0" borderId="0" xfId="0" applyNumberFormat="1" applyAlignment="1">
      <alignment horizontal="center"/>
    </xf>
    <xf numFmtId="0" fontId="2" fillId="0" borderId="0" xfId="0" applyFont="1" applyAlignment="1">
      <alignment horizontal="center" vertical="center"/>
    </xf>
    <xf numFmtId="0" fontId="2" fillId="0" borderId="0" xfId="0" applyFont="1" applyAlignment="1">
      <alignment vertical="center"/>
    </xf>
    <xf numFmtId="0" fontId="2" fillId="0" borderId="0" xfId="0" applyFont="1" applyAlignment="1">
      <alignment horizontal="left" vertical="top" indent="2"/>
    </xf>
    <xf numFmtId="164" fontId="0" fillId="0" borderId="0" xfId="2" applyNumberFormat="1" applyFont="1" applyProtection="1"/>
    <xf numFmtId="3" fontId="0" fillId="0" borderId="0" xfId="0" applyNumberFormat="1" applyAlignment="1">
      <alignment vertical="center"/>
    </xf>
    <xf numFmtId="165" fontId="6" fillId="0" borderId="0" xfId="0" applyNumberFormat="1" applyFont="1"/>
    <xf numFmtId="0" fontId="5" fillId="6" borderId="3" xfId="4" applyFont="1" applyFill="1" applyBorder="1" applyAlignment="1" applyProtection="1">
      <alignment horizontal="center" vertical="center"/>
      <protection locked="0"/>
    </xf>
    <xf numFmtId="3" fontId="5" fillId="6" borderId="3" xfId="4" applyNumberFormat="1" applyFont="1" applyFill="1" applyBorder="1" applyAlignment="1" applyProtection="1">
      <alignment horizontal="center" vertical="center"/>
      <protection locked="0"/>
    </xf>
    <xf numFmtId="0" fontId="2" fillId="0" borderId="0" xfId="0" applyFont="1" applyProtection="1">
      <protection locked="0"/>
    </xf>
    <xf numFmtId="0" fontId="0" fillId="0" borderId="0" xfId="0" applyProtection="1">
      <protection locked="0"/>
    </xf>
    <xf numFmtId="165" fontId="2" fillId="0" borderId="0" xfId="0" applyNumberFormat="1" applyFont="1" applyProtection="1">
      <protection locked="0"/>
    </xf>
    <xf numFmtId="0" fontId="34" fillId="0" borderId="0" xfId="0" applyFont="1"/>
    <xf numFmtId="0" fontId="35" fillId="0" borderId="0" xfId="0" applyFont="1"/>
    <xf numFmtId="3" fontId="5" fillId="5" borderId="4" xfId="4" applyNumberFormat="1" applyFont="1" applyFill="1" applyBorder="1" applyAlignment="1">
      <alignment horizontal="center" vertical="center"/>
    </xf>
    <xf numFmtId="3" fontId="5" fillId="5" borderId="5" xfId="4" applyNumberFormat="1" applyFont="1" applyFill="1" applyBorder="1" applyAlignment="1">
      <alignment horizontal="center" vertical="center"/>
    </xf>
    <xf numFmtId="3" fontId="5" fillId="5" borderId="3" xfId="4" applyNumberFormat="1" applyFont="1" applyFill="1" applyBorder="1" applyAlignment="1">
      <alignment horizontal="center" vertical="center"/>
    </xf>
    <xf numFmtId="4" fontId="5" fillId="5" borderId="4" xfId="4" applyNumberFormat="1" applyFont="1" applyFill="1" applyBorder="1" applyAlignment="1">
      <alignment horizontal="center" vertical="center"/>
    </xf>
    <xf numFmtId="166" fontId="2" fillId="0" borderId="0" xfId="0" applyNumberFormat="1" applyFont="1" applyProtection="1">
      <protection locked="0"/>
    </xf>
    <xf numFmtId="0" fontId="2" fillId="0" borderId="0" xfId="0" applyFont="1" applyAlignment="1">
      <alignment wrapText="1"/>
    </xf>
    <xf numFmtId="0" fontId="0" fillId="0" borderId="0" xfId="0" applyAlignment="1">
      <alignment horizontal="left" indent="1"/>
    </xf>
    <xf numFmtId="0" fontId="0" fillId="0" borderId="0" xfId="0" applyAlignment="1">
      <alignment horizontal="center"/>
    </xf>
    <xf numFmtId="0" fontId="39" fillId="0" borderId="0" xfId="0" applyFont="1"/>
    <xf numFmtId="0" fontId="0" fillId="11" borderId="0" xfId="0" applyFill="1"/>
    <xf numFmtId="0" fontId="37" fillId="0" borderId="0" xfId="0" applyFont="1"/>
    <xf numFmtId="0" fontId="0" fillId="0" borderId="0" xfId="0" applyAlignment="1">
      <alignment wrapText="1"/>
    </xf>
    <xf numFmtId="0" fontId="21" fillId="9" borderId="5" xfId="4" applyFont="1" applyFill="1" applyBorder="1" applyAlignment="1">
      <alignment horizontal="left" vertical="center" indent="5"/>
    </xf>
    <xf numFmtId="0" fontId="21" fillId="9" borderId="3" xfId="4" applyFont="1" applyFill="1" applyBorder="1" applyAlignment="1">
      <alignment horizontal="left" vertical="center" indent="5"/>
    </xf>
    <xf numFmtId="0" fontId="2" fillId="0" borderId="0" xfId="0" applyFont="1" applyAlignment="1">
      <alignment horizontal="center" vertical="center" wrapText="1"/>
    </xf>
    <xf numFmtId="0" fontId="2" fillId="0" borderId="0" xfId="0" applyFont="1" applyAlignment="1">
      <alignment vertical="center" wrapText="1"/>
    </xf>
    <xf numFmtId="0" fontId="37" fillId="0" borderId="0" xfId="0" applyFont="1" applyAlignment="1">
      <alignment vertical="top" wrapText="1"/>
    </xf>
    <xf numFmtId="0" fontId="42" fillId="0" borderId="0" xfId="0" applyFont="1"/>
    <xf numFmtId="0" fontId="0" fillId="12" borderId="0" xfId="0" applyFill="1"/>
    <xf numFmtId="0" fontId="0" fillId="13" borderId="0" xfId="0" applyFill="1"/>
    <xf numFmtId="0" fontId="0" fillId="10" borderId="0" xfId="0" applyFill="1"/>
    <xf numFmtId="0" fontId="41" fillId="0" borderId="0" xfId="0" applyFont="1" applyAlignment="1">
      <alignment wrapText="1"/>
    </xf>
    <xf numFmtId="0" fontId="8" fillId="0" borderId="0" xfId="0" applyFont="1" applyAlignment="1">
      <alignment wrapText="1"/>
    </xf>
    <xf numFmtId="0" fontId="12" fillId="14" borderId="0" xfId="0" applyFont="1" applyFill="1"/>
    <xf numFmtId="0" fontId="37" fillId="0" borderId="0" xfId="0" applyFont="1" applyAlignment="1">
      <alignment wrapText="1"/>
    </xf>
    <xf numFmtId="165" fontId="6" fillId="0" borderId="0" xfId="0" applyNumberFormat="1" applyFont="1" applyAlignment="1">
      <alignment horizontal="center"/>
    </xf>
    <xf numFmtId="10" fontId="5" fillId="5" borderId="4" xfId="2" applyNumberFormat="1" applyFont="1" applyFill="1" applyBorder="1" applyAlignment="1" applyProtection="1">
      <alignment horizontal="center" vertical="center"/>
    </xf>
    <xf numFmtId="4" fontId="6" fillId="5" borderId="4" xfId="4" applyNumberFormat="1" applyFont="1" applyFill="1" applyBorder="1" applyAlignment="1">
      <alignment horizontal="center" vertical="center"/>
    </xf>
    <xf numFmtId="0" fontId="28" fillId="7" borderId="5" xfId="6" applyFont="1" applyFill="1" applyBorder="1" applyAlignment="1" applyProtection="1">
      <alignment horizontal="left" vertical="center" indent="9"/>
    </xf>
    <xf numFmtId="0" fontId="48" fillId="0" borderId="0" xfId="0" applyFont="1" applyAlignment="1">
      <alignment wrapText="1"/>
    </xf>
    <xf numFmtId="0" fontId="49" fillId="0" borderId="0" xfId="0" applyFont="1" applyAlignment="1">
      <alignment horizontal="center"/>
    </xf>
    <xf numFmtId="9" fontId="0" fillId="0" borderId="0" xfId="2" applyFont="1"/>
    <xf numFmtId="0" fontId="49" fillId="11" borderId="0" xfId="0" applyFont="1" applyFill="1" applyAlignment="1">
      <alignment horizontal="center"/>
    </xf>
    <xf numFmtId="9" fontId="0" fillId="11" borderId="0" xfId="2" applyFont="1" applyFill="1"/>
    <xf numFmtId="0" fontId="50" fillId="0" borderId="0" xfId="0" applyFont="1"/>
    <xf numFmtId="9" fontId="0" fillId="0" borderId="0" xfId="2" applyFont="1" applyFill="1"/>
    <xf numFmtId="0" fontId="0" fillId="0" borderId="0" xfId="0" applyAlignment="1">
      <alignment horizontal="left"/>
    </xf>
    <xf numFmtId="0" fontId="31" fillId="0" borderId="0" xfId="0" applyFont="1" applyAlignment="1">
      <alignment horizontal="left" vertical="top" wrapText="1"/>
    </xf>
    <xf numFmtId="0" fontId="21" fillId="7" borderId="0" xfId="4" applyFont="1" applyFill="1" applyAlignment="1">
      <alignment horizontal="left" vertical="center" indent="2"/>
    </xf>
    <xf numFmtId="2" fontId="5" fillId="6" borderId="3" xfId="4" applyNumberFormat="1" applyFont="1" applyFill="1" applyBorder="1" applyAlignment="1" applyProtection="1">
      <alignment horizontal="center" vertical="center"/>
      <protection locked="0"/>
    </xf>
    <xf numFmtId="10" fontId="5" fillId="6" borderId="3" xfId="2" applyNumberFormat="1" applyFont="1" applyFill="1" applyBorder="1" applyAlignment="1" applyProtection="1">
      <alignment horizontal="center" vertical="center"/>
      <protection locked="0"/>
    </xf>
    <xf numFmtId="0" fontId="0" fillId="0" borderId="0" xfId="0" quotePrefix="1"/>
    <xf numFmtId="10" fontId="5" fillId="5" borderId="5" xfId="2" applyNumberFormat="1" applyFont="1" applyFill="1" applyBorder="1" applyAlignment="1">
      <alignment horizontal="center" vertical="center"/>
    </xf>
    <xf numFmtId="0" fontId="51" fillId="0" borderId="0" xfId="0" applyFont="1"/>
    <xf numFmtId="0" fontId="12" fillId="0" borderId="0" xfId="0" applyFont="1" applyAlignment="1">
      <alignment horizontal="left" indent="2"/>
    </xf>
    <xf numFmtId="0" fontId="5" fillId="5" borderId="3" xfId="4" applyFont="1" applyFill="1" applyBorder="1" applyAlignment="1">
      <alignment horizontal="center" vertical="center"/>
    </xf>
    <xf numFmtId="0" fontId="2" fillId="0" borderId="0" xfId="0" applyFont="1" applyAlignment="1">
      <alignment horizontal="left" vertical="center" wrapText="1" indent="1"/>
    </xf>
    <xf numFmtId="10" fontId="6" fillId="5" borderId="4" xfId="2" applyNumberFormat="1" applyFont="1" applyFill="1" applyBorder="1" applyAlignment="1">
      <alignment horizontal="center" vertical="center"/>
    </xf>
    <xf numFmtId="164" fontId="5" fillId="5" borderId="5" xfId="2" applyNumberFormat="1" applyFont="1" applyFill="1" applyBorder="1" applyAlignment="1" applyProtection="1">
      <alignment horizontal="center" vertical="center"/>
    </xf>
    <xf numFmtId="164" fontId="5" fillId="5" borderId="4" xfId="2" applyNumberFormat="1" applyFont="1" applyFill="1" applyBorder="1" applyAlignment="1" applyProtection="1">
      <alignment horizontal="center" vertical="center"/>
    </xf>
    <xf numFmtId="0" fontId="31" fillId="0" borderId="0" xfId="0" applyFont="1" applyAlignment="1">
      <alignment vertical="top" wrapText="1"/>
    </xf>
    <xf numFmtId="0" fontId="40" fillId="0" borderId="0" xfId="0" applyFont="1" applyAlignment="1">
      <alignment horizontal="right" vertical="top" wrapText="1"/>
    </xf>
    <xf numFmtId="0" fontId="2" fillId="0" borderId="0" xfId="0" applyFont="1" applyAlignment="1">
      <alignment horizontal="left" vertical="center" wrapText="1" indent="2"/>
    </xf>
    <xf numFmtId="0" fontId="20" fillId="0" borderId="13" xfId="0" applyFont="1" applyBorder="1" applyAlignment="1">
      <alignment vertical="center"/>
    </xf>
    <xf numFmtId="0" fontId="5" fillId="0" borderId="0" xfId="0" applyFont="1" applyProtection="1">
      <protection locked="0"/>
    </xf>
    <xf numFmtId="0" fontId="5" fillId="0" borderId="0" xfId="0" applyFont="1" applyAlignment="1" applyProtection="1">
      <alignment horizontal="left" vertical="center"/>
      <protection locked="0"/>
    </xf>
    <xf numFmtId="0" fontId="24" fillId="16" borderId="11" xfId="0" applyFont="1" applyFill="1" applyBorder="1" applyAlignment="1" applyProtection="1">
      <alignment horizontal="center" vertical="center"/>
      <protection locked="0"/>
    </xf>
    <xf numFmtId="3" fontId="5" fillId="0" borderId="0" xfId="0" applyNumberFormat="1" applyFont="1" applyProtection="1">
      <protection locked="0"/>
    </xf>
    <xf numFmtId="3" fontId="36" fillId="17" borderId="15" xfId="0" applyNumberFormat="1" applyFont="1" applyFill="1" applyBorder="1" applyAlignment="1" applyProtection="1">
      <alignment horizontal="center" vertical="center" wrapText="1"/>
      <protection locked="0"/>
    </xf>
    <xf numFmtId="164" fontId="36" fillId="17" borderId="15" xfId="0" applyNumberFormat="1" applyFont="1" applyFill="1" applyBorder="1" applyAlignment="1" applyProtection="1">
      <alignment horizontal="center" vertical="center" wrapText="1"/>
      <protection locked="0"/>
    </xf>
    <xf numFmtId="4" fontId="36" fillId="17" borderId="15" xfId="0" applyNumberFormat="1" applyFont="1" applyFill="1" applyBorder="1" applyAlignment="1" applyProtection="1">
      <alignment horizontal="center" vertical="center" wrapText="1"/>
      <protection locked="0"/>
    </xf>
    <xf numFmtId="0" fontId="23" fillId="2" borderId="0" xfId="0" applyFont="1" applyFill="1" applyAlignment="1" applyProtection="1">
      <alignment vertical="center"/>
      <protection hidden="1"/>
    </xf>
    <xf numFmtId="0" fontId="12" fillId="0" borderId="0" xfId="0" applyFont="1" applyAlignment="1" applyProtection="1">
      <alignment horizontal="right" vertical="center"/>
      <protection locked="0"/>
    </xf>
    <xf numFmtId="0" fontId="24" fillId="18" borderId="6" xfId="0" applyFont="1" applyFill="1" applyBorder="1" applyAlignment="1" applyProtection="1">
      <alignment horizontal="center" vertical="center" wrapText="1"/>
      <protection locked="0"/>
    </xf>
    <xf numFmtId="0" fontId="24" fillId="18" borderId="7" xfId="0" applyFont="1" applyFill="1" applyBorder="1" applyAlignment="1" applyProtection="1">
      <alignment horizontal="center" vertical="center" wrapText="1"/>
      <protection locked="0"/>
    </xf>
    <xf numFmtId="0" fontId="24" fillId="18" borderId="4" xfId="0" applyFont="1" applyFill="1" applyBorder="1" applyAlignment="1" applyProtection="1">
      <alignment horizontal="center" vertical="center" wrapText="1"/>
      <protection locked="0"/>
    </xf>
    <xf numFmtId="9" fontId="36" fillId="17" borderId="15" xfId="2" applyFont="1" applyFill="1" applyBorder="1" applyAlignment="1" applyProtection="1">
      <alignment horizontal="center" vertical="center" wrapText="1"/>
      <protection locked="0"/>
    </xf>
    <xf numFmtId="164" fontId="36" fillId="17" borderId="15" xfId="2" applyNumberFormat="1" applyFont="1" applyFill="1" applyBorder="1" applyAlignment="1" applyProtection="1">
      <alignment horizontal="center" vertical="center" wrapText="1"/>
      <protection locked="0"/>
    </xf>
    <xf numFmtId="4" fontId="5" fillId="0" borderId="0" xfId="0" applyNumberFormat="1" applyFont="1" applyProtection="1">
      <protection locked="0"/>
    </xf>
    <xf numFmtId="10" fontId="36" fillId="17" borderId="15" xfId="2" applyNumberFormat="1" applyFont="1" applyFill="1" applyBorder="1" applyAlignment="1" applyProtection="1">
      <alignment horizontal="center" vertical="center" wrapText="1"/>
      <protection locked="0"/>
    </xf>
    <xf numFmtId="0" fontId="24" fillId="16" borderId="6" xfId="0" applyFont="1" applyFill="1" applyBorder="1" applyAlignment="1" applyProtection="1">
      <alignment horizontal="center" vertical="center" wrapText="1"/>
      <protection locked="0"/>
    </xf>
    <xf numFmtId="0" fontId="24" fillId="16" borderId="7" xfId="0" applyFont="1" applyFill="1" applyBorder="1" applyAlignment="1" applyProtection="1">
      <alignment horizontal="center" vertical="center" wrapText="1"/>
      <protection locked="0"/>
    </xf>
    <xf numFmtId="0" fontId="24" fillId="16" borderId="4" xfId="0" applyFont="1" applyFill="1" applyBorder="1" applyAlignment="1" applyProtection="1">
      <alignment horizontal="center" vertical="center" wrapText="1"/>
      <protection locked="0"/>
    </xf>
    <xf numFmtId="4" fontId="5" fillId="6" borderId="3" xfId="4" applyNumberFormat="1" applyFont="1" applyFill="1" applyBorder="1" applyAlignment="1" applyProtection="1">
      <alignment horizontal="center" vertical="center"/>
      <protection locked="0"/>
    </xf>
    <xf numFmtId="0" fontId="5" fillId="19" borderId="15" xfId="0" applyFont="1" applyFill="1" applyBorder="1" applyAlignment="1" applyProtection="1">
      <alignment horizontal="left" vertical="center" wrapText="1"/>
      <protection locked="0"/>
    </xf>
    <xf numFmtId="3" fontId="5" fillId="19" borderId="16" xfId="0" applyNumberFormat="1" applyFont="1" applyFill="1" applyBorder="1" applyAlignment="1" applyProtection="1">
      <alignment horizontal="center" vertical="center" wrapText="1"/>
      <protection locked="0"/>
    </xf>
    <xf numFmtId="4" fontId="5" fillId="19" borderId="16" xfId="0" applyNumberFormat="1" applyFont="1" applyFill="1" applyBorder="1" applyAlignment="1" applyProtection="1">
      <alignment horizontal="center" vertical="center" wrapText="1"/>
      <protection locked="0"/>
    </xf>
    <xf numFmtId="10" fontId="5" fillId="19" borderId="16" xfId="2" applyNumberFormat="1" applyFont="1" applyFill="1" applyBorder="1" applyAlignment="1" applyProtection="1">
      <alignment horizontal="center" vertical="center" wrapText="1"/>
      <protection locked="0"/>
    </xf>
    <xf numFmtId="3" fontId="5" fillId="19" borderId="15" xfId="0" applyNumberFormat="1" applyFont="1" applyFill="1" applyBorder="1" applyAlignment="1" applyProtection="1">
      <alignment horizontal="center" vertical="center" wrapText="1"/>
      <protection locked="0"/>
    </xf>
    <xf numFmtId="4" fontId="5" fillId="19" borderId="15" xfId="0" applyNumberFormat="1" applyFont="1" applyFill="1" applyBorder="1" applyAlignment="1" applyProtection="1">
      <alignment horizontal="center" vertical="center" wrapText="1"/>
      <protection locked="0"/>
    </xf>
    <xf numFmtId="164" fontId="5" fillId="19" borderId="16" xfId="0" applyNumberFormat="1" applyFont="1" applyFill="1" applyBorder="1" applyAlignment="1" applyProtection="1">
      <alignment horizontal="center" vertical="center" wrapText="1"/>
      <protection locked="0"/>
    </xf>
    <xf numFmtId="10" fontId="5" fillId="19" borderId="15" xfId="2" applyNumberFormat="1" applyFont="1" applyFill="1" applyBorder="1" applyAlignment="1" applyProtection="1">
      <alignment horizontal="center" vertical="center" wrapText="1"/>
      <protection locked="0"/>
    </xf>
    <xf numFmtId="164" fontId="5" fillId="19" borderId="15" xfId="0" applyNumberFormat="1" applyFont="1" applyFill="1" applyBorder="1" applyAlignment="1" applyProtection="1">
      <alignment horizontal="center" vertical="center" wrapText="1"/>
      <protection locked="0"/>
    </xf>
    <xf numFmtId="0" fontId="62" fillId="0" borderId="13" xfId="0" applyFont="1" applyBorder="1" applyAlignment="1">
      <alignment vertical="center"/>
    </xf>
    <xf numFmtId="3" fontId="53" fillId="5" borderId="0" xfId="4" applyNumberFormat="1" applyFont="1" applyFill="1" applyAlignment="1" applyProtection="1">
      <alignment horizontal="center" vertical="center"/>
      <protection locked="0"/>
    </xf>
    <xf numFmtId="3" fontId="11" fillId="15" borderId="0" xfId="0" applyNumberFormat="1" applyFont="1" applyFill="1" applyAlignment="1">
      <alignment horizontal="center" vertical="center"/>
    </xf>
    <xf numFmtId="0" fontId="53" fillId="12" borderId="0" xfId="0" applyFont="1" applyFill="1" applyAlignment="1">
      <alignment horizontal="center" vertical="top" wrapText="1"/>
    </xf>
    <xf numFmtId="0" fontId="64" fillId="0" borderId="0" xfId="6" applyFont="1" applyAlignment="1">
      <alignment vertical="center"/>
    </xf>
    <xf numFmtId="0" fontId="64" fillId="0" borderId="0" xfId="6" applyFont="1" applyAlignment="1">
      <alignment horizontal="left" vertical="center" indent="2"/>
    </xf>
    <xf numFmtId="0" fontId="0" fillId="22" borderId="21" xfId="0" applyFill="1" applyBorder="1" applyAlignment="1">
      <alignment horizontal="center"/>
    </xf>
    <xf numFmtId="0" fontId="0" fillId="22" borderId="22" xfId="0" applyFill="1" applyBorder="1" applyAlignment="1">
      <alignment horizontal="center"/>
    </xf>
    <xf numFmtId="0" fontId="0" fillId="22" borderId="22" xfId="0" applyFill="1" applyBorder="1"/>
    <xf numFmtId="0" fontId="0" fillId="22" borderId="22" xfId="0" applyFill="1" applyBorder="1" applyAlignment="1">
      <alignment wrapText="1"/>
    </xf>
    <xf numFmtId="0" fontId="0" fillId="22" borderId="22" xfId="0" applyFill="1" applyBorder="1" applyAlignment="1">
      <alignment horizontal="left"/>
    </xf>
    <xf numFmtId="0" fontId="0" fillId="0" borderId="21" xfId="0" applyBorder="1" applyAlignment="1">
      <alignment horizontal="center"/>
    </xf>
    <xf numFmtId="0" fontId="0" fillId="0" borderId="22" xfId="0" applyBorder="1" applyAlignment="1">
      <alignment horizontal="center"/>
    </xf>
    <xf numFmtId="0" fontId="0" fillId="0" borderId="22" xfId="0" applyBorder="1"/>
    <xf numFmtId="0" fontId="0" fillId="0" borderId="22" xfId="0" applyBorder="1" applyAlignment="1">
      <alignment wrapText="1"/>
    </xf>
    <xf numFmtId="0" fontId="0" fillId="0" borderId="22" xfId="0" applyBorder="1" applyAlignment="1">
      <alignment horizontal="left"/>
    </xf>
    <xf numFmtId="0" fontId="2" fillId="0" borderId="0" xfId="0" applyFont="1" applyAlignment="1">
      <alignment horizontal="left"/>
    </xf>
    <xf numFmtId="0" fontId="6" fillId="0" borderId="0" xfId="0" applyFont="1" applyAlignment="1">
      <alignment horizontal="center"/>
    </xf>
    <xf numFmtId="0" fontId="0" fillId="2" borderId="0" xfId="0" applyFill="1" applyAlignment="1">
      <alignment horizontal="left" vertical="top" wrapText="1"/>
    </xf>
    <xf numFmtId="0" fontId="24" fillId="7" borderId="6" xfId="0" applyFont="1" applyFill="1" applyBorder="1" applyAlignment="1">
      <alignment horizontal="center" vertical="center"/>
    </xf>
    <xf numFmtId="0" fontId="21" fillId="7" borderId="8" xfId="0" quotePrefix="1" applyFont="1" applyFill="1" applyBorder="1" applyAlignment="1">
      <alignment horizontal="center" vertical="center"/>
    </xf>
    <xf numFmtId="0" fontId="24" fillId="7" borderId="8" xfId="0" quotePrefix="1" applyFont="1" applyFill="1" applyBorder="1" applyAlignment="1">
      <alignment horizontal="center" vertical="center"/>
    </xf>
    <xf numFmtId="3" fontId="11" fillId="23" borderId="0" xfId="0" applyNumberFormat="1" applyFont="1" applyFill="1" applyAlignment="1">
      <alignment horizontal="center" vertical="center"/>
    </xf>
    <xf numFmtId="0" fontId="31" fillId="0" borderId="0" xfId="0" applyFont="1" applyAlignment="1">
      <alignment horizontal="left" vertical="center" wrapText="1"/>
    </xf>
    <xf numFmtId="3" fontId="53" fillId="5" borderId="0" xfId="4" applyNumberFormat="1" applyFont="1" applyFill="1" applyAlignment="1">
      <alignment horizontal="center" vertical="center"/>
    </xf>
    <xf numFmtId="0" fontId="22" fillId="21" borderId="0" xfId="0" applyFont="1" applyFill="1" applyAlignment="1">
      <alignment horizontal="center" vertical="center" wrapText="1"/>
    </xf>
    <xf numFmtId="3" fontId="0" fillId="6" borderId="3" xfId="4" applyNumberFormat="1" applyFont="1" applyFill="1" applyBorder="1" applyAlignment="1">
      <alignment horizontal="center" vertical="center"/>
    </xf>
    <xf numFmtId="0" fontId="5" fillId="6" borderId="3" xfId="4" applyFont="1" applyFill="1" applyBorder="1" applyAlignment="1">
      <alignment horizontal="center" vertical="center"/>
    </xf>
    <xf numFmtId="3" fontId="5" fillId="6" borderId="3" xfId="4" applyNumberFormat="1" applyFont="1" applyFill="1" applyBorder="1" applyAlignment="1">
      <alignment horizontal="center" vertical="center"/>
    </xf>
    <xf numFmtId="0" fontId="64" fillId="0" borderId="0" xfId="6" applyFont="1" applyAlignment="1" applyProtection="1">
      <alignment horizontal="left" vertical="center" indent="2"/>
    </xf>
    <xf numFmtId="0" fontId="65" fillId="0" borderId="0" xfId="0" applyFont="1" applyAlignment="1">
      <alignment horizontal="left" vertical="center"/>
    </xf>
    <xf numFmtId="0" fontId="22" fillId="21" borderId="0" xfId="0" applyFont="1" applyFill="1" applyAlignment="1">
      <alignment horizontal="left" vertical="center" wrapText="1" indent="1"/>
    </xf>
    <xf numFmtId="0" fontId="21" fillId="7" borderId="4" xfId="4" applyFont="1" applyFill="1" applyBorder="1" applyAlignment="1">
      <alignment horizontal="left" vertical="center" wrapText="1" indent="2"/>
    </xf>
    <xf numFmtId="165" fontId="2" fillId="0" borderId="0" xfId="0" applyNumberFormat="1" applyFont="1"/>
    <xf numFmtId="10" fontId="5" fillId="5" borderId="5" xfId="2" applyNumberFormat="1" applyFont="1" applyFill="1" applyBorder="1" applyAlignment="1" applyProtection="1">
      <alignment horizontal="center" vertical="center"/>
    </xf>
    <xf numFmtId="166" fontId="2" fillId="0" borderId="0" xfId="0" applyNumberFormat="1" applyFont="1"/>
    <xf numFmtId="0" fontId="21" fillId="7" borderId="5" xfId="4" applyFont="1" applyFill="1" applyBorder="1" applyAlignment="1">
      <alignment horizontal="left" vertical="center" wrapText="1" indent="2"/>
    </xf>
    <xf numFmtId="10" fontId="6" fillId="5" borderId="4" xfId="2" applyNumberFormat="1" applyFont="1" applyFill="1" applyBorder="1" applyAlignment="1" applyProtection="1">
      <alignment horizontal="center" vertical="center"/>
    </xf>
    <xf numFmtId="0" fontId="3" fillId="4" borderId="0" xfId="0" applyFont="1" applyFill="1"/>
    <xf numFmtId="0" fontId="0" fillId="4" borderId="0" xfId="0" applyFill="1"/>
    <xf numFmtId="3" fontId="0" fillId="4" borderId="0" xfId="0" applyNumberFormat="1" applyFill="1"/>
    <xf numFmtId="10" fontId="31" fillId="5" borderId="0" xfId="2" applyNumberFormat="1" applyFont="1" applyFill="1" applyProtection="1"/>
    <xf numFmtId="3" fontId="0" fillId="5" borderId="0" xfId="0" applyNumberFormat="1" applyFill="1"/>
    <xf numFmtId="9" fontId="0" fillId="0" borderId="0" xfId="2" applyFont="1" applyProtection="1"/>
    <xf numFmtId="4" fontId="31" fillId="5" borderId="0" xfId="0" applyNumberFormat="1" applyFont="1" applyFill="1"/>
    <xf numFmtId="10" fontId="0" fillId="0" borderId="0" xfId="2" applyNumberFormat="1" applyFont="1" applyProtection="1"/>
    <xf numFmtId="4" fontId="0" fillId="0" borderId="0" xfId="0" applyNumberFormat="1"/>
    <xf numFmtId="4" fontId="54" fillId="0" borderId="0" xfId="0" applyNumberFormat="1" applyFont="1" applyAlignment="1">
      <alignment horizontal="right"/>
    </xf>
    <xf numFmtId="4" fontId="0" fillId="5" borderId="0" xfId="0" applyNumberFormat="1" applyFill="1"/>
    <xf numFmtId="4" fontId="0" fillId="5" borderId="0" xfId="2" applyNumberFormat="1" applyFont="1" applyFill="1" applyProtection="1"/>
    <xf numFmtId="0" fontId="2" fillId="4" borderId="0" xfId="0" applyFont="1" applyFill="1"/>
    <xf numFmtId="1" fontId="2" fillId="0" borderId="0" xfId="0" applyNumberFormat="1" applyFont="1"/>
    <xf numFmtId="2" fontId="0" fillId="0" borderId="0" xfId="0" applyNumberFormat="1"/>
    <xf numFmtId="0" fontId="0" fillId="0" borderId="0" xfId="0" applyAlignment="1">
      <alignment horizontal="right"/>
    </xf>
    <xf numFmtId="0" fontId="6" fillId="0" borderId="0" xfId="0" applyFont="1" applyAlignment="1">
      <alignment horizontal="left"/>
    </xf>
    <xf numFmtId="9" fontId="6" fillId="0" borderId="0" xfId="2" applyFont="1"/>
    <xf numFmtId="0" fontId="6" fillId="0" borderId="0" xfId="0" applyFont="1" applyAlignment="1">
      <alignment horizontal="center" vertical="center"/>
    </xf>
    <xf numFmtId="0" fontId="6" fillId="0" borderId="0" xfId="0" applyFont="1" applyAlignment="1">
      <alignment vertical="center"/>
    </xf>
    <xf numFmtId="0" fontId="6" fillId="0" borderId="0" xfId="0" applyFont="1" applyAlignment="1">
      <alignment horizontal="left" vertical="center"/>
    </xf>
    <xf numFmtId="2" fontId="6" fillId="0" borderId="0" xfId="0" applyNumberFormat="1" applyFont="1" applyAlignment="1">
      <alignment vertical="center"/>
    </xf>
    <xf numFmtId="0" fontId="6" fillId="0" borderId="0" xfId="0" applyFont="1" applyAlignment="1">
      <alignment horizontal="center" vertical="center" wrapText="1"/>
    </xf>
    <xf numFmtId="0" fontId="6" fillId="0" borderId="0" xfId="0" applyFont="1" applyAlignment="1">
      <alignment horizontal="center" wrapText="1"/>
    </xf>
    <xf numFmtId="0" fontId="65" fillId="0" borderId="0" xfId="0" applyFont="1"/>
    <xf numFmtId="0" fontId="39" fillId="0" borderId="0" xfId="0" applyFont="1" applyAlignment="1">
      <alignment wrapText="1"/>
    </xf>
    <xf numFmtId="0" fontId="22" fillId="21" borderId="0" xfId="0" applyFont="1" applyFill="1" applyAlignment="1">
      <alignment horizontal="left" vertical="center" indent="1"/>
    </xf>
    <xf numFmtId="4" fontId="6" fillId="5" borderId="0" xfId="4" applyNumberFormat="1" applyFont="1" applyFill="1" applyAlignment="1">
      <alignment horizontal="center" vertical="center"/>
    </xf>
    <xf numFmtId="0" fontId="24" fillId="7" borderId="5" xfId="0" applyFont="1" applyFill="1" applyBorder="1" applyAlignment="1">
      <alignment horizontal="left" vertical="center" wrapText="1" indent="1"/>
    </xf>
    <xf numFmtId="0" fontId="69" fillId="0" borderId="0" xfId="0" applyFont="1" applyAlignment="1">
      <alignment vertical="center"/>
    </xf>
    <xf numFmtId="0" fontId="69" fillId="0" borderId="0" xfId="0" applyFont="1" applyProtection="1">
      <protection locked="0"/>
    </xf>
    <xf numFmtId="0" fontId="22" fillId="0" borderId="0" xfId="0" applyFont="1" applyAlignment="1" applyProtection="1">
      <alignment vertical="center"/>
      <protection locked="0"/>
    </xf>
    <xf numFmtId="0" fontId="55" fillId="0" borderId="0" xfId="0" applyFont="1" applyProtection="1">
      <protection locked="0"/>
    </xf>
    <xf numFmtId="0" fontId="22" fillId="0" borderId="0" xfId="0" applyFont="1" applyAlignment="1" applyProtection="1">
      <alignment horizontal="center" vertical="center"/>
      <protection locked="0"/>
    </xf>
    <xf numFmtId="0" fontId="11" fillId="0" borderId="0" xfId="0" applyFont="1" applyAlignment="1" applyProtection="1">
      <alignment vertical="center"/>
      <protection locked="0"/>
    </xf>
    <xf numFmtId="0" fontId="56" fillId="0" borderId="0" xfId="0" applyFont="1" applyAlignment="1" applyProtection="1">
      <alignment vertical="center"/>
      <protection locked="0"/>
    </xf>
    <xf numFmtId="0" fontId="56" fillId="0" borderId="0" xfId="0" applyFont="1" applyAlignment="1" applyProtection="1">
      <alignment vertical="top"/>
      <protection locked="0"/>
    </xf>
    <xf numFmtId="0" fontId="2" fillId="0" borderId="0" xfId="0" applyFont="1" applyAlignment="1" applyProtection="1">
      <alignment horizontal="right" vertical="center"/>
      <protection locked="0"/>
    </xf>
    <xf numFmtId="0" fontId="57" fillId="0" borderId="0" xfId="0" applyFont="1" applyAlignment="1" applyProtection="1">
      <alignment horizontal="center" vertical="center"/>
      <protection locked="0"/>
    </xf>
    <xf numFmtId="0" fontId="0" fillId="0" borderId="0" xfId="0" applyAlignment="1" applyProtection="1">
      <alignment horizontal="left" vertical="center"/>
      <protection locked="0"/>
    </xf>
    <xf numFmtId="0" fontId="18" fillId="0" borderId="0" xfId="6" applyFont="1" applyFill="1" applyBorder="1" applyAlignment="1" applyProtection="1">
      <alignment vertical="center"/>
      <protection locked="0"/>
    </xf>
    <xf numFmtId="167" fontId="33" fillId="0" borderId="0" xfId="0" applyNumberFormat="1" applyFont="1" applyAlignment="1" applyProtection="1">
      <alignment horizontal="left" vertical="center"/>
      <protection locked="0"/>
    </xf>
    <xf numFmtId="0" fontId="36" fillId="0" borderId="0" xfId="0" applyFont="1" applyAlignment="1" applyProtection="1">
      <alignment horizontal="right" vertical="top"/>
      <protection locked="0"/>
    </xf>
    <xf numFmtId="0" fontId="18" fillId="0" borderId="0" xfId="0" applyFont="1" applyAlignment="1" applyProtection="1">
      <alignment horizontal="left" vertical="center" wrapText="1"/>
      <protection locked="0"/>
    </xf>
    <xf numFmtId="0" fontId="14" fillId="2" borderId="1" xfId="4" applyFill="1" applyBorder="1" applyProtection="1">
      <protection locked="0"/>
    </xf>
    <xf numFmtId="0" fontId="62" fillId="0" borderId="13" xfId="0" applyFont="1" applyBorder="1" applyAlignment="1" applyProtection="1">
      <alignment vertical="center"/>
      <protection locked="0"/>
    </xf>
    <xf numFmtId="0" fontId="20" fillId="0" borderId="13" xfId="0" applyFont="1" applyBorder="1" applyAlignment="1" applyProtection="1">
      <alignment vertical="center"/>
      <protection locked="0"/>
    </xf>
    <xf numFmtId="0" fontId="61" fillId="0" borderId="0" xfId="0" applyFont="1" applyProtection="1">
      <protection locked="0"/>
    </xf>
    <xf numFmtId="0" fontId="5" fillId="5" borderId="17" xfId="0" applyFont="1" applyFill="1" applyBorder="1" applyProtection="1">
      <protection locked="0"/>
    </xf>
    <xf numFmtId="3" fontId="5" fillId="5" borderId="17" xfId="0" applyNumberFormat="1" applyFont="1" applyFill="1" applyBorder="1" applyProtection="1">
      <protection locked="0"/>
    </xf>
    <xf numFmtId="2" fontId="5" fillId="5" borderId="17" xfId="0" applyNumberFormat="1" applyFont="1" applyFill="1" applyBorder="1" applyProtection="1">
      <protection locked="0"/>
    </xf>
    <xf numFmtId="10" fontId="5" fillId="5" borderId="17" xfId="0" applyNumberFormat="1" applyFont="1" applyFill="1" applyBorder="1" applyProtection="1">
      <protection locked="0"/>
    </xf>
    <xf numFmtId="4" fontId="5" fillId="5" borderId="17" xfId="0" applyNumberFormat="1" applyFont="1" applyFill="1" applyBorder="1" applyProtection="1">
      <protection locked="0"/>
    </xf>
    <xf numFmtId="9" fontId="5" fillId="5" borderId="17" xfId="2" applyFont="1" applyFill="1" applyBorder="1" applyProtection="1">
      <protection locked="0"/>
    </xf>
    <xf numFmtId="0" fontId="61" fillId="0" borderId="0" xfId="0" applyFont="1" applyAlignment="1" applyProtection="1">
      <alignment horizontal="center"/>
      <protection locked="0"/>
    </xf>
    <xf numFmtId="0" fontId="21" fillId="7" borderId="4" xfId="4" applyFont="1" applyFill="1" applyBorder="1" applyAlignment="1" applyProtection="1">
      <alignment horizontal="left" vertical="center" indent="2"/>
      <protection locked="0"/>
    </xf>
    <xf numFmtId="0" fontId="21" fillId="7" borderId="4" xfId="4" applyFont="1" applyFill="1" applyBorder="1" applyAlignment="1" applyProtection="1">
      <alignment horizontal="right" vertical="center" indent="1"/>
      <protection locked="0"/>
    </xf>
    <xf numFmtId="0" fontId="21" fillId="7" borderId="5" xfId="4" applyFont="1" applyFill="1" applyBorder="1" applyAlignment="1" applyProtection="1">
      <alignment horizontal="left" vertical="center" indent="2"/>
      <protection locked="0"/>
    </xf>
    <xf numFmtId="0" fontId="21" fillId="7" borderId="5" xfId="4" applyFont="1" applyFill="1" applyBorder="1" applyAlignment="1" applyProtection="1">
      <alignment horizontal="right" vertical="center" indent="1"/>
      <protection locked="0"/>
    </xf>
    <xf numFmtId="0" fontId="21" fillId="7" borderId="11" xfId="4" applyFont="1" applyFill="1" applyBorder="1" applyAlignment="1" applyProtection="1">
      <alignment horizontal="left" vertical="center" indent="2"/>
      <protection locked="0"/>
    </xf>
    <xf numFmtId="164" fontId="6" fillId="0" borderId="0" xfId="2" applyNumberFormat="1" applyFont="1" applyAlignment="1">
      <alignment vertical="center"/>
    </xf>
    <xf numFmtId="0" fontId="21" fillId="7" borderId="11" xfId="0" applyFont="1" applyFill="1" applyBorder="1" applyAlignment="1">
      <alignment horizontal="left" vertical="center" indent="2"/>
    </xf>
    <xf numFmtId="0" fontId="21" fillId="7" borderId="5" xfId="0" applyFont="1" applyFill="1" applyBorder="1" applyAlignment="1">
      <alignment horizontal="left" vertical="center" indent="2"/>
    </xf>
    <xf numFmtId="0" fontId="21" fillId="7" borderId="9" xfId="0" quotePrefix="1" applyFont="1" applyFill="1" applyBorder="1" applyAlignment="1">
      <alignment horizontal="center" vertical="center"/>
    </xf>
    <xf numFmtId="0" fontId="21" fillId="7" borderId="8" xfId="0" quotePrefix="1" applyFont="1" applyFill="1" applyBorder="1" applyAlignment="1">
      <alignment horizontal="center" vertical="center"/>
    </xf>
    <xf numFmtId="0" fontId="21" fillId="7" borderId="9" xfId="0" applyFont="1" applyFill="1" applyBorder="1" applyAlignment="1">
      <alignment horizontal="left" vertical="center" indent="2"/>
    </xf>
    <xf numFmtId="0" fontId="21" fillId="7" borderId="3" xfId="0" applyFont="1" applyFill="1" applyBorder="1" applyAlignment="1">
      <alignment horizontal="left" vertical="center" indent="2"/>
    </xf>
    <xf numFmtId="0" fontId="21" fillId="7" borderId="7" xfId="0" applyFont="1" applyFill="1" applyBorder="1" applyAlignment="1">
      <alignment horizontal="left" vertical="center" indent="2"/>
    </xf>
    <xf numFmtId="0" fontId="21" fillId="7" borderId="4" xfId="0" applyFont="1" applyFill="1" applyBorder="1" applyAlignment="1">
      <alignment horizontal="left" vertical="center" indent="2"/>
    </xf>
    <xf numFmtId="0" fontId="23" fillId="2" borderId="0" xfId="0" applyFont="1" applyFill="1" applyAlignment="1" applyProtection="1">
      <alignment horizontal="left" vertical="center"/>
      <protection hidden="1"/>
    </xf>
    <xf numFmtId="0" fontId="24" fillId="7" borderId="7" xfId="0" applyFont="1" applyFill="1" applyBorder="1" applyAlignment="1">
      <alignment horizontal="center" vertical="center"/>
    </xf>
    <xf numFmtId="0" fontId="24" fillId="7" borderId="4" xfId="0" applyFont="1" applyFill="1" applyBorder="1" applyAlignment="1">
      <alignment horizontal="center" vertical="center"/>
    </xf>
    <xf numFmtId="0" fontId="21" fillId="7" borderId="11" xfId="0" quotePrefix="1" applyFont="1" applyFill="1" applyBorder="1" applyAlignment="1">
      <alignment horizontal="center" vertical="center"/>
    </xf>
    <xf numFmtId="0" fontId="21" fillId="7" borderId="12" xfId="0" quotePrefix="1" applyFont="1" applyFill="1" applyBorder="1" applyAlignment="1">
      <alignment horizontal="center" vertical="center"/>
    </xf>
    <xf numFmtId="0" fontId="24" fillId="7" borderId="6" xfId="0" applyFont="1" applyFill="1" applyBorder="1" applyAlignment="1">
      <alignment horizontal="center" vertical="center"/>
    </xf>
    <xf numFmtId="0" fontId="21" fillId="7" borderId="2" xfId="0" applyFont="1" applyFill="1" applyBorder="1" applyAlignment="1">
      <alignment horizontal="left" vertical="center" wrapText="1" indent="1"/>
    </xf>
    <xf numFmtId="0" fontId="21" fillId="7" borderId="0" xfId="0" applyFont="1" applyFill="1" applyAlignment="1">
      <alignment horizontal="left" vertical="center" wrapText="1" indent="1"/>
    </xf>
    <xf numFmtId="0" fontId="43" fillId="2" borderId="0" xfId="4" applyFont="1" applyFill="1" applyAlignment="1">
      <alignment horizontal="left" vertical="top" wrapText="1"/>
    </xf>
    <xf numFmtId="0" fontId="21" fillId="7" borderId="0" xfId="0" applyFont="1" applyFill="1" applyAlignment="1" applyProtection="1">
      <alignment horizontal="left" vertical="center" wrapText="1" indent="2"/>
      <protection hidden="1"/>
    </xf>
    <xf numFmtId="0" fontId="68" fillId="0" borderId="2" xfId="0" applyFont="1" applyBorder="1" applyAlignment="1">
      <alignment horizontal="center" vertical="center" wrapText="1"/>
    </xf>
    <xf numFmtId="0" fontId="26" fillId="7" borderId="0" xfId="0" applyFont="1" applyFill="1" applyAlignment="1">
      <alignment horizontal="center" vertical="center" wrapText="1"/>
    </xf>
    <xf numFmtId="0" fontId="22" fillId="7" borderId="0" xfId="0" applyFont="1" applyFill="1" applyAlignment="1">
      <alignment horizontal="center" vertical="center" wrapText="1"/>
    </xf>
    <xf numFmtId="0" fontId="26" fillId="20" borderId="0" xfId="0" applyFont="1" applyFill="1" applyAlignment="1">
      <alignment horizontal="center" vertical="center" wrapText="1"/>
    </xf>
    <xf numFmtId="0" fontId="22" fillId="20" borderId="0" xfId="0" applyFont="1" applyFill="1" applyAlignment="1">
      <alignment horizontal="center" vertical="center" wrapText="1"/>
    </xf>
    <xf numFmtId="0" fontId="26" fillId="3" borderId="0" xfId="0" applyFont="1" applyFill="1" applyAlignment="1">
      <alignment horizontal="center" vertical="center" wrapText="1"/>
    </xf>
    <xf numFmtId="0" fontId="26" fillId="8" borderId="0" xfId="0" applyFont="1" applyFill="1" applyAlignment="1">
      <alignment horizontal="center" vertical="center" wrapText="1"/>
    </xf>
    <xf numFmtId="0" fontId="22" fillId="8" borderId="0" xfId="0" applyFont="1" applyFill="1" applyAlignment="1">
      <alignment horizontal="center" vertical="center" wrapText="1"/>
    </xf>
    <xf numFmtId="0" fontId="28" fillId="7" borderId="10" xfId="6" applyFont="1" applyFill="1" applyBorder="1" applyAlignment="1" applyProtection="1">
      <alignment horizontal="left" vertical="center" indent="9"/>
    </xf>
    <xf numFmtId="0" fontId="22" fillId="3" borderId="0" xfId="0" applyFont="1" applyFill="1" applyAlignment="1">
      <alignment horizontal="center" vertical="center" wrapText="1"/>
    </xf>
    <xf numFmtId="0" fontId="29" fillId="3" borderId="0" xfId="6" applyFont="1" applyFill="1" applyBorder="1" applyAlignment="1" applyProtection="1">
      <alignment horizontal="center" vertical="center" wrapText="1"/>
    </xf>
    <xf numFmtId="0" fontId="21" fillId="7" borderId="4" xfId="4" applyFont="1" applyFill="1" applyBorder="1" applyAlignment="1">
      <alignment horizontal="left" vertical="center" wrapText="1" indent="1"/>
    </xf>
    <xf numFmtId="3" fontId="5" fillId="5" borderId="3" xfId="4" applyNumberFormat="1" applyFont="1" applyFill="1" applyBorder="1" applyAlignment="1">
      <alignment horizontal="left" vertical="center" indent="1"/>
    </xf>
    <xf numFmtId="0" fontId="0" fillId="0" borderId="0" xfId="0" applyAlignment="1">
      <alignment horizontal="left" vertical="top" wrapText="1"/>
    </xf>
    <xf numFmtId="3" fontId="5" fillId="5" borderId="5" xfId="4" applyNumberFormat="1" applyFont="1" applyFill="1" applyBorder="1" applyAlignment="1">
      <alignment horizontal="left" vertical="center" indent="1"/>
    </xf>
    <xf numFmtId="3" fontId="25" fillId="5" borderId="0" xfId="4" applyNumberFormat="1" applyFont="1" applyFill="1" applyAlignment="1">
      <alignment horizontal="left" vertical="center" indent="1"/>
    </xf>
    <xf numFmtId="0" fontId="22" fillId="21" borderId="0" xfId="0" applyFont="1" applyFill="1" applyAlignment="1">
      <alignment horizontal="left" vertical="center" wrapText="1" indent="1"/>
    </xf>
    <xf numFmtId="0" fontId="24" fillId="7" borderId="3" xfId="0" applyFont="1" applyFill="1" applyBorder="1" applyAlignment="1">
      <alignment horizontal="left" vertical="center" wrapText="1" indent="1"/>
    </xf>
    <xf numFmtId="0" fontId="24" fillId="7" borderId="4" xfId="0" applyFont="1" applyFill="1" applyBorder="1" applyAlignment="1">
      <alignment horizontal="left" vertical="center" wrapText="1" indent="1"/>
    </xf>
    <xf numFmtId="164" fontId="5" fillId="5" borderId="5" xfId="2" applyNumberFormat="1" applyFont="1" applyFill="1" applyBorder="1" applyAlignment="1" applyProtection="1">
      <alignment horizontal="left" vertical="center" wrapText="1" indent="1"/>
    </xf>
    <xf numFmtId="0" fontId="67" fillId="0" borderId="2" xfId="0" applyFont="1" applyBorder="1" applyAlignment="1">
      <alignment horizontal="center" vertical="center" wrapText="1"/>
    </xf>
    <xf numFmtId="0" fontId="24" fillId="7" borderId="0" xfId="0" applyFont="1" applyFill="1" applyAlignment="1">
      <alignment horizontal="left" vertical="center" wrapText="1" indent="1"/>
    </xf>
    <xf numFmtId="164" fontId="5" fillId="5" borderId="0" xfId="2" applyNumberFormat="1" applyFont="1" applyFill="1" applyBorder="1" applyAlignment="1" applyProtection="1">
      <alignment horizontal="left" vertical="center" indent="1"/>
    </xf>
    <xf numFmtId="0" fontId="31" fillId="0" borderId="0" xfId="0" applyFont="1" applyAlignment="1">
      <alignment horizontal="left" vertical="top" wrapText="1"/>
    </xf>
    <xf numFmtId="0" fontId="63" fillId="12" borderId="0" xfId="0" applyFont="1" applyFill="1" applyAlignment="1">
      <alignment horizontal="left" vertical="center" wrapText="1"/>
    </xf>
    <xf numFmtId="3" fontId="59" fillId="16" borderId="7" xfId="0" applyNumberFormat="1" applyFont="1" applyFill="1" applyBorder="1" applyAlignment="1" applyProtection="1">
      <alignment horizontal="center" vertical="center"/>
      <protection locked="0"/>
    </xf>
    <xf numFmtId="3" fontId="59" fillId="16" borderId="4" xfId="0" applyNumberFormat="1" applyFont="1" applyFill="1" applyBorder="1" applyAlignment="1" applyProtection="1">
      <alignment horizontal="center" vertical="center"/>
      <protection locked="0"/>
    </xf>
    <xf numFmtId="3" fontId="59" fillId="18" borderId="7" xfId="0" applyNumberFormat="1" applyFont="1" applyFill="1" applyBorder="1" applyAlignment="1" applyProtection="1">
      <alignment horizontal="center" vertical="center"/>
      <protection locked="0"/>
    </xf>
    <xf numFmtId="3" fontId="59" fillId="18" borderId="4" xfId="0" applyNumberFormat="1" applyFont="1" applyFill="1" applyBorder="1" applyAlignment="1" applyProtection="1">
      <alignment horizontal="center" vertical="center"/>
      <protection locked="0"/>
    </xf>
    <xf numFmtId="3" fontId="59" fillId="18" borderId="6" xfId="0" applyNumberFormat="1" applyFont="1" applyFill="1" applyBorder="1" applyAlignment="1" applyProtection="1">
      <alignment horizontal="center" vertical="center"/>
      <protection locked="0"/>
    </xf>
    <xf numFmtId="0" fontId="24" fillId="18" borderId="9" xfId="0" applyFont="1" applyFill="1" applyBorder="1" applyAlignment="1" applyProtection="1">
      <alignment horizontal="center" wrapText="1"/>
      <protection locked="0"/>
    </xf>
    <xf numFmtId="0" fontId="60" fillId="3" borderId="8" xfId="0" applyFont="1" applyFill="1" applyBorder="1" applyProtection="1">
      <protection locked="0"/>
    </xf>
    <xf numFmtId="0" fontId="24" fillId="18" borderId="8" xfId="0" applyFont="1" applyFill="1" applyBorder="1" applyAlignment="1" applyProtection="1">
      <alignment horizontal="center" vertical="center" wrapText="1"/>
      <protection locked="0"/>
    </xf>
    <xf numFmtId="0" fontId="24" fillId="18" borderId="6" xfId="0" applyFont="1" applyFill="1" applyBorder="1" applyAlignment="1" applyProtection="1">
      <alignment horizontal="center" vertical="center" wrapText="1"/>
      <protection locked="0"/>
    </xf>
    <xf numFmtId="0" fontId="24" fillId="18" borderId="14" xfId="0" applyFont="1" applyFill="1" applyBorder="1" applyAlignment="1" applyProtection="1">
      <alignment horizontal="center" vertical="center" wrapText="1"/>
      <protection locked="0"/>
    </xf>
    <xf numFmtId="0" fontId="60" fillId="3" borderId="14" xfId="0" applyFont="1" applyFill="1" applyBorder="1" applyAlignment="1" applyProtection="1">
      <alignment horizontal="center"/>
      <protection locked="0"/>
    </xf>
    <xf numFmtId="0" fontId="24" fillId="18" borderId="3" xfId="0" applyFont="1" applyFill="1" applyBorder="1" applyAlignment="1" applyProtection="1">
      <alignment horizontal="center" wrapText="1"/>
      <protection locked="0"/>
    </xf>
    <xf numFmtId="0" fontId="24" fillId="18" borderId="8" xfId="0" applyFont="1" applyFill="1" applyBorder="1" applyAlignment="1" applyProtection="1">
      <alignment horizontal="center" wrapText="1"/>
      <protection locked="0"/>
    </xf>
    <xf numFmtId="0" fontId="5" fillId="5" borderId="20" xfId="0" applyFont="1" applyFill="1" applyBorder="1" applyAlignment="1" applyProtection="1">
      <alignment horizontal="left" vertical="center" wrapText="1"/>
      <protection locked="0"/>
    </xf>
    <xf numFmtId="0" fontId="5" fillId="5" borderId="18" xfId="0" applyFont="1" applyFill="1" applyBorder="1" applyAlignment="1" applyProtection="1">
      <alignment horizontal="left" vertical="center" wrapText="1"/>
      <protection locked="0"/>
    </xf>
    <xf numFmtId="0" fontId="5" fillId="5" borderId="19" xfId="0" applyFont="1" applyFill="1"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2" fillId="0" borderId="14" xfId="0" applyFont="1" applyBorder="1" applyAlignment="1" applyProtection="1">
      <alignment horizontal="left" vertical="center" wrapText="1"/>
      <protection locked="0"/>
    </xf>
    <xf numFmtId="0" fontId="2" fillId="0" borderId="0" xfId="0" applyFont="1" applyAlignment="1" applyProtection="1">
      <alignment horizontal="left" vertical="center" wrapText="1"/>
      <protection locked="0"/>
    </xf>
    <xf numFmtId="0" fontId="58" fillId="0" borderId="14" xfId="0" applyFont="1" applyBorder="1" applyAlignment="1" applyProtection="1">
      <alignment horizontal="left" vertical="top" wrapText="1"/>
      <protection locked="0"/>
    </xf>
    <xf numFmtId="0" fontId="58" fillId="0" borderId="0" xfId="0" applyFont="1" applyAlignment="1" applyProtection="1">
      <alignment horizontal="left" vertical="top" wrapText="1"/>
      <protection locked="0"/>
    </xf>
    <xf numFmtId="0" fontId="24" fillId="16" borderId="9" xfId="0" applyFont="1" applyFill="1" applyBorder="1" applyAlignment="1" applyProtection="1">
      <alignment horizontal="center" wrapText="1"/>
      <protection locked="0"/>
    </xf>
    <xf numFmtId="0" fontId="60" fillId="7" borderId="8" xfId="0" applyFont="1" applyFill="1" applyBorder="1" applyProtection="1">
      <protection locked="0"/>
    </xf>
    <xf numFmtId="0" fontId="24" fillId="16" borderId="3" xfId="0" applyFont="1" applyFill="1" applyBorder="1" applyAlignment="1" applyProtection="1">
      <alignment horizontal="center" wrapText="1"/>
      <protection locked="0"/>
    </xf>
    <xf numFmtId="0" fontId="24" fillId="16" borderId="8" xfId="0" applyFont="1" applyFill="1" applyBorder="1" applyAlignment="1" applyProtection="1">
      <alignment horizontal="center" wrapText="1"/>
      <protection locked="0"/>
    </xf>
    <xf numFmtId="3" fontId="59" fillId="16" borderId="6" xfId="0" applyNumberFormat="1" applyFont="1" applyFill="1" applyBorder="1" applyAlignment="1" applyProtection="1">
      <alignment horizontal="center" vertical="center"/>
      <protection locked="0"/>
    </xf>
    <xf numFmtId="0" fontId="24" fillId="16" borderId="8" xfId="0" applyFont="1" applyFill="1" applyBorder="1" applyAlignment="1" applyProtection="1">
      <alignment horizontal="center" vertical="center" wrapText="1"/>
      <protection locked="0"/>
    </xf>
    <xf numFmtId="0" fontId="24" fillId="16" borderId="6" xfId="0" applyFont="1" applyFill="1" applyBorder="1" applyAlignment="1" applyProtection="1">
      <alignment horizontal="center" vertical="center" wrapText="1"/>
      <protection locked="0"/>
    </xf>
    <xf numFmtId="0" fontId="24" fillId="16" borderId="14" xfId="0" applyFont="1" applyFill="1" applyBorder="1" applyAlignment="1" applyProtection="1">
      <alignment horizontal="center" vertical="center" wrapText="1"/>
      <protection locked="0"/>
    </xf>
    <xf numFmtId="0" fontId="60" fillId="7" borderId="14" xfId="0" applyFont="1" applyFill="1" applyBorder="1" applyAlignment="1" applyProtection="1">
      <alignment horizontal="center"/>
      <protection locked="0"/>
    </xf>
    <xf numFmtId="0" fontId="67" fillId="0" borderId="2" xfId="0" applyFont="1" applyBorder="1" applyAlignment="1" applyProtection="1">
      <alignment horizontal="center" vertical="center" wrapText="1"/>
      <protection locked="0"/>
    </xf>
    <xf numFmtId="0" fontId="12" fillId="14" borderId="0" xfId="0" applyFont="1" applyFill="1" applyAlignment="1">
      <alignment horizontal="center"/>
    </xf>
    <xf numFmtId="0" fontId="24" fillId="7" borderId="0" xfId="0" applyFont="1" applyFill="1" applyAlignment="1">
      <alignment horizontal="center" vertical="center" wrapText="1"/>
    </xf>
    <xf numFmtId="0" fontId="21" fillId="7" borderId="4" xfId="4" applyFont="1" applyFill="1" applyBorder="1" applyAlignment="1">
      <alignment horizontal="left" vertical="center" indent="2"/>
    </xf>
    <xf numFmtId="164" fontId="5" fillId="5" borderId="5" xfId="2" applyNumberFormat="1" applyFont="1" applyFill="1" applyBorder="1" applyAlignment="1">
      <alignment horizontal="left" vertical="center" indent="1"/>
    </xf>
  </cellXfs>
  <cellStyles count="10">
    <cellStyle name="Hipervínculo" xfId="6" builtinId="8"/>
    <cellStyle name="Hyperlink 2" xfId="8" xr:uid="{00000000-0005-0000-0000-000000000000}"/>
    <cellStyle name="Normal" xfId="0" builtinId="0"/>
    <cellStyle name="Normal 10 2" xfId="3" xr:uid="{00000000-0005-0000-0000-000003000000}"/>
    <cellStyle name="Normal 13" xfId="4" xr:uid="{00000000-0005-0000-0000-000004000000}"/>
    <cellStyle name="Normal 2" xfId="1" xr:uid="{00000000-0005-0000-0000-000005000000}"/>
    <cellStyle name="Normal 2 2" xfId="7" xr:uid="{00000000-0005-0000-0000-000006000000}"/>
    <cellStyle name="Percent 2" xfId="9" xr:uid="{00000000-0005-0000-0000-000007000000}"/>
    <cellStyle name="Porcentaje" xfId="2" builtinId="5"/>
    <cellStyle name="Porcentaje 2" xfId="5" xr:uid="{00000000-0005-0000-0000-000008000000}"/>
  </cellStyles>
  <dxfs count="272">
    <dxf>
      <font>
        <color theme="0"/>
      </font>
      <fill>
        <patternFill>
          <bgColor theme="0"/>
        </patternFill>
      </fill>
    </dxf>
    <dxf>
      <font>
        <color theme="0"/>
      </font>
      <fill>
        <patternFill>
          <bgColor theme="0"/>
        </patternFill>
      </fill>
    </dxf>
    <dxf>
      <font>
        <color theme="0"/>
      </font>
      <fill>
        <patternFill>
          <bgColor theme="0"/>
        </patternFill>
      </fill>
    </dxf>
    <dxf>
      <font>
        <color theme="0"/>
      </font>
    </dxf>
    <dxf>
      <font>
        <color theme="0"/>
      </font>
    </dxf>
    <dxf>
      <numFmt numFmtId="168" formatCode="0.0"/>
    </dxf>
    <dxf>
      <numFmt numFmtId="2" formatCode="0.00"/>
    </dxf>
    <dxf>
      <numFmt numFmtId="168" formatCode="0.0"/>
    </dxf>
    <dxf>
      <numFmt numFmtId="2" formatCode="0.00"/>
    </dxf>
    <dxf>
      <numFmt numFmtId="2" formatCode="0.00"/>
    </dxf>
    <dxf>
      <numFmt numFmtId="168" formatCode="0.0"/>
    </dxf>
    <dxf>
      <numFmt numFmtId="2" formatCode="0.00"/>
    </dxf>
    <dxf>
      <numFmt numFmtId="168" formatCode="0.0"/>
    </dxf>
    <dxf>
      <font>
        <color theme="0"/>
      </font>
      <fill>
        <patternFill>
          <bgColor theme="0"/>
        </patternFill>
      </fill>
    </dxf>
    <dxf>
      <numFmt numFmtId="168" formatCode="0.0"/>
    </dxf>
    <dxf>
      <numFmt numFmtId="2" formatCode="0.00"/>
    </dxf>
    <dxf>
      <numFmt numFmtId="2" formatCode="0.00"/>
    </dxf>
    <dxf>
      <numFmt numFmtId="168" formatCode="0.0"/>
    </dxf>
    <dxf>
      <numFmt numFmtId="168" formatCode="0.0"/>
    </dxf>
    <dxf>
      <numFmt numFmtId="2" formatCode="0.00"/>
    </dxf>
    <dxf>
      <font>
        <b val="0"/>
        <i/>
      </font>
    </dxf>
    <dxf>
      <font>
        <b val="0"/>
        <i/>
      </font>
    </dxf>
    <dxf>
      <font>
        <b val="0"/>
        <i/>
      </font>
      <border>
        <left/>
        <right/>
        <top/>
        <bottom/>
      </border>
    </dxf>
    <dxf>
      <font>
        <color theme="0" tint="-0.14996795556505021"/>
      </font>
      <fill>
        <patternFill>
          <bgColor theme="0" tint="-0.14996795556505021"/>
        </patternFill>
      </fill>
    </dxf>
    <dxf>
      <numFmt numFmtId="168" formatCode="0.0"/>
    </dxf>
    <dxf>
      <numFmt numFmtId="2" formatCode="0.00"/>
    </dxf>
    <dxf>
      <font>
        <color theme="0"/>
      </font>
      <numFmt numFmtId="169" formatCode=";;;"/>
      <fill>
        <patternFill patternType="none">
          <bgColor auto="1"/>
        </patternFill>
      </fill>
      <border>
        <left/>
        <right/>
        <top/>
        <bottom/>
        <vertical/>
        <horizontal/>
      </border>
    </dxf>
    <dxf>
      <numFmt numFmtId="2" formatCode="0.00"/>
    </dxf>
    <dxf>
      <numFmt numFmtId="0" formatCode="General"/>
    </dxf>
    <dxf>
      <font>
        <color theme="0" tint="-0.14996795556505021"/>
      </font>
    </dxf>
    <dxf>
      <numFmt numFmtId="3" formatCode="#,##0"/>
    </dxf>
    <dxf>
      <numFmt numFmtId="0" formatCode="General"/>
    </dxf>
    <dxf>
      <fill>
        <patternFill>
          <bgColor rgb="FFFFC000"/>
        </patternFill>
      </fill>
    </dxf>
    <dxf>
      <fill>
        <patternFill>
          <bgColor rgb="FFFFC000"/>
        </patternFill>
      </fill>
    </dxf>
    <dxf>
      <font>
        <color theme="0" tint="-0.14996795556505021"/>
      </font>
    </dxf>
    <dxf>
      <numFmt numFmtId="170" formatCode="0.000"/>
    </dxf>
    <dxf>
      <numFmt numFmtId="0" formatCode="General"/>
    </dxf>
    <dxf>
      <font>
        <color theme="0" tint="-0.14996795556505021"/>
      </font>
    </dxf>
    <dxf>
      <numFmt numFmtId="170" formatCode="0.000"/>
    </dxf>
    <dxf>
      <font>
        <color theme="0" tint="-0.14996795556505021"/>
      </font>
    </dxf>
    <dxf>
      <numFmt numFmtId="0" formatCode="General"/>
    </dxf>
    <dxf>
      <numFmt numFmtId="2" formatCode="0.00"/>
    </dxf>
    <dxf>
      <numFmt numFmtId="2" formatCode="0.00"/>
    </dxf>
    <dxf>
      <numFmt numFmtId="0" formatCode="General"/>
    </dxf>
    <dxf>
      <numFmt numFmtId="2" formatCode="0.00"/>
    </dxf>
    <dxf>
      <numFmt numFmtId="0" formatCode="General"/>
    </dxf>
    <dxf>
      <numFmt numFmtId="170" formatCode="0.000"/>
    </dxf>
    <dxf>
      <numFmt numFmtId="0" formatCode="General"/>
    </dxf>
    <dxf>
      <numFmt numFmtId="2" formatCode="0.00"/>
    </dxf>
    <dxf>
      <numFmt numFmtId="0" formatCode="General"/>
    </dxf>
    <dxf>
      <numFmt numFmtId="2" formatCode="0.00"/>
    </dxf>
    <dxf>
      <numFmt numFmtId="0" formatCode="General"/>
    </dxf>
    <dxf>
      <numFmt numFmtId="0" formatCode="General"/>
    </dxf>
    <dxf>
      <numFmt numFmtId="2" formatCode="0.00"/>
    </dxf>
    <dxf>
      <numFmt numFmtId="0" formatCode="General"/>
    </dxf>
    <dxf>
      <numFmt numFmtId="170" formatCode="0.000"/>
    </dxf>
    <dxf>
      <numFmt numFmtId="0" formatCode="General"/>
    </dxf>
    <dxf>
      <numFmt numFmtId="2" formatCode="0.00"/>
    </dxf>
    <dxf>
      <numFmt numFmtId="0" formatCode="General"/>
    </dxf>
    <dxf>
      <numFmt numFmtId="2" formatCode="0.00"/>
    </dxf>
    <dxf>
      <numFmt numFmtId="2" formatCode="0.00"/>
    </dxf>
    <dxf>
      <numFmt numFmtId="0" formatCode="General"/>
    </dxf>
    <dxf>
      <numFmt numFmtId="2" formatCode="0.00"/>
    </dxf>
    <dxf>
      <numFmt numFmtId="0" formatCode="General"/>
    </dxf>
    <dxf>
      <numFmt numFmtId="170" formatCode="0.000"/>
    </dxf>
    <dxf>
      <numFmt numFmtId="0" formatCode="General"/>
    </dxf>
    <dxf>
      <numFmt numFmtId="2" formatCode="0.00"/>
    </dxf>
    <dxf>
      <numFmt numFmtId="0" formatCode="General"/>
    </dxf>
    <dxf>
      <numFmt numFmtId="2" formatCode="0.00"/>
    </dxf>
    <dxf>
      <numFmt numFmtId="0" formatCode="General"/>
    </dxf>
    <dxf>
      <numFmt numFmtId="0" formatCode="General"/>
    </dxf>
    <dxf>
      <numFmt numFmtId="2" formatCode="0.00"/>
    </dxf>
    <dxf>
      <numFmt numFmtId="0" formatCode="General"/>
    </dxf>
    <dxf>
      <numFmt numFmtId="170" formatCode="0.000"/>
    </dxf>
    <dxf>
      <numFmt numFmtId="0" formatCode="General"/>
    </dxf>
    <dxf>
      <numFmt numFmtId="2" formatCode="0.00"/>
    </dxf>
    <dxf>
      <numFmt numFmtId="2" formatCode="0.00"/>
    </dxf>
    <dxf>
      <numFmt numFmtId="0" formatCode="General"/>
    </dxf>
    <dxf>
      <numFmt numFmtId="2" formatCode="0.00"/>
    </dxf>
    <dxf>
      <numFmt numFmtId="0" formatCode="General"/>
    </dxf>
    <dxf>
      <numFmt numFmtId="170" formatCode="0.000"/>
    </dxf>
    <dxf>
      <numFmt numFmtId="0" formatCode="General"/>
    </dxf>
    <dxf>
      <numFmt numFmtId="2" formatCode="0.00"/>
    </dxf>
    <dxf>
      <numFmt numFmtId="0" formatCode="General"/>
    </dxf>
    <dxf>
      <numFmt numFmtId="0" formatCode="General"/>
    </dxf>
    <dxf>
      <numFmt numFmtId="0" formatCode="General"/>
    </dxf>
    <dxf>
      <numFmt numFmtId="170" formatCode="0.000"/>
    </dxf>
    <dxf>
      <numFmt numFmtId="0" formatCode="General"/>
    </dxf>
    <dxf>
      <numFmt numFmtId="2" formatCode="0.00"/>
    </dxf>
    <dxf>
      <numFmt numFmtId="0" formatCode="General"/>
    </dxf>
    <dxf>
      <numFmt numFmtId="2" formatCode="0.00"/>
    </dxf>
    <dxf>
      <numFmt numFmtId="2" formatCode="0.00"/>
    </dxf>
    <dxf>
      <numFmt numFmtId="2" formatCode="0.00"/>
    </dxf>
    <dxf>
      <numFmt numFmtId="0" formatCode="General"/>
    </dxf>
    <dxf>
      <numFmt numFmtId="2" formatCode="0.00"/>
    </dxf>
    <dxf>
      <numFmt numFmtId="170" formatCode="0.000"/>
    </dxf>
    <dxf>
      <numFmt numFmtId="0" formatCode="General"/>
    </dxf>
    <dxf>
      <numFmt numFmtId="0" formatCode="General"/>
    </dxf>
    <dxf>
      <numFmt numFmtId="2" formatCode="0.00"/>
    </dxf>
    <dxf>
      <numFmt numFmtId="0" formatCode="General"/>
    </dxf>
    <dxf>
      <numFmt numFmtId="0" formatCode="General"/>
    </dxf>
    <dxf>
      <numFmt numFmtId="2" formatCode="0.00"/>
    </dxf>
    <dxf>
      <numFmt numFmtId="0" formatCode="General"/>
    </dxf>
    <dxf>
      <numFmt numFmtId="170" formatCode="0.000"/>
    </dxf>
    <dxf>
      <numFmt numFmtId="2" formatCode="0.00"/>
    </dxf>
    <dxf>
      <numFmt numFmtId="0" formatCode="General"/>
    </dxf>
    <dxf>
      <numFmt numFmtId="2" formatCode="0.00"/>
    </dxf>
    <dxf>
      <numFmt numFmtId="0" formatCode="General"/>
    </dxf>
    <dxf>
      <numFmt numFmtId="0" formatCode="General"/>
    </dxf>
    <dxf>
      <numFmt numFmtId="2" formatCode="0.00"/>
    </dxf>
    <dxf>
      <numFmt numFmtId="2" formatCode="0.00"/>
    </dxf>
    <dxf>
      <numFmt numFmtId="0" formatCode="General"/>
    </dxf>
    <dxf>
      <numFmt numFmtId="0" formatCode="General"/>
    </dxf>
    <dxf>
      <numFmt numFmtId="170" formatCode="0.000"/>
    </dxf>
    <dxf>
      <numFmt numFmtId="170" formatCode="0.000"/>
    </dxf>
    <dxf>
      <numFmt numFmtId="0" formatCode="General"/>
    </dxf>
    <dxf>
      <numFmt numFmtId="170" formatCode="0.000"/>
    </dxf>
    <dxf>
      <numFmt numFmtId="0" formatCode="General"/>
    </dxf>
    <dxf>
      <numFmt numFmtId="170" formatCode="0.000"/>
    </dxf>
    <dxf>
      <numFmt numFmtId="0" formatCode="General"/>
    </dxf>
    <dxf>
      <numFmt numFmtId="170" formatCode="0.000"/>
    </dxf>
    <dxf>
      <numFmt numFmtId="0" formatCode="General"/>
    </dxf>
    <dxf>
      <numFmt numFmtId="170" formatCode="0.000"/>
    </dxf>
    <dxf>
      <numFmt numFmtId="0" formatCode="General"/>
    </dxf>
    <dxf>
      <numFmt numFmtId="170" formatCode="0.000"/>
    </dxf>
    <dxf>
      <numFmt numFmtId="0" formatCode="General"/>
    </dxf>
    <dxf>
      <numFmt numFmtId="170" formatCode="0.000"/>
    </dxf>
    <dxf>
      <numFmt numFmtId="0" formatCode="General"/>
    </dxf>
    <dxf>
      <numFmt numFmtId="0" formatCode="General"/>
    </dxf>
    <dxf>
      <numFmt numFmtId="170" formatCode="0.000"/>
    </dxf>
    <dxf>
      <numFmt numFmtId="0" formatCode="General"/>
    </dxf>
    <dxf>
      <numFmt numFmtId="170" formatCode="0.000"/>
    </dxf>
    <dxf>
      <numFmt numFmtId="0" formatCode="General"/>
    </dxf>
    <dxf>
      <numFmt numFmtId="170" formatCode="0.000"/>
    </dxf>
    <dxf>
      <numFmt numFmtId="0" formatCode="General"/>
    </dxf>
    <dxf>
      <numFmt numFmtId="2" formatCode="0.00"/>
    </dxf>
    <dxf>
      <font>
        <color rgb="FFC00000"/>
      </font>
      <numFmt numFmtId="14" formatCode="0.00%"/>
      <fill>
        <patternFill>
          <bgColor theme="0" tint="-0.14996795556505021"/>
        </patternFill>
      </fill>
    </dxf>
    <dxf>
      <font>
        <b/>
        <i val="0"/>
        <color theme="0" tint="-0.14993743705557422"/>
      </font>
      <numFmt numFmtId="0" formatCode="General"/>
      <fill>
        <patternFill patternType="none">
          <bgColor auto="1"/>
        </patternFill>
      </fill>
    </dxf>
    <dxf>
      <numFmt numFmtId="0" formatCode="General"/>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font>
      <fill>
        <patternFill>
          <bgColor theme="0"/>
        </patternFill>
      </fill>
    </dxf>
    <dxf>
      <font>
        <b val="0"/>
        <i/>
      </font>
    </dxf>
    <dxf>
      <font>
        <color theme="0"/>
      </font>
    </dxf>
    <dxf>
      <numFmt numFmtId="2" formatCode="0.00"/>
    </dxf>
    <dxf>
      <numFmt numFmtId="168" formatCode="0.0"/>
    </dxf>
    <dxf>
      <numFmt numFmtId="2" formatCode="0.00"/>
    </dxf>
    <dxf>
      <numFmt numFmtId="168" formatCode="0.0"/>
    </dxf>
    <dxf>
      <numFmt numFmtId="2" formatCode="0.00"/>
    </dxf>
    <dxf>
      <numFmt numFmtId="168" formatCode="0.0"/>
    </dxf>
    <dxf>
      <numFmt numFmtId="2" formatCode="0.00"/>
    </dxf>
    <dxf>
      <numFmt numFmtId="168" formatCode="0.0"/>
    </dxf>
    <dxf>
      <numFmt numFmtId="2" formatCode="0.00"/>
    </dxf>
    <dxf>
      <numFmt numFmtId="168" formatCode="0.0"/>
    </dxf>
    <dxf>
      <numFmt numFmtId="2" formatCode="0.00"/>
    </dxf>
    <dxf>
      <numFmt numFmtId="168" formatCode="0.0"/>
    </dxf>
    <dxf>
      <numFmt numFmtId="2" formatCode="0.00"/>
    </dxf>
    <dxf>
      <numFmt numFmtId="168" formatCode="0.0"/>
    </dxf>
    <dxf>
      <numFmt numFmtId="2" formatCode="0.00"/>
    </dxf>
    <dxf>
      <numFmt numFmtId="168" formatCode="0.0"/>
    </dxf>
    <dxf>
      <numFmt numFmtId="2" formatCode="0.00"/>
    </dxf>
    <dxf>
      <numFmt numFmtId="168" formatCode="0.0"/>
    </dxf>
    <dxf>
      <font>
        <b val="0"/>
        <i/>
      </font>
    </dxf>
    <dxf>
      <font>
        <b val="0"/>
        <i/>
      </font>
    </dxf>
    <dxf>
      <font>
        <color theme="0"/>
      </font>
      <fill>
        <patternFill>
          <bgColor theme="0"/>
        </patternFill>
      </fill>
    </dxf>
    <dxf>
      <font>
        <color theme="0"/>
      </font>
      <fill>
        <patternFill>
          <bgColor theme="0"/>
        </patternFill>
      </fill>
    </dxf>
    <dxf>
      <font>
        <color theme="0"/>
      </font>
      <fill>
        <patternFill>
          <bgColor theme="0"/>
        </patternFill>
      </fill>
    </dxf>
    <dxf>
      <font>
        <b val="0"/>
        <i/>
      </font>
    </dxf>
    <dxf>
      <font>
        <color theme="0"/>
      </font>
    </dxf>
    <dxf>
      <font>
        <color theme="0"/>
      </font>
    </dxf>
    <dxf>
      <font>
        <color theme="0"/>
      </font>
    </dxf>
    <dxf>
      <numFmt numFmtId="168" formatCode="0.0"/>
    </dxf>
    <dxf>
      <numFmt numFmtId="2" formatCode="0.00"/>
    </dxf>
    <dxf>
      <numFmt numFmtId="168" formatCode="0.0"/>
    </dxf>
    <dxf>
      <numFmt numFmtId="2" formatCode="0.00"/>
    </dxf>
    <dxf>
      <numFmt numFmtId="168" formatCode="0.0"/>
    </dxf>
    <dxf>
      <numFmt numFmtId="2" formatCode="0.00"/>
    </dxf>
    <dxf>
      <numFmt numFmtId="168" formatCode="0.0"/>
    </dxf>
    <dxf>
      <numFmt numFmtId="2" formatCode="0.00"/>
    </dxf>
    <dxf>
      <numFmt numFmtId="168" formatCode="0.0"/>
    </dxf>
    <dxf>
      <numFmt numFmtId="2" formatCode="0.00"/>
    </dxf>
    <dxf>
      <numFmt numFmtId="168" formatCode="0.0"/>
    </dxf>
    <dxf>
      <numFmt numFmtId="2" formatCode="0.00"/>
    </dxf>
    <dxf>
      <font>
        <color theme="0"/>
      </font>
      <fill>
        <patternFill>
          <bgColor theme="0"/>
        </patternFill>
      </fill>
    </dxf>
    <dxf>
      <numFmt numFmtId="168" formatCode="0.0"/>
    </dxf>
    <dxf>
      <numFmt numFmtId="2" formatCode="0.00"/>
    </dxf>
    <dxf>
      <numFmt numFmtId="2" formatCode="0.00"/>
    </dxf>
    <dxf>
      <numFmt numFmtId="168" formatCode="0.0"/>
    </dxf>
    <dxf>
      <numFmt numFmtId="2" formatCode="0.00"/>
    </dxf>
    <dxf>
      <numFmt numFmtId="168" formatCode="0.0"/>
    </dxf>
    <dxf>
      <font>
        <b val="0"/>
        <i/>
      </font>
    </dxf>
    <dxf>
      <font>
        <b val="0"/>
        <i/>
      </font>
    </dxf>
    <dxf>
      <font>
        <b val="0"/>
        <i/>
      </font>
      <border>
        <left/>
        <right/>
        <top/>
        <bottom/>
      </border>
    </dxf>
    <dxf>
      <font>
        <color theme="0" tint="-0.14996795556505021"/>
      </font>
      <fill>
        <patternFill>
          <bgColor theme="0" tint="-0.14996795556505021"/>
        </patternFill>
      </fill>
    </dxf>
    <dxf>
      <numFmt numFmtId="168" formatCode="0.0"/>
    </dxf>
    <dxf>
      <numFmt numFmtId="2" formatCode="0.00"/>
    </dxf>
    <dxf>
      <font>
        <color theme="0"/>
      </font>
      <numFmt numFmtId="169" formatCode=";;;"/>
      <fill>
        <patternFill patternType="none">
          <bgColor auto="1"/>
        </patternFill>
      </fill>
      <border>
        <left/>
        <right/>
        <top/>
        <bottom/>
        <vertical/>
        <horizontal/>
      </border>
    </dxf>
    <dxf>
      <numFmt numFmtId="0" formatCode="General"/>
    </dxf>
    <dxf>
      <alignment horizontal="left" vertical="bottom" textRotation="0" wrapText="0" indent="0" justifyLastLine="0" shrinkToFit="0" readingOrder="0"/>
    </dxf>
    <dxf>
      <numFmt numFmtId="0" formatCode="General"/>
      <alignment horizontal="center" vertical="bottom" textRotation="0" wrapText="0" indent="0" justifyLastLine="0" shrinkToFit="0" readingOrder="0"/>
    </dxf>
    <dxf>
      <alignment horizontal="center" vertical="bottom" textRotation="0" wrapText="0" indent="0" justifyLastLine="0" shrinkToFit="0" readingOrder="0"/>
    </dxf>
    <dxf>
      <font>
        <strike val="0"/>
        <outline val="0"/>
        <shadow val="0"/>
        <u val="none"/>
        <vertAlign val="baseline"/>
        <sz val="9"/>
        <color theme="1"/>
        <name val="Arial"/>
        <family val="2"/>
        <scheme val="none"/>
      </font>
      <numFmt numFmtId="2" formatCode="0.00"/>
      <alignment vertical="center" textRotation="0" indent="0" justifyLastLine="0" shrinkToFit="0" readingOrder="0"/>
    </dxf>
    <dxf>
      <font>
        <strike val="0"/>
        <outline val="0"/>
        <shadow val="0"/>
        <u val="none"/>
        <vertAlign val="baseline"/>
        <sz val="9"/>
        <color theme="1"/>
        <name val="Arial"/>
        <family val="2"/>
        <scheme val="none"/>
      </font>
      <numFmt numFmtId="2" formatCode="0.00"/>
      <alignment vertical="center" textRotation="0" indent="0" justifyLastLine="0" shrinkToFit="0" readingOrder="0"/>
    </dxf>
    <dxf>
      <font>
        <strike val="0"/>
        <outline val="0"/>
        <shadow val="0"/>
        <u val="none"/>
        <vertAlign val="baseline"/>
        <sz val="9"/>
        <color theme="1"/>
        <name val="Arial"/>
        <family val="2"/>
        <scheme val="none"/>
      </font>
      <numFmt numFmtId="2" formatCode="0.00"/>
      <alignment vertical="center" textRotation="0" indent="0" justifyLastLine="0" shrinkToFit="0" readingOrder="0"/>
    </dxf>
    <dxf>
      <font>
        <strike val="0"/>
        <outline val="0"/>
        <shadow val="0"/>
        <u val="none"/>
        <vertAlign val="baseline"/>
        <sz val="9"/>
        <color theme="1"/>
        <name val="Arial"/>
        <family val="2"/>
        <scheme val="none"/>
      </font>
      <numFmt numFmtId="2" formatCode="0.00"/>
      <alignment vertical="center" textRotation="0" indent="0" justifyLastLine="0" shrinkToFit="0" readingOrder="0"/>
    </dxf>
    <dxf>
      <font>
        <strike val="0"/>
        <outline val="0"/>
        <shadow val="0"/>
        <u val="none"/>
        <vertAlign val="baseline"/>
        <sz val="9"/>
        <color theme="1"/>
        <name val="Arial"/>
        <family val="2"/>
        <scheme val="none"/>
      </font>
      <numFmt numFmtId="2" formatCode="0.00"/>
      <alignment vertical="center" textRotation="0" indent="0" justifyLastLine="0" shrinkToFit="0" readingOrder="0"/>
    </dxf>
    <dxf>
      <font>
        <strike val="0"/>
        <outline val="0"/>
        <shadow val="0"/>
        <u val="none"/>
        <vertAlign val="baseline"/>
        <sz val="9"/>
        <color theme="1"/>
        <name val="Arial"/>
        <family val="2"/>
        <scheme val="none"/>
      </font>
      <numFmt numFmtId="2" formatCode="0.00"/>
      <alignment vertical="center" textRotation="0" indent="0" justifyLastLine="0" shrinkToFit="0" readingOrder="0"/>
    </dxf>
    <dxf>
      <font>
        <strike val="0"/>
        <outline val="0"/>
        <shadow val="0"/>
        <u val="none"/>
        <vertAlign val="baseline"/>
        <sz val="9"/>
        <color theme="1"/>
        <name val="Arial"/>
        <family val="2"/>
        <scheme val="none"/>
      </font>
      <numFmt numFmtId="2" formatCode="0.00"/>
      <alignment vertical="center" textRotation="0" indent="0" justifyLastLine="0" shrinkToFit="0" readingOrder="0"/>
    </dxf>
    <dxf>
      <font>
        <strike val="0"/>
        <outline val="0"/>
        <shadow val="0"/>
        <u val="none"/>
        <vertAlign val="baseline"/>
        <sz val="9"/>
        <color theme="1"/>
        <name val="Arial"/>
        <family val="2"/>
        <scheme val="none"/>
      </font>
      <numFmt numFmtId="2" formatCode="0.00"/>
      <alignment vertical="center" textRotation="0" indent="0" justifyLastLine="0" shrinkToFit="0" readingOrder="0"/>
    </dxf>
    <dxf>
      <font>
        <strike val="0"/>
        <outline val="0"/>
        <shadow val="0"/>
        <u val="none"/>
        <vertAlign val="baseline"/>
        <sz val="9"/>
        <color theme="1"/>
        <name val="Arial"/>
        <family val="2"/>
        <scheme val="none"/>
      </font>
      <numFmt numFmtId="2" formatCode="0.00"/>
      <alignment vertical="center" textRotation="0" indent="0" justifyLastLine="0" shrinkToFit="0" readingOrder="0"/>
    </dxf>
    <dxf>
      <font>
        <strike val="0"/>
        <outline val="0"/>
        <shadow val="0"/>
        <u val="none"/>
        <vertAlign val="baseline"/>
        <sz val="9"/>
        <color theme="1"/>
        <name val="Arial"/>
        <family val="2"/>
        <scheme val="none"/>
      </font>
      <numFmt numFmtId="2" formatCode="0.00"/>
      <alignment vertical="center" textRotation="0" indent="0" justifyLastLine="0" shrinkToFit="0" readingOrder="0"/>
    </dxf>
    <dxf>
      <font>
        <strike val="0"/>
        <outline val="0"/>
        <shadow val="0"/>
        <u val="none"/>
        <vertAlign val="baseline"/>
        <sz val="9"/>
        <color theme="1"/>
        <name val="Arial"/>
        <family val="2"/>
        <scheme val="none"/>
      </font>
      <numFmt numFmtId="2" formatCode="0.00"/>
      <alignment vertical="center" textRotation="0" indent="0" justifyLastLine="0" shrinkToFit="0" readingOrder="0"/>
    </dxf>
    <dxf>
      <font>
        <strike val="0"/>
        <outline val="0"/>
        <shadow val="0"/>
        <u val="none"/>
        <vertAlign val="baseline"/>
        <sz val="9"/>
        <color theme="1"/>
        <name val="Arial"/>
        <family val="2"/>
        <scheme val="none"/>
      </font>
      <numFmt numFmtId="2" formatCode="0.00"/>
      <alignment vertical="center" textRotation="0" indent="0" justifyLastLine="0" shrinkToFit="0" readingOrder="0"/>
    </dxf>
    <dxf>
      <font>
        <strike val="0"/>
        <outline val="0"/>
        <shadow val="0"/>
        <u val="none"/>
        <vertAlign val="baseline"/>
        <sz val="9"/>
        <color theme="1"/>
        <name val="Arial"/>
        <family val="2"/>
        <scheme val="none"/>
      </font>
      <numFmt numFmtId="2" formatCode="0.00"/>
      <alignment vertical="center" textRotation="0" indent="0" justifyLastLine="0" shrinkToFit="0" readingOrder="0"/>
    </dxf>
    <dxf>
      <font>
        <strike val="0"/>
        <outline val="0"/>
        <shadow val="0"/>
        <u val="none"/>
        <vertAlign val="baseline"/>
        <sz val="9"/>
        <color theme="1"/>
        <name val="Arial"/>
        <family val="2"/>
        <scheme val="none"/>
      </font>
      <numFmt numFmtId="2" formatCode="0.00"/>
      <alignment vertical="center" textRotation="0" indent="0" justifyLastLine="0" shrinkToFit="0" readingOrder="0"/>
    </dxf>
    <dxf>
      <font>
        <strike val="0"/>
        <outline val="0"/>
        <shadow val="0"/>
        <u val="none"/>
        <vertAlign val="baseline"/>
        <sz val="9"/>
        <color theme="1"/>
        <name val="Arial"/>
        <family val="2"/>
        <scheme val="none"/>
      </font>
      <numFmt numFmtId="2" formatCode="0.00"/>
      <alignment vertical="center" textRotation="0" indent="0" justifyLastLine="0" shrinkToFit="0" readingOrder="0"/>
    </dxf>
    <dxf>
      <font>
        <strike val="0"/>
        <outline val="0"/>
        <shadow val="0"/>
        <u val="none"/>
        <vertAlign val="baseline"/>
        <sz val="9"/>
        <color theme="1"/>
        <name val="Arial"/>
        <family val="2"/>
        <scheme val="none"/>
      </font>
      <numFmt numFmtId="2" formatCode="0.00"/>
      <alignment vertical="center" textRotation="0" indent="0" justifyLastLine="0" shrinkToFit="0" readingOrder="0"/>
    </dxf>
    <dxf>
      <font>
        <strike val="0"/>
        <outline val="0"/>
        <shadow val="0"/>
        <u val="none"/>
        <vertAlign val="baseline"/>
        <sz val="9"/>
        <color theme="1"/>
        <name val="Arial"/>
        <family val="2"/>
        <scheme val="none"/>
      </font>
      <numFmt numFmtId="2" formatCode="0.00"/>
      <alignment vertical="center" textRotation="0" indent="0" justifyLastLine="0" shrinkToFit="0" readingOrder="0"/>
    </dxf>
    <dxf>
      <font>
        <strike val="0"/>
        <outline val="0"/>
        <shadow val="0"/>
        <u val="none"/>
        <vertAlign val="baseline"/>
        <sz val="9"/>
        <color theme="1"/>
        <name val="Arial"/>
        <family val="2"/>
        <scheme val="none"/>
      </font>
      <numFmt numFmtId="2" formatCode="0.00"/>
      <alignment vertical="center" textRotation="0" indent="0" justifyLastLine="0" shrinkToFit="0" readingOrder="0"/>
    </dxf>
    <dxf>
      <font>
        <strike val="0"/>
        <outline val="0"/>
        <shadow val="0"/>
        <u val="none"/>
        <vertAlign val="baseline"/>
        <sz val="9"/>
        <color theme="1"/>
        <name val="Arial"/>
        <family val="2"/>
        <scheme val="none"/>
      </font>
      <numFmt numFmtId="2" formatCode="0.00"/>
      <alignment vertical="center" textRotation="0" indent="0" justifyLastLine="0" shrinkToFit="0" readingOrder="0"/>
    </dxf>
    <dxf>
      <font>
        <strike val="0"/>
        <outline val="0"/>
        <shadow val="0"/>
        <u val="none"/>
        <vertAlign val="baseline"/>
        <sz val="9"/>
        <color theme="1"/>
        <name val="Arial"/>
        <family val="2"/>
        <scheme val="none"/>
      </font>
      <numFmt numFmtId="2" formatCode="0.00"/>
      <alignment vertical="center" textRotation="0" indent="0" justifyLastLine="0" shrinkToFit="0" readingOrder="0"/>
    </dxf>
    <dxf>
      <font>
        <strike val="0"/>
        <outline val="0"/>
        <shadow val="0"/>
        <u val="none"/>
        <vertAlign val="baseline"/>
        <sz val="9"/>
        <color theme="1"/>
        <name val="Arial"/>
        <family val="2"/>
        <scheme val="none"/>
      </font>
      <numFmt numFmtId="2" formatCode="0.00"/>
      <alignment vertical="center" textRotation="0" indent="0" justifyLastLine="0" shrinkToFit="0" readingOrder="0"/>
    </dxf>
    <dxf>
      <font>
        <strike val="0"/>
        <outline val="0"/>
        <shadow val="0"/>
        <u val="none"/>
        <vertAlign val="baseline"/>
        <sz val="9"/>
        <color theme="1"/>
        <name val="Arial"/>
        <family val="2"/>
        <scheme val="none"/>
      </font>
      <numFmt numFmtId="2" formatCode="0.00"/>
      <alignment vertical="center" textRotation="0" indent="0" justifyLastLine="0" shrinkToFit="0" readingOrder="0"/>
    </dxf>
    <dxf>
      <font>
        <strike val="0"/>
        <outline val="0"/>
        <shadow val="0"/>
        <u val="none"/>
        <vertAlign val="baseline"/>
        <sz val="9"/>
        <color theme="1"/>
        <name val="Arial"/>
        <family val="2"/>
        <scheme val="none"/>
      </font>
      <numFmt numFmtId="2" formatCode="0.00"/>
      <alignment vertical="center" textRotation="0" indent="0" justifyLastLine="0" shrinkToFit="0" readingOrder="0"/>
    </dxf>
    <dxf>
      <font>
        <strike val="0"/>
        <outline val="0"/>
        <shadow val="0"/>
        <u val="none"/>
        <vertAlign val="baseline"/>
        <sz val="9"/>
        <color theme="1"/>
        <name val="Arial"/>
        <family val="2"/>
        <scheme val="none"/>
      </font>
      <numFmt numFmtId="2" formatCode="0.00"/>
      <alignment vertical="center" textRotation="0" indent="0" justifyLastLine="0" shrinkToFit="0" readingOrder="0"/>
    </dxf>
    <dxf>
      <font>
        <strike val="0"/>
        <outline val="0"/>
        <shadow val="0"/>
        <u val="none"/>
        <vertAlign val="baseline"/>
        <sz val="9"/>
        <color theme="1"/>
        <name val="Arial"/>
        <family val="2"/>
        <scheme val="none"/>
      </font>
      <numFmt numFmtId="2" formatCode="0.00"/>
      <alignment vertical="center" textRotation="0" indent="0" justifyLastLine="0" shrinkToFit="0" readingOrder="0"/>
    </dxf>
    <dxf>
      <font>
        <strike val="0"/>
        <outline val="0"/>
        <shadow val="0"/>
        <u val="none"/>
        <vertAlign val="baseline"/>
        <sz val="9"/>
        <color theme="1"/>
        <name val="Arial"/>
        <family val="2"/>
        <scheme val="none"/>
      </font>
      <numFmt numFmtId="2" formatCode="0.00"/>
      <alignment vertical="center" textRotation="0" indent="0" justifyLastLine="0" shrinkToFit="0" readingOrder="0"/>
    </dxf>
    <dxf>
      <font>
        <strike val="0"/>
        <outline val="0"/>
        <shadow val="0"/>
        <u val="none"/>
        <vertAlign val="baseline"/>
        <sz val="9"/>
        <color theme="1"/>
        <name val="Arial"/>
        <family val="2"/>
        <scheme val="none"/>
      </font>
      <numFmt numFmtId="2" formatCode="0.00"/>
      <alignment vertical="center" textRotation="0" indent="0" justifyLastLine="0" shrinkToFit="0" readingOrder="0"/>
    </dxf>
    <dxf>
      <font>
        <strike val="0"/>
        <outline val="0"/>
        <shadow val="0"/>
        <u val="none"/>
        <vertAlign val="baseline"/>
        <sz val="9"/>
        <color theme="1"/>
        <name val="Arial"/>
        <family val="2"/>
        <scheme val="none"/>
      </font>
      <numFmt numFmtId="2" formatCode="0.00"/>
      <alignment vertical="center" textRotation="0" indent="0" justifyLastLine="0" shrinkToFit="0" readingOrder="0"/>
    </dxf>
    <dxf>
      <font>
        <strike val="0"/>
        <outline val="0"/>
        <shadow val="0"/>
        <u val="none"/>
        <vertAlign val="baseline"/>
        <sz val="9"/>
        <color theme="1"/>
        <name val="Arial"/>
        <family val="2"/>
        <scheme val="none"/>
      </font>
      <numFmt numFmtId="2" formatCode="0.00"/>
      <alignment vertical="center" textRotation="0" indent="0" justifyLastLine="0" shrinkToFit="0" readingOrder="0"/>
    </dxf>
    <dxf>
      <font>
        <strike val="0"/>
        <outline val="0"/>
        <shadow val="0"/>
        <u val="none"/>
        <vertAlign val="baseline"/>
        <sz val="9"/>
        <color theme="1"/>
        <name val="Arial"/>
        <family val="2"/>
        <scheme val="none"/>
      </font>
      <numFmt numFmtId="2" formatCode="0.00"/>
      <alignment vertical="center" textRotation="0" indent="0" justifyLastLine="0" shrinkToFit="0" readingOrder="0"/>
    </dxf>
    <dxf>
      <font>
        <strike val="0"/>
        <outline val="0"/>
        <shadow val="0"/>
        <u val="none"/>
        <vertAlign val="baseline"/>
        <sz val="9"/>
        <color theme="1"/>
        <name val="Arial"/>
        <family val="2"/>
        <scheme val="none"/>
      </font>
      <numFmt numFmtId="2" formatCode="0.00"/>
      <alignment vertical="center" textRotation="0" indent="0" justifyLastLine="0" shrinkToFit="0" readingOrder="0"/>
    </dxf>
    <dxf>
      <font>
        <strike val="0"/>
        <outline val="0"/>
        <shadow val="0"/>
        <u val="none"/>
        <vertAlign val="baseline"/>
        <sz val="9"/>
        <color theme="1"/>
        <name val="Arial"/>
        <family val="2"/>
        <scheme val="none"/>
      </font>
      <numFmt numFmtId="2" formatCode="0.00"/>
      <alignment vertical="center" textRotation="0" indent="0" justifyLastLine="0" shrinkToFit="0" readingOrder="0"/>
    </dxf>
    <dxf>
      <font>
        <strike val="0"/>
        <outline val="0"/>
        <shadow val="0"/>
        <u val="none"/>
        <vertAlign val="baseline"/>
        <sz val="9"/>
        <color theme="1"/>
        <name val="Arial"/>
        <family val="2"/>
        <scheme val="none"/>
      </font>
      <numFmt numFmtId="2" formatCode="0.00"/>
      <alignment vertical="center" textRotation="0" indent="0" justifyLastLine="0" shrinkToFit="0" readingOrder="0"/>
    </dxf>
    <dxf>
      <font>
        <strike val="0"/>
        <outline val="0"/>
        <shadow val="0"/>
        <u val="none"/>
        <vertAlign val="baseline"/>
        <sz val="9"/>
        <color theme="1"/>
        <name val="Arial"/>
        <family val="2"/>
        <scheme val="none"/>
      </font>
      <numFmt numFmtId="2" formatCode="0.00"/>
      <alignment vertical="center" textRotation="0" indent="0" justifyLastLine="0" shrinkToFit="0" readingOrder="0"/>
    </dxf>
    <dxf>
      <font>
        <strike val="0"/>
        <outline val="0"/>
        <shadow val="0"/>
        <u val="none"/>
        <vertAlign val="baseline"/>
        <sz val="9"/>
        <color theme="1"/>
        <name val="Arial"/>
        <family val="2"/>
        <scheme val="none"/>
      </font>
      <numFmt numFmtId="2" formatCode="0.00"/>
      <alignment vertical="center" textRotation="0" indent="0" justifyLastLine="0" shrinkToFit="0" readingOrder="0"/>
    </dxf>
    <dxf>
      <font>
        <strike val="0"/>
        <outline val="0"/>
        <shadow val="0"/>
        <u val="none"/>
        <vertAlign val="baseline"/>
        <sz val="9"/>
        <color theme="1"/>
        <name val="Arial"/>
        <family val="2"/>
        <scheme val="none"/>
      </font>
      <numFmt numFmtId="2" formatCode="0.00"/>
      <alignment vertical="center" textRotation="0" indent="0" justifyLastLine="0" shrinkToFit="0" readingOrder="0"/>
    </dxf>
    <dxf>
      <font>
        <strike val="0"/>
        <outline val="0"/>
        <shadow val="0"/>
        <u val="none"/>
        <vertAlign val="baseline"/>
        <sz val="9"/>
        <color theme="1"/>
        <name val="Arial"/>
        <family val="2"/>
        <scheme val="none"/>
      </font>
      <numFmt numFmtId="2" formatCode="0.00"/>
      <alignment vertical="center" textRotation="0" indent="0" justifyLastLine="0" shrinkToFit="0" readingOrder="0"/>
    </dxf>
    <dxf>
      <font>
        <strike val="0"/>
        <outline val="0"/>
        <shadow val="0"/>
        <u val="none"/>
        <vertAlign val="baseline"/>
        <sz val="9"/>
        <color theme="1"/>
        <name val="Arial"/>
        <family val="2"/>
        <scheme val="none"/>
      </font>
      <numFmt numFmtId="2" formatCode="0.00"/>
      <alignment vertical="center" textRotation="0" indent="0" justifyLastLine="0" shrinkToFit="0" readingOrder="0"/>
    </dxf>
    <dxf>
      <font>
        <strike val="0"/>
        <outline val="0"/>
        <shadow val="0"/>
        <u val="none"/>
        <vertAlign val="baseline"/>
        <sz val="9"/>
        <color theme="1"/>
        <name val="Arial"/>
        <family val="2"/>
        <scheme val="none"/>
      </font>
      <numFmt numFmtId="2" formatCode="0.00"/>
      <alignment vertical="center" textRotation="0" indent="0" justifyLastLine="0" shrinkToFit="0" readingOrder="0"/>
    </dxf>
    <dxf>
      <font>
        <strike val="0"/>
        <outline val="0"/>
        <shadow val="0"/>
        <u val="none"/>
        <vertAlign val="baseline"/>
        <sz val="9"/>
        <color theme="1"/>
        <name val="Arial"/>
        <family val="2"/>
        <scheme val="none"/>
      </font>
      <alignment vertical="center" textRotation="0" indent="0" justifyLastLine="0" shrinkToFit="0" readingOrder="0"/>
    </dxf>
    <dxf>
      <font>
        <strike val="0"/>
        <outline val="0"/>
        <shadow val="0"/>
        <u val="none"/>
        <vertAlign val="baseline"/>
        <sz val="9"/>
        <color theme="1"/>
        <name val="Arial"/>
        <family val="2"/>
        <scheme val="none"/>
      </font>
      <alignment vertical="center" textRotation="0" indent="0" justifyLastLine="0" shrinkToFit="0" readingOrder="0"/>
    </dxf>
    <dxf>
      <font>
        <strike val="0"/>
        <outline val="0"/>
        <shadow val="0"/>
        <u val="none"/>
        <vertAlign val="baseline"/>
        <sz val="9"/>
        <color theme="1"/>
        <name val="Arial"/>
        <family val="2"/>
        <scheme val="none"/>
      </font>
      <alignment vertical="center" textRotation="0" indent="0" justifyLastLine="0" shrinkToFit="0" readingOrder="0"/>
    </dxf>
    <dxf>
      <font>
        <strike val="0"/>
        <outline val="0"/>
        <shadow val="0"/>
        <u val="none"/>
        <vertAlign val="baseline"/>
        <sz val="9"/>
        <color theme="1"/>
        <name val="Arial"/>
        <family val="2"/>
        <scheme val="none"/>
      </font>
      <alignment vertical="center" textRotation="0" indent="0" justifyLastLine="0" shrinkToFit="0" readingOrder="0"/>
    </dxf>
    <dxf>
      <font>
        <strike val="0"/>
        <outline val="0"/>
        <shadow val="0"/>
        <u val="none"/>
        <vertAlign val="baseline"/>
        <sz val="9"/>
        <color theme="1"/>
        <name val="Arial"/>
        <family val="2"/>
        <scheme val="none"/>
      </font>
      <alignment vertical="center" textRotation="0" indent="0" justifyLastLine="0" shrinkToFit="0" readingOrder="0"/>
    </dxf>
    <dxf>
      <font>
        <strike val="0"/>
        <outline val="0"/>
        <shadow val="0"/>
        <u val="none"/>
        <vertAlign val="baseline"/>
        <sz val="9"/>
        <color theme="1"/>
        <name val="Arial"/>
        <family val="2"/>
        <scheme val="none"/>
      </font>
      <alignment vertical="center" textRotation="0" indent="0" justifyLastLine="0" shrinkToFit="0" readingOrder="0"/>
    </dxf>
    <dxf>
      <font>
        <strike val="0"/>
        <outline val="0"/>
        <shadow val="0"/>
        <u val="none"/>
        <vertAlign val="baseline"/>
        <sz val="9"/>
        <color theme="1"/>
        <name val="Arial"/>
        <family val="2"/>
        <scheme val="none"/>
      </font>
      <alignment vertical="center" textRotation="0" indent="0" justifyLastLine="0" shrinkToFit="0" readingOrder="0"/>
    </dxf>
    <dxf>
      <font>
        <strike val="0"/>
        <outline val="0"/>
        <shadow val="0"/>
        <u val="none"/>
        <vertAlign val="baseline"/>
        <sz val="9"/>
        <color theme="1"/>
        <name val="Arial"/>
        <family val="2"/>
        <scheme val="none"/>
      </font>
      <alignment vertical="center" textRotation="0" indent="0" justifyLastLine="0" shrinkToFit="0" readingOrder="0"/>
    </dxf>
    <dxf>
      <font>
        <strike val="0"/>
        <outline val="0"/>
        <shadow val="0"/>
        <u val="none"/>
        <vertAlign val="baseline"/>
        <sz val="9"/>
        <color theme="1"/>
        <name val="Arial"/>
        <family val="2"/>
        <scheme val="none"/>
      </font>
      <alignment vertical="center" textRotation="0" indent="0" justifyLastLine="0" shrinkToFit="0" readingOrder="0"/>
    </dxf>
    <dxf>
      <font>
        <strike val="0"/>
        <outline val="0"/>
        <shadow val="0"/>
        <u val="none"/>
        <vertAlign val="baseline"/>
        <sz val="9"/>
        <color theme="1"/>
        <name val="Arial"/>
        <family val="2"/>
        <scheme val="none"/>
      </font>
      <alignment vertical="center" textRotation="0" indent="0" justifyLastLine="0" shrinkToFit="0" readingOrder="0"/>
    </dxf>
    <dxf>
      <font>
        <strike val="0"/>
        <outline val="0"/>
        <shadow val="0"/>
        <u val="none"/>
        <vertAlign val="baseline"/>
        <sz val="9"/>
        <color theme="1"/>
        <name val="Arial"/>
        <family val="2"/>
        <scheme val="none"/>
      </font>
      <alignment vertical="center" textRotation="0" indent="0" justifyLastLine="0" shrinkToFit="0" readingOrder="0"/>
    </dxf>
    <dxf>
      <font>
        <strike val="0"/>
        <outline val="0"/>
        <shadow val="0"/>
        <u val="none"/>
        <vertAlign val="baseline"/>
        <sz val="9"/>
        <color theme="1"/>
        <name val="Arial"/>
        <family val="2"/>
        <scheme val="none"/>
      </font>
      <alignment vertical="center" textRotation="0" indent="0" justifyLastLine="0" shrinkToFit="0" readingOrder="0"/>
    </dxf>
    <dxf>
      <font>
        <strike val="0"/>
        <outline val="0"/>
        <shadow val="0"/>
        <u val="none"/>
        <vertAlign val="baseline"/>
        <sz val="9"/>
        <color theme="1"/>
        <name val="Arial"/>
        <family val="2"/>
        <scheme val="none"/>
      </font>
      <alignment horizontal="center" vertical="center" textRotation="0" wrapText="0" indent="0" justifyLastLine="0" shrinkToFit="0" readingOrder="0"/>
    </dxf>
    <dxf>
      <font>
        <strike val="0"/>
        <outline val="0"/>
        <shadow val="0"/>
        <u val="none"/>
        <vertAlign val="baseline"/>
        <sz val="9"/>
        <color theme="1"/>
        <name val="Arial"/>
        <family val="2"/>
        <scheme val="none"/>
      </font>
      <alignment horizontal="center" vertical="center" textRotation="0" indent="0" justifyLastLine="0" shrinkToFit="0" readingOrder="0"/>
    </dxf>
    <dxf>
      <font>
        <strike val="0"/>
        <outline val="0"/>
        <shadow val="0"/>
        <u val="none"/>
        <vertAlign val="baseline"/>
        <sz val="9"/>
        <color theme="1"/>
        <name val="Arial"/>
        <family val="2"/>
        <scheme val="none"/>
      </font>
      <alignment horizontal="center" vertical="center" textRotation="0" indent="0" justifyLastLine="0" shrinkToFit="0" readingOrder="0"/>
    </dxf>
    <dxf>
      <font>
        <strike val="0"/>
        <outline val="0"/>
        <shadow val="0"/>
        <u val="none"/>
        <vertAlign val="baseline"/>
        <sz val="9"/>
        <color theme="1"/>
        <name val="Arial"/>
        <family val="2"/>
        <scheme val="none"/>
      </font>
      <alignment horizontal="center" vertical="center" textRotation="0" indent="0" justifyLastLine="0" shrinkToFit="0" readingOrder="0"/>
    </dxf>
    <dxf>
      <font>
        <strike val="0"/>
        <outline val="0"/>
        <shadow val="0"/>
        <u val="none"/>
        <vertAlign val="baseline"/>
        <sz val="9"/>
        <color theme="1"/>
        <name val="Arial"/>
        <family val="2"/>
        <scheme val="none"/>
      </font>
      <alignment vertical="center" textRotation="0" indent="0" justifyLastLine="0" shrinkToFit="0" readingOrder="0"/>
    </dxf>
    <dxf>
      <font>
        <strike val="0"/>
        <outline val="0"/>
        <shadow val="0"/>
        <u val="none"/>
        <vertAlign val="baseline"/>
        <sz val="9"/>
        <color theme="1"/>
        <name val="Arial"/>
        <family val="2"/>
        <scheme val="none"/>
      </font>
      <alignment horizontal="left" vertical="center" textRotation="0" wrapText="0" indent="0" justifyLastLine="0" shrinkToFit="0" readingOrder="0"/>
    </dxf>
    <dxf>
      <font>
        <strike val="0"/>
        <outline val="0"/>
        <shadow val="0"/>
        <u val="none"/>
        <vertAlign val="baseline"/>
        <sz val="9"/>
        <color theme="1"/>
        <name val="Arial"/>
        <family val="2"/>
        <scheme val="none"/>
      </font>
      <alignment horizontal="center" vertical="center" textRotation="0" wrapText="0" indent="0" justifyLastLine="0" shrinkToFit="0" readingOrder="0"/>
    </dxf>
    <dxf>
      <font>
        <strike val="0"/>
        <outline val="0"/>
        <shadow val="0"/>
        <u val="none"/>
        <vertAlign val="baseline"/>
        <sz val="9"/>
        <color theme="1"/>
        <name val="Arial"/>
        <family val="2"/>
        <scheme val="none"/>
      </font>
      <alignment vertical="center" textRotation="0" indent="0" justifyLastLine="0" shrinkToFit="0" readingOrder="0"/>
    </dxf>
    <dxf>
      <font>
        <strike val="0"/>
        <outline val="0"/>
        <shadow val="0"/>
        <u val="none"/>
        <vertAlign val="baseline"/>
        <sz val="9"/>
        <color theme="1"/>
        <name val="Arial"/>
        <family val="2"/>
        <scheme val="none"/>
      </font>
      <alignment vertical="center" textRotation="0" indent="0" justifyLastLine="0" shrinkToFit="0" readingOrder="0"/>
    </dxf>
  </dxfs>
  <tableStyles count="0" defaultTableStyle="TableStyleMedium2" defaultPivotStyle="PivotStyleLight16"/>
  <colors>
    <mruColors>
      <color rgb="FF00546E"/>
      <color rgb="FFF7D379"/>
      <color rgb="FFF6B540"/>
      <color rgb="FFF5A81C"/>
      <color rgb="FFF7D315"/>
      <color rgb="FF000000"/>
      <color rgb="FF00759A"/>
      <color rgb="FFEAEAEA"/>
      <color rgb="FFC9F2FF"/>
      <color rgb="FF00A3D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harts/_rels/chart1.xml.rels><?xml version="1.0" encoding="UTF-8" standalone="yes"?>
<Relationships xmlns="http://schemas.openxmlformats.org/package/2006/relationships"><Relationship Id="rId3" Type="http://schemas.openxmlformats.org/officeDocument/2006/relationships/chartUserShapes" Target="../drawings/drawing4.xml"/><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3" Type="http://schemas.openxmlformats.org/officeDocument/2006/relationships/chartUserShapes" Target="../drawings/drawing14.xml"/><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3" Type="http://schemas.openxmlformats.org/officeDocument/2006/relationships/chartUserShapes" Target="../drawings/drawing19.xml"/><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3" Type="http://schemas.openxmlformats.org/officeDocument/2006/relationships/themeOverride" Target="../theme/themeOverride2.xml"/><Relationship Id="rId2" Type="http://schemas.microsoft.com/office/2011/relationships/chartColorStyle" Target="colors16.xml"/><Relationship Id="rId1" Type="http://schemas.microsoft.com/office/2011/relationships/chartStyle" Target="style16.xml"/><Relationship Id="rId4" Type="http://schemas.openxmlformats.org/officeDocument/2006/relationships/chartUserShapes" Target="../drawings/drawing20.xml"/></Relationships>
</file>

<file path=xl/charts/_rels/chart17.xml.rels><?xml version="1.0" encoding="UTF-8" standalone="yes"?>
<Relationships xmlns="http://schemas.openxmlformats.org/package/2006/relationships"><Relationship Id="rId3" Type="http://schemas.openxmlformats.org/officeDocument/2006/relationships/chartUserShapes" Target="../drawings/drawing21.xml"/><Relationship Id="rId2" Type="http://schemas.microsoft.com/office/2011/relationships/chartColorStyle" Target="colors17.xml"/><Relationship Id="rId1" Type="http://schemas.microsoft.com/office/2011/relationships/chartStyle" Target="style17.xml"/></Relationships>
</file>

<file path=xl/charts/_rels/chart18.xml.rels><?xml version="1.0" encoding="UTF-8" standalone="yes"?>
<Relationships xmlns="http://schemas.openxmlformats.org/package/2006/relationships"><Relationship Id="rId3" Type="http://schemas.openxmlformats.org/officeDocument/2006/relationships/chartUserShapes" Target="../drawings/drawing22.xml"/><Relationship Id="rId2" Type="http://schemas.microsoft.com/office/2011/relationships/chartColorStyle" Target="colors18.xml"/><Relationship Id="rId1" Type="http://schemas.microsoft.com/office/2011/relationships/chartStyle" Target="style18.xml"/></Relationships>
</file>

<file path=xl/charts/_rels/chart19.xml.rels><?xml version="1.0" encoding="UTF-8" standalone="yes"?>
<Relationships xmlns="http://schemas.openxmlformats.org/package/2006/relationships"><Relationship Id="rId3" Type="http://schemas.openxmlformats.org/officeDocument/2006/relationships/chartUserShapes" Target="../drawings/drawing23.xml"/><Relationship Id="rId2" Type="http://schemas.microsoft.com/office/2011/relationships/chartColorStyle" Target="colors19.xml"/><Relationship Id="rId1" Type="http://schemas.microsoft.com/office/2011/relationships/chartStyle" Target="style19.xml"/></Relationships>
</file>

<file path=xl/charts/_rels/chart2.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2.xml"/><Relationship Id="rId1" Type="http://schemas.microsoft.com/office/2011/relationships/chartStyle" Target="style2.xml"/><Relationship Id="rId4" Type="http://schemas.openxmlformats.org/officeDocument/2006/relationships/chartUserShapes" Target="../drawings/drawing5.xml"/></Relationships>
</file>

<file path=xl/charts/_rels/chart3.xml.rels><?xml version="1.0" encoding="UTF-8" standalone="yes"?>
<Relationships xmlns="http://schemas.openxmlformats.org/package/2006/relationships"><Relationship Id="rId3" Type="http://schemas.openxmlformats.org/officeDocument/2006/relationships/chartUserShapes" Target="../drawings/drawing6.xml"/><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3" Type="http://schemas.openxmlformats.org/officeDocument/2006/relationships/chartUserShapes" Target="../drawings/drawing7.xml"/><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3" Type="http://schemas.openxmlformats.org/officeDocument/2006/relationships/chartUserShapes" Target="../drawings/drawing8.xml"/><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3" Type="http://schemas.openxmlformats.org/officeDocument/2006/relationships/chartUserShapes" Target="../drawings/drawing9.xml"/><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3" Type="http://schemas.openxmlformats.org/officeDocument/2006/relationships/chartUserShapes" Target="../drawings/drawing11.xml"/><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3" Type="http://schemas.openxmlformats.org/officeDocument/2006/relationships/chartUserShapes" Target="../drawings/drawing12.xml"/><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3" Type="http://schemas.openxmlformats.org/officeDocument/2006/relationships/chartUserShapes" Target="../drawings/drawing13.xml"/><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207057451151936"/>
          <c:y val="8.6140098451548977E-2"/>
          <c:w val="0.68395562055618953"/>
          <c:h val="0.66692676216677738"/>
        </c:manualLayout>
      </c:layout>
      <c:scatterChart>
        <c:scatterStyle val="smoothMarker"/>
        <c:varyColors val="0"/>
        <c:ser>
          <c:idx val="0"/>
          <c:order val="0"/>
          <c:tx>
            <c:strRef>
              <c:f>Calculations!$B$130</c:f>
              <c:strCache>
                <c:ptCount val="1"/>
                <c:pt idx="0">
                  <c:v>select a LDV category</c:v>
                </c:pt>
              </c:strCache>
            </c:strRef>
          </c:tx>
          <c:spPr>
            <a:ln w="28575" cap="rnd">
              <a:solidFill>
                <a:srgbClr val="00546E"/>
              </a:solidFill>
              <a:round/>
            </a:ln>
            <a:effectLst/>
          </c:spPr>
          <c:marker>
            <c:symbol val="none"/>
          </c:marker>
          <c:xVal>
            <c:numRef>
              <c:f>Calculations!$E$121:$AI$121</c:f>
              <c:numCache>
                <c:formatCode>0</c:formatCode>
                <c:ptCount val="29"/>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pt idx="15">
                  <c:v>2037</c:v>
                </c:pt>
                <c:pt idx="16">
                  <c:v>2038</c:v>
                </c:pt>
                <c:pt idx="17">
                  <c:v>2039</c:v>
                </c:pt>
                <c:pt idx="18">
                  <c:v>2040</c:v>
                </c:pt>
                <c:pt idx="19">
                  <c:v>2041</c:v>
                </c:pt>
                <c:pt idx="20">
                  <c:v>2042</c:v>
                </c:pt>
                <c:pt idx="21">
                  <c:v>2043</c:v>
                </c:pt>
                <c:pt idx="22">
                  <c:v>2044</c:v>
                </c:pt>
                <c:pt idx="23">
                  <c:v>2045</c:v>
                </c:pt>
                <c:pt idx="24">
                  <c:v>2046</c:v>
                </c:pt>
                <c:pt idx="25">
                  <c:v>2047</c:v>
                </c:pt>
                <c:pt idx="26">
                  <c:v>2048</c:v>
                </c:pt>
                <c:pt idx="27">
                  <c:v>2049</c:v>
                </c:pt>
                <c:pt idx="28">
                  <c:v>2050</c:v>
                </c:pt>
              </c:numCache>
            </c:numRef>
          </c:xVal>
          <c:yVal>
            <c:numRef>
              <c:f>Calculations!$E$130:$AI$130</c:f>
              <c:numCache>
                <c:formatCode>#,##0.00</c:formatCode>
                <c:ptCount val="29"/>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numCache>
            </c:numRef>
          </c:yVal>
          <c:smooth val="1"/>
          <c:extLst>
            <c:ext xmlns:c16="http://schemas.microsoft.com/office/drawing/2014/chart" uri="{C3380CC4-5D6E-409C-BE32-E72D297353CC}">
              <c16:uniqueId val="{00000003-D0A5-40C9-A551-E595A2F775E6}"/>
            </c:ext>
          </c:extLst>
        </c:ser>
        <c:ser>
          <c:idx val="1"/>
          <c:order val="1"/>
          <c:tx>
            <c:strRef>
              <c:f>Calculations!$B$131</c:f>
              <c:strCache>
                <c:ptCount val="1"/>
                <c:pt idx="0">
                  <c:v>select a LDV category</c:v>
                </c:pt>
              </c:strCache>
            </c:strRef>
          </c:tx>
          <c:spPr>
            <a:ln w="12700" cap="rnd">
              <a:solidFill>
                <a:srgbClr val="FFC000"/>
              </a:solidFill>
              <a:prstDash val="sysDash"/>
              <a:round/>
            </a:ln>
            <a:effectLst/>
          </c:spPr>
          <c:marker>
            <c:symbol val="none"/>
          </c:marker>
          <c:xVal>
            <c:numRef>
              <c:f>Calculations!$E$121:$AI$121</c:f>
              <c:numCache>
                <c:formatCode>0</c:formatCode>
                <c:ptCount val="29"/>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pt idx="15">
                  <c:v>2037</c:v>
                </c:pt>
                <c:pt idx="16">
                  <c:v>2038</c:v>
                </c:pt>
                <c:pt idx="17">
                  <c:v>2039</c:v>
                </c:pt>
                <c:pt idx="18">
                  <c:v>2040</c:v>
                </c:pt>
                <c:pt idx="19">
                  <c:v>2041</c:v>
                </c:pt>
                <c:pt idx="20">
                  <c:v>2042</c:v>
                </c:pt>
                <c:pt idx="21">
                  <c:v>2043</c:v>
                </c:pt>
                <c:pt idx="22">
                  <c:v>2044</c:v>
                </c:pt>
                <c:pt idx="23">
                  <c:v>2045</c:v>
                </c:pt>
                <c:pt idx="24">
                  <c:v>2046</c:v>
                </c:pt>
                <c:pt idx="25">
                  <c:v>2047</c:v>
                </c:pt>
                <c:pt idx="26">
                  <c:v>2048</c:v>
                </c:pt>
                <c:pt idx="27">
                  <c:v>2049</c:v>
                </c:pt>
                <c:pt idx="28">
                  <c:v>2050</c:v>
                </c:pt>
              </c:numCache>
            </c:numRef>
          </c:xVal>
          <c:yVal>
            <c:numRef>
              <c:f>Calculations!$E$131:$AI$131</c:f>
              <c:numCache>
                <c:formatCode>#,##0.00</c:formatCode>
                <c:ptCount val="29"/>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numCache>
            </c:numRef>
          </c:yVal>
          <c:smooth val="1"/>
          <c:extLst>
            <c:ext xmlns:c16="http://schemas.microsoft.com/office/drawing/2014/chart" uri="{C3380CC4-5D6E-409C-BE32-E72D297353CC}">
              <c16:uniqueId val="{00000000-7860-4468-9D47-147623ECE803}"/>
            </c:ext>
          </c:extLst>
        </c:ser>
        <c:ser>
          <c:idx val="2"/>
          <c:order val="2"/>
          <c:tx>
            <c:strRef>
              <c:f>Calculations!$B$132</c:f>
              <c:strCache>
                <c:ptCount val="1"/>
                <c:pt idx="0">
                  <c:v>select a LDV category</c:v>
                </c:pt>
              </c:strCache>
            </c:strRef>
          </c:tx>
          <c:spPr>
            <a:ln w="28575" cap="rnd">
              <a:noFill/>
              <a:round/>
            </a:ln>
            <a:effectLst/>
          </c:spPr>
          <c:marker>
            <c:symbol val="circle"/>
            <c:size val="5"/>
            <c:spPr>
              <a:solidFill>
                <a:srgbClr val="7030A0"/>
              </a:solidFill>
              <a:ln w="15875">
                <a:noFill/>
              </a:ln>
              <a:effectLst/>
            </c:spPr>
          </c:marker>
          <c:dLbls>
            <c:dLbl>
              <c:idx val="0"/>
              <c:layout>
                <c:manualLayout>
                  <c:x val="1.6106640953873781E-2"/>
                  <c:y val="-8.9752088338623595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0-02F8-4FFA-A253-19F0F5138F59}"/>
                </c:ext>
              </c:extLst>
            </c:dLbl>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n-US"/>
              </a:p>
            </c:txPr>
            <c:showLegendKey val="0"/>
            <c:showVal val="0"/>
            <c:showCatName val="0"/>
            <c:showSerName val="1"/>
            <c:showPercent val="0"/>
            <c:showBubbleSize val="0"/>
            <c:showLeaderLines val="0"/>
            <c:extLst>
              <c:ext xmlns:c15="http://schemas.microsoft.com/office/drawing/2012/chart" uri="{CE6537A1-D6FC-4f65-9D91-7224C49458BB}">
                <c15:spPr xmlns:c15="http://schemas.microsoft.com/office/drawing/2012/chart">
                  <a:prstGeom prst="wedgeRectCallout">
                    <a:avLst/>
                  </a:prstGeom>
                  <a:noFill/>
                  <a:ln>
                    <a:noFill/>
                  </a:ln>
                </c15:spPr>
                <c15:showLeaderLines val="0"/>
              </c:ext>
            </c:extLst>
          </c:dLbls>
          <c:xVal>
            <c:numRef>
              <c:f>Automakers!$D$75</c:f>
              <c:numCache>
                <c:formatCode>General</c:formatCode>
                <c:ptCount val="1"/>
              </c:numCache>
            </c:numRef>
          </c:xVal>
          <c:yVal>
            <c:numRef>
              <c:f>Calculations!$D$132</c:f>
              <c:numCache>
                <c:formatCode>#,##0.00</c:formatCode>
                <c:ptCount val="1"/>
                <c:pt idx="0">
                  <c:v>#N/A</c:v>
                </c:pt>
              </c:numCache>
            </c:numRef>
          </c:yVal>
          <c:smooth val="1"/>
          <c:extLst>
            <c:ext xmlns:c16="http://schemas.microsoft.com/office/drawing/2014/chart" uri="{C3380CC4-5D6E-409C-BE32-E72D297353CC}">
              <c16:uniqueId val="{00000004-7860-4468-9D47-147623ECE803}"/>
            </c:ext>
          </c:extLst>
        </c:ser>
        <c:dLbls>
          <c:showLegendKey val="0"/>
          <c:showVal val="0"/>
          <c:showCatName val="0"/>
          <c:showSerName val="0"/>
          <c:showPercent val="0"/>
          <c:showBubbleSize val="0"/>
        </c:dLbls>
        <c:axId val="949570272"/>
        <c:axId val="949571904"/>
      </c:scatterChart>
      <c:valAx>
        <c:axId val="949570272"/>
        <c:scaling>
          <c:orientation val="minMax"/>
          <c:max val="2040"/>
          <c:min val="2020"/>
        </c:scaling>
        <c:delete val="0"/>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low"/>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49571904"/>
        <c:crossesAt val="0"/>
        <c:crossBetween val="midCat"/>
      </c:valAx>
      <c:valAx>
        <c:axId val="949571904"/>
        <c:scaling>
          <c:orientation val="minMax"/>
          <c:min val="0"/>
        </c:scaling>
        <c:delete val="0"/>
        <c:axPos val="l"/>
        <c:majorGridlines>
          <c:spPr>
            <a:ln w="9525" cap="flat" cmpd="sng" algn="ctr">
              <a:solidFill>
                <a:schemeClr val="tx1">
                  <a:lumMod val="15000"/>
                  <a:lumOff val="85000"/>
                </a:schemeClr>
              </a:solidFill>
              <a:round/>
            </a:ln>
            <a:effectLst/>
          </c:spPr>
        </c:majorGridlines>
        <c:title>
          <c:tx>
            <c:strRef>
              <c:f>Automakers!$F$76</c:f>
              <c:strCache>
                <c:ptCount val="1"/>
                <c:pt idx="0">
                  <c:v>gCO2e/vkm</c:v>
                </c:pt>
              </c:strCache>
            </c:strRef>
          </c:tx>
          <c:layout>
            <c:manualLayout>
              <c:xMode val="edge"/>
              <c:yMode val="edge"/>
              <c:x val="5.0079195816565301E-2"/>
              <c:y val="0.3392907588358684"/>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49570272"/>
        <c:crosses val="autoZero"/>
        <c:crossBetween val="midCat"/>
      </c:valAx>
      <c:spPr>
        <a:noFill/>
        <a:ln>
          <a:noFill/>
        </a:ln>
        <a:effectLst/>
      </c:spPr>
    </c:plotArea>
    <c:legend>
      <c:legendPos val="r"/>
      <c:layout>
        <c:manualLayout>
          <c:xMode val="edge"/>
          <c:yMode val="edge"/>
          <c:x val="0.18576299296213111"/>
          <c:y val="0.83592585565358546"/>
          <c:w val="0.69894880923789593"/>
          <c:h val="0.13805458052683173"/>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userShapes r:id="rId3"/>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207057451151936"/>
          <c:y val="0.10485795439953567"/>
          <c:w val="0.68395562055618953"/>
          <c:h val="0.64820869993990482"/>
        </c:manualLayout>
      </c:layout>
      <c:scatterChart>
        <c:scatterStyle val="smoothMarker"/>
        <c:varyColors val="0"/>
        <c:ser>
          <c:idx val="0"/>
          <c:order val="0"/>
          <c:tx>
            <c:strRef>
              <c:f>Calculations!$B$170</c:f>
              <c:strCache>
                <c:ptCount val="1"/>
                <c:pt idx="0">
                  <c:v>select a vehicle category</c:v>
                </c:pt>
              </c:strCache>
            </c:strRef>
          </c:tx>
          <c:spPr>
            <a:ln w="28575" cap="rnd">
              <a:solidFill>
                <a:srgbClr val="00546E"/>
              </a:solidFill>
              <a:round/>
            </a:ln>
            <a:effectLst/>
          </c:spPr>
          <c:marker>
            <c:symbol val="none"/>
          </c:marker>
          <c:xVal>
            <c:numRef>
              <c:f>Calculations!$E$121:$AI$121</c:f>
              <c:numCache>
                <c:formatCode>0</c:formatCode>
                <c:ptCount val="29"/>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pt idx="15">
                  <c:v>2037</c:v>
                </c:pt>
                <c:pt idx="16">
                  <c:v>2038</c:v>
                </c:pt>
                <c:pt idx="17">
                  <c:v>2039</c:v>
                </c:pt>
                <c:pt idx="18">
                  <c:v>2040</c:v>
                </c:pt>
                <c:pt idx="19">
                  <c:v>2041</c:v>
                </c:pt>
                <c:pt idx="20">
                  <c:v>2042</c:v>
                </c:pt>
                <c:pt idx="21">
                  <c:v>2043</c:v>
                </c:pt>
                <c:pt idx="22">
                  <c:v>2044</c:v>
                </c:pt>
                <c:pt idx="23">
                  <c:v>2045</c:v>
                </c:pt>
                <c:pt idx="24">
                  <c:v>2046</c:v>
                </c:pt>
                <c:pt idx="25">
                  <c:v>2047</c:v>
                </c:pt>
                <c:pt idx="26">
                  <c:v>2048</c:v>
                </c:pt>
                <c:pt idx="27">
                  <c:v>2049</c:v>
                </c:pt>
                <c:pt idx="28">
                  <c:v>2050</c:v>
                </c:pt>
              </c:numCache>
            </c:numRef>
          </c:xVal>
          <c:yVal>
            <c:numRef>
              <c:f>Calculations!$E$170:$AI$170</c:f>
              <c:numCache>
                <c:formatCode>#,##0</c:formatCode>
                <c:ptCount val="29"/>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numCache>
            </c:numRef>
          </c:yVal>
          <c:smooth val="1"/>
          <c:extLst>
            <c:ext xmlns:c16="http://schemas.microsoft.com/office/drawing/2014/chart" uri="{C3380CC4-5D6E-409C-BE32-E72D297353CC}">
              <c16:uniqueId val="{00000000-9434-43AD-88C7-781F34C382B8}"/>
            </c:ext>
          </c:extLst>
        </c:ser>
        <c:ser>
          <c:idx val="1"/>
          <c:order val="1"/>
          <c:tx>
            <c:strRef>
              <c:f>Calculations!$B$171</c:f>
              <c:strCache>
                <c:ptCount val="1"/>
                <c:pt idx="0">
                  <c:v>select a vehicle category</c:v>
                </c:pt>
              </c:strCache>
            </c:strRef>
          </c:tx>
          <c:spPr>
            <a:ln w="12700" cap="rnd">
              <a:solidFill>
                <a:srgbClr val="FFC000"/>
              </a:solidFill>
              <a:prstDash val="sysDash"/>
              <a:round/>
            </a:ln>
            <a:effectLst/>
          </c:spPr>
          <c:marker>
            <c:symbol val="none"/>
          </c:marker>
          <c:xVal>
            <c:numRef>
              <c:f>Calculations!$E$121:$AI$121</c:f>
              <c:numCache>
                <c:formatCode>0</c:formatCode>
                <c:ptCount val="29"/>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pt idx="15">
                  <c:v>2037</c:v>
                </c:pt>
                <c:pt idx="16">
                  <c:v>2038</c:v>
                </c:pt>
                <c:pt idx="17">
                  <c:v>2039</c:v>
                </c:pt>
                <c:pt idx="18">
                  <c:v>2040</c:v>
                </c:pt>
                <c:pt idx="19">
                  <c:v>2041</c:v>
                </c:pt>
                <c:pt idx="20">
                  <c:v>2042</c:v>
                </c:pt>
                <c:pt idx="21">
                  <c:v>2043</c:v>
                </c:pt>
                <c:pt idx="22">
                  <c:v>2044</c:v>
                </c:pt>
                <c:pt idx="23">
                  <c:v>2045</c:v>
                </c:pt>
                <c:pt idx="24">
                  <c:v>2046</c:v>
                </c:pt>
                <c:pt idx="25">
                  <c:v>2047</c:v>
                </c:pt>
                <c:pt idx="26">
                  <c:v>2048</c:v>
                </c:pt>
                <c:pt idx="27">
                  <c:v>2049</c:v>
                </c:pt>
                <c:pt idx="28">
                  <c:v>2050</c:v>
                </c:pt>
              </c:numCache>
            </c:numRef>
          </c:xVal>
          <c:yVal>
            <c:numRef>
              <c:f>Calculations!$E$171:$AI$171</c:f>
              <c:numCache>
                <c:formatCode>#,##0</c:formatCode>
                <c:ptCount val="29"/>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numCache>
            </c:numRef>
          </c:yVal>
          <c:smooth val="1"/>
          <c:extLst>
            <c:ext xmlns:c16="http://schemas.microsoft.com/office/drawing/2014/chart" uri="{C3380CC4-5D6E-409C-BE32-E72D297353CC}">
              <c16:uniqueId val="{00000001-9434-43AD-88C7-781F34C382B8}"/>
            </c:ext>
          </c:extLst>
        </c:ser>
        <c:ser>
          <c:idx val="2"/>
          <c:order val="2"/>
          <c:tx>
            <c:strRef>
              <c:f>Calculations!$B$172</c:f>
              <c:strCache>
                <c:ptCount val="1"/>
                <c:pt idx="0">
                  <c:v>Scope 3 category 11 intensity target</c:v>
                </c:pt>
              </c:strCache>
            </c:strRef>
          </c:tx>
          <c:spPr>
            <a:ln w="28575" cap="rnd">
              <a:noFill/>
              <a:round/>
            </a:ln>
            <a:effectLst/>
          </c:spPr>
          <c:marker>
            <c:symbol val="circle"/>
            <c:size val="6"/>
            <c:spPr>
              <a:solidFill>
                <a:srgbClr val="7030A0"/>
              </a:solidFill>
              <a:ln w="9525">
                <a:noFill/>
              </a:ln>
              <a:effectLst/>
            </c:spPr>
          </c:marker>
          <c:dLbls>
            <c:dLbl>
              <c:idx val="0"/>
              <c:layout>
                <c:manualLayout>
                  <c:x val="0"/>
                  <c:y val="-0.1037483266398929"/>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2-9434-43AD-88C7-781F34C382B8}"/>
                </c:ext>
              </c:extLst>
            </c:dLbl>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n-US"/>
              </a:p>
            </c:txPr>
            <c:showLegendKey val="0"/>
            <c:showVal val="0"/>
            <c:showCatName val="0"/>
            <c:showSerName val="1"/>
            <c:showPercent val="0"/>
            <c:showBubbleSize val="0"/>
            <c:showLeaderLines val="0"/>
            <c:extLst>
              <c:ext xmlns:c15="http://schemas.microsoft.com/office/drawing/2012/chart" uri="{CE6537A1-D6FC-4f65-9D91-7224C49458BB}">
                <c15:spPr xmlns:c15="http://schemas.microsoft.com/office/drawing/2012/chart">
                  <a:prstGeom prst="wedgeRectCallout">
                    <a:avLst/>
                  </a:prstGeom>
                  <a:noFill/>
                  <a:ln>
                    <a:noFill/>
                  </a:ln>
                </c15:spPr>
                <c15:showLeaderLines val="0"/>
              </c:ext>
            </c:extLst>
          </c:dLbls>
          <c:xVal>
            <c:numRef>
              <c:f>Autoparts!$D$104</c:f>
              <c:numCache>
                <c:formatCode>General</c:formatCode>
                <c:ptCount val="1"/>
              </c:numCache>
            </c:numRef>
          </c:xVal>
          <c:yVal>
            <c:numRef>
              <c:f>Calculations!$D$172</c:f>
              <c:numCache>
                <c:formatCode>#,##0.00</c:formatCode>
                <c:ptCount val="1"/>
                <c:pt idx="0">
                  <c:v>#N/A</c:v>
                </c:pt>
              </c:numCache>
            </c:numRef>
          </c:yVal>
          <c:smooth val="1"/>
          <c:extLst>
            <c:ext xmlns:c16="http://schemas.microsoft.com/office/drawing/2014/chart" uri="{C3380CC4-5D6E-409C-BE32-E72D297353CC}">
              <c16:uniqueId val="{00000003-9434-43AD-88C7-781F34C382B8}"/>
            </c:ext>
          </c:extLst>
        </c:ser>
        <c:dLbls>
          <c:showLegendKey val="0"/>
          <c:showVal val="0"/>
          <c:showCatName val="0"/>
          <c:showSerName val="0"/>
          <c:showPercent val="0"/>
          <c:showBubbleSize val="0"/>
        </c:dLbls>
        <c:axId val="949570272"/>
        <c:axId val="949571904"/>
      </c:scatterChart>
      <c:valAx>
        <c:axId val="949570272"/>
        <c:scaling>
          <c:orientation val="minMax"/>
          <c:max val="2040"/>
          <c:min val="2020"/>
        </c:scaling>
        <c:delete val="0"/>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low"/>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49571904"/>
        <c:crossesAt val="0"/>
        <c:crossBetween val="midCat"/>
      </c:valAx>
      <c:valAx>
        <c:axId val="949571904"/>
        <c:scaling>
          <c:orientation val="minMax"/>
          <c:min val="0"/>
        </c:scaling>
        <c:delete val="0"/>
        <c:axPos val="l"/>
        <c:majorGridlines>
          <c:spPr>
            <a:ln w="9525" cap="flat" cmpd="sng" algn="ctr">
              <a:solidFill>
                <a:schemeClr val="tx1">
                  <a:lumMod val="15000"/>
                  <a:lumOff val="85000"/>
                </a:schemeClr>
              </a:solidFill>
              <a:round/>
            </a:ln>
            <a:effectLst/>
          </c:spPr>
        </c:majorGridlines>
        <c:title>
          <c:tx>
            <c:strRef>
              <c:f>Autoparts!$F$28</c:f>
              <c:strCache>
                <c:ptCount val="1"/>
                <c:pt idx="0">
                  <c:v>gCO2e/vkm</c:v>
                </c:pt>
              </c:strCache>
            </c:strRef>
          </c:tx>
          <c:layout>
            <c:manualLayout>
              <c:xMode val="edge"/>
              <c:yMode val="edge"/>
              <c:x val="8.0882960114294855E-2"/>
              <c:y val="0.35602435990681885"/>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49570272"/>
        <c:crosses val="autoZero"/>
        <c:crossBetween val="midCat"/>
      </c:valAx>
      <c:spPr>
        <a:noFill/>
        <a:ln>
          <a:noFill/>
        </a:ln>
        <a:effectLst/>
      </c:spPr>
    </c:plotArea>
    <c:legend>
      <c:legendPos val="r"/>
      <c:layout>
        <c:manualLayout>
          <c:xMode val="edge"/>
          <c:yMode val="edge"/>
          <c:x val="0.18576299296213111"/>
          <c:y val="0.83592585565358546"/>
          <c:w val="0.69894880923789593"/>
          <c:h val="0.13805458052683173"/>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userShapes r:id="rId3"/>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Uncorrected</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VCdata!$H$18</c:f>
              <c:strCache>
                <c:ptCount val="1"/>
                <c:pt idx="0">
                  <c:v>Passenger cars</c:v>
                </c:pt>
              </c:strCache>
            </c:strRef>
          </c:tx>
          <c:spPr>
            <a:ln w="28575" cap="rnd">
              <a:solidFill>
                <a:schemeClr val="accent1"/>
              </a:solidFill>
              <a:round/>
            </a:ln>
            <a:effectLst/>
          </c:spPr>
          <c:marker>
            <c:symbol val="none"/>
          </c:marker>
          <c:val>
            <c:numRef>
              <c:f>VCdata!$I$18:$AW$18</c:f>
              <c:numCache>
                <c:formatCode>General</c:formatCode>
                <c:ptCount val="30"/>
                <c:pt idx="1">
                  <c:v>32.719622548300592</c:v>
                </c:pt>
                <c:pt idx="2">
                  <c:v>32.799458699072275</c:v>
                </c:pt>
                <c:pt idx="3">
                  <c:v>30.895703993435454</c:v>
                </c:pt>
                <c:pt idx="4">
                  <c:v>32.464157595067405</c:v>
                </c:pt>
                <c:pt idx="5">
                  <c:v>32.151170825207132</c:v>
                </c:pt>
                <c:pt idx="6">
                  <c:v>31.401544197149661</c:v>
                </c:pt>
                <c:pt idx="7">
                  <c:v>30.493234916729904</c:v>
                </c:pt>
                <c:pt idx="8">
                  <c:v>29.329126928001084</c:v>
                </c:pt>
                <c:pt idx="9">
                  <c:v>28.120945960789452</c:v>
                </c:pt>
                <c:pt idx="10">
                  <c:v>25.3795449422262</c:v>
                </c:pt>
                <c:pt idx="11">
                  <c:v>22.767751797084408</c:v>
                </c:pt>
                <c:pt idx="12">
                  <c:v>20.554498205504551</c:v>
                </c:pt>
                <c:pt idx="13">
                  <c:v>18.500564325862399</c:v>
                </c:pt>
                <c:pt idx="14">
                  <c:v>16.691364687139075</c:v>
                </c:pt>
                <c:pt idx="15">
                  <c:v>15.233107272477572</c:v>
                </c:pt>
                <c:pt idx="16">
                  <c:v>13.837272127588674</c:v>
                </c:pt>
                <c:pt idx="17">
                  <c:v>12.502557475136197</c:v>
                </c:pt>
                <c:pt idx="18">
                  <c:v>11.171010843210103</c:v>
                </c:pt>
                <c:pt idx="19">
                  <c:v>9.8531201616499775</c:v>
                </c:pt>
                <c:pt idx="20">
                  <c:v>9.0069602765590613</c:v>
                </c:pt>
                <c:pt idx="21">
                  <c:v>8.1702799197616116</c:v>
                </c:pt>
                <c:pt idx="22">
                  <c:v>7.3395733407333337</c:v>
                </c:pt>
                <c:pt idx="23">
                  <c:v>6.5140057517230057</c:v>
                </c:pt>
                <c:pt idx="24">
                  <c:v>5.6895271446334723</c:v>
                </c:pt>
                <c:pt idx="25">
                  <c:v>4.8664966435682651</c:v>
                </c:pt>
                <c:pt idx="26">
                  <c:v>4.0471375682652617</c:v>
                </c:pt>
                <c:pt idx="27">
                  <c:v>3.2313179133204781</c:v>
                </c:pt>
                <c:pt idx="28">
                  <c:v>2.4179384672031845</c:v>
                </c:pt>
                <c:pt idx="29">
                  <c:v>1.6103876465787832</c:v>
                </c:pt>
              </c:numCache>
            </c:numRef>
          </c:val>
          <c:smooth val="0"/>
          <c:extLst>
            <c:ext xmlns:c16="http://schemas.microsoft.com/office/drawing/2014/chart" uri="{C3380CC4-5D6E-409C-BE32-E72D297353CC}">
              <c16:uniqueId val="{00000000-3F71-421E-B352-890834059D5B}"/>
            </c:ext>
          </c:extLst>
        </c:ser>
        <c:ser>
          <c:idx val="1"/>
          <c:order val="1"/>
          <c:tx>
            <c:strRef>
              <c:f>VCdata!$H$19</c:f>
              <c:strCache>
                <c:ptCount val="1"/>
                <c:pt idx="0">
                  <c:v>Passenger cars</c:v>
                </c:pt>
              </c:strCache>
            </c:strRef>
          </c:tx>
          <c:spPr>
            <a:ln w="28575" cap="rnd">
              <a:solidFill>
                <a:schemeClr val="accent2"/>
              </a:solidFill>
              <a:round/>
            </a:ln>
            <a:effectLst/>
          </c:spPr>
          <c:marker>
            <c:symbol val="none"/>
          </c:marker>
          <c:val>
            <c:numRef>
              <c:f>VCdata!$I$19:$AW$19</c:f>
              <c:numCache>
                <c:formatCode>General</c:formatCode>
                <c:ptCount val="30"/>
                <c:pt idx="1">
                  <c:v>41.093208195411691</c:v>
                </c:pt>
                <c:pt idx="2">
                  <c:v>41.813075873606273</c:v>
                </c:pt>
                <c:pt idx="3">
                  <c:v>39.978375735978801</c:v>
                </c:pt>
                <c:pt idx="4">
                  <c:v>43.219753786618455</c:v>
                </c:pt>
                <c:pt idx="5">
                  <c:v>42.314571326905245</c:v>
                </c:pt>
                <c:pt idx="6">
                  <c:v>40.693178823369792</c:v>
                </c:pt>
                <c:pt idx="7">
                  <c:v>38.614279435249252</c:v>
                </c:pt>
                <c:pt idx="8">
                  <c:v>35.960405882207397</c:v>
                </c:pt>
                <c:pt idx="9">
                  <c:v>33.489235382608214</c:v>
                </c:pt>
                <c:pt idx="10">
                  <c:v>29.409707658799501</c:v>
                </c:pt>
                <c:pt idx="11">
                  <c:v>25.688932642965625</c:v>
                </c:pt>
                <c:pt idx="12">
                  <c:v>22.557411602039185</c:v>
                </c:pt>
                <c:pt idx="13">
                  <c:v>20.012689094960496</c:v>
                </c:pt>
                <c:pt idx="14">
                  <c:v>17.835980066777797</c:v>
                </c:pt>
                <c:pt idx="15">
                  <c:v>16.148894849486684</c:v>
                </c:pt>
                <c:pt idx="16">
                  <c:v>14.583071508833861</c:v>
                </c:pt>
                <c:pt idx="17">
                  <c:v>13.088810796584651</c:v>
                </c:pt>
                <c:pt idx="18">
                  <c:v>11.52289959025445</c:v>
                </c:pt>
                <c:pt idx="19">
                  <c:v>10.111223203116145</c:v>
                </c:pt>
                <c:pt idx="20">
                  <c:v>9.2377304652800571</c:v>
                </c:pt>
                <c:pt idx="21">
                  <c:v>8.3737854014295827</c:v>
                </c:pt>
                <c:pt idx="22">
                  <c:v>7.5159709256629386</c:v>
                </c:pt>
                <c:pt idx="23">
                  <c:v>6.6634672821163061</c:v>
                </c:pt>
                <c:pt idx="24">
                  <c:v>5.8120612872913462</c:v>
                </c:pt>
                <c:pt idx="25">
                  <c:v>4.9621878273558497</c:v>
                </c:pt>
                <c:pt idx="26">
                  <c:v>4.116154118475702</c:v>
                </c:pt>
                <c:pt idx="27">
                  <c:v>3.2738167100813693</c:v>
                </c:pt>
                <c:pt idx="28">
                  <c:v>2.4341124796920006</c:v>
                </c:pt>
                <c:pt idx="29">
                  <c:v>1.6002956529359043</c:v>
                </c:pt>
              </c:numCache>
            </c:numRef>
          </c:val>
          <c:smooth val="0"/>
          <c:extLst>
            <c:ext xmlns:c16="http://schemas.microsoft.com/office/drawing/2014/chart" uri="{C3380CC4-5D6E-409C-BE32-E72D297353CC}">
              <c16:uniqueId val="{00000001-3F71-421E-B352-890834059D5B}"/>
            </c:ext>
          </c:extLst>
        </c:ser>
        <c:ser>
          <c:idx val="2"/>
          <c:order val="2"/>
          <c:tx>
            <c:strRef>
              <c:f>VCdata!$H$20</c:f>
              <c:strCache>
                <c:ptCount val="1"/>
                <c:pt idx="0">
                  <c:v>Passenger cars</c:v>
                </c:pt>
              </c:strCache>
            </c:strRef>
          </c:tx>
          <c:spPr>
            <a:ln w="28575" cap="rnd">
              <a:solidFill>
                <a:schemeClr val="accent3"/>
              </a:solidFill>
              <a:round/>
            </a:ln>
            <a:effectLst/>
          </c:spPr>
          <c:marker>
            <c:symbol val="none"/>
          </c:marker>
          <c:val>
            <c:numRef>
              <c:f>VCdata!$I$20:$AW$20</c:f>
              <c:numCache>
                <c:formatCode>General</c:formatCode>
                <c:ptCount val="30"/>
                <c:pt idx="1">
                  <c:v>34.240131594132762</c:v>
                </c:pt>
                <c:pt idx="2">
                  <c:v>34.679143226535942</c:v>
                </c:pt>
                <c:pt idx="3">
                  <c:v>33.272057306094162</c:v>
                </c:pt>
                <c:pt idx="4">
                  <c:v>32.70048996098668</c:v>
                </c:pt>
                <c:pt idx="5">
                  <c:v>35.693287416264226</c:v>
                </c:pt>
                <c:pt idx="6">
                  <c:v>37.713064117150346</c:v>
                </c:pt>
                <c:pt idx="7">
                  <c:v>35.332286061234164</c:v>
                </c:pt>
                <c:pt idx="8">
                  <c:v>33.109636194533074</c:v>
                </c:pt>
                <c:pt idx="9">
                  <c:v>30.823056812926879</c:v>
                </c:pt>
                <c:pt idx="10">
                  <c:v>27.776586321480387</c:v>
                </c:pt>
                <c:pt idx="11">
                  <c:v>25.280267896459605</c:v>
                </c:pt>
                <c:pt idx="12">
                  <c:v>22.733308906143996</c:v>
                </c:pt>
                <c:pt idx="13">
                  <c:v>20.386090089452036</c:v>
                </c:pt>
                <c:pt idx="14">
                  <c:v>18.144128154433993</c:v>
                </c:pt>
                <c:pt idx="15">
                  <c:v>16.440510136028195</c:v>
                </c:pt>
                <c:pt idx="16">
                  <c:v>14.903269778521739</c:v>
                </c:pt>
                <c:pt idx="17">
                  <c:v>13.476425062737817</c:v>
                </c:pt>
                <c:pt idx="18">
                  <c:v>12.046416180010205</c:v>
                </c:pt>
                <c:pt idx="19">
                  <c:v>10.609792797668984</c:v>
                </c:pt>
                <c:pt idx="20">
                  <c:v>9.7322577369043994</c:v>
                </c:pt>
                <c:pt idx="21">
                  <c:v>8.8547873753783115</c:v>
                </c:pt>
                <c:pt idx="22">
                  <c:v>7.9781547761260567</c:v>
                </c:pt>
                <c:pt idx="23">
                  <c:v>7.101187841948092</c:v>
                </c:pt>
                <c:pt idx="24">
                  <c:v>6.2244007209730539</c:v>
                </c:pt>
                <c:pt idx="25">
                  <c:v>5.3481512267224014</c:v>
                </c:pt>
                <c:pt idx="26">
                  <c:v>4.4729711788710178</c:v>
                </c:pt>
                <c:pt idx="27">
                  <c:v>3.5982301810646695</c:v>
                </c:pt>
                <c:pt idx="28">
                  <c:v>2.7244515242532317</c:v>
                </c:pt>
                <c:pt idx="29">
                  <c:v>1.8522327466329538</c:v>
                </c:pt>
              </c:numCache>
            </c:numRef>
          </c:val>
          <c:smooth val="0"/>
          <c:extLst>
            <c:ext xmlns:c16="http://schemas.microsoft.com/office/drawing/2014/chart" uri="{C3380CC4-5D6E-409C-BE32-E72D297353CC}">
              <c16:uniqueId val="{00000002-3F71-421E-B352-890834059D5B}"/>
            </c:ext>
          </c:extLst>
        </c:ser>
        <c:ser>
          <c:idx val="3"/>
          <c:order val="3"/>
          <c:tx>
            <c:strRef>
              <c:f>VCdata!$H$21</c:f>
              <c:strCache>
                <c:ptCount val="1"/>
                <c:pt idx="0">
                  <c:v>Passenger cars</c:v>
                </c:pt>
              </c:strCache>
            </c:strRef>
          </c:tx>
          <c:spPr>
            <a:ln w="28575" cap="rnd">
              <a:solidFill>
                <a:schemeClr val="accent4"/>
              </a:solidFill>
              <a:round/>
            </a:ln>
            <a:effectLst/>
          </c:spPr>
          <c:marker>
            <c:symbol val="none"/>
          </c:marker>
          <c:val>
            <c:numRef>
              <c:f>VCdata!$I$21:$AW$21</c:f>
              <c:numCache>
                <c:formatCode>General</c:formatCode>
                <c:ptCount val="30"/>
                <c:pt idx="1">
                  <c:v>35.952009441613491</c:v>
                </c:pt>
                <c:pt idx="2">
                  <c:v>36.437405362357495</c:v>
                </c:pt>
                <c:pt idx="3">
                  <c:v>34.433837952009398</c:v>
                </c:pt>
                <c:pt idx="4">
                  <c:v>36.246522041724837</c:v>
                </c:pt>
                <c:pt idx="5">
                  <c:v>36.04785675913385</c:v>
                </c:pt>
                <c:pt idx="6">
                  <c:v>35.795153696030148</c:v>
                </c:pt>
                <c:pt idx="7">
                  <c:v>34.277145936987928</c:v>
                </c:pt>
                <c:pt idx="8">
                  <c:v>32.450122129211202</c:v>
                </c:pt>
                <c:pt idx="9">
                  <c:v>30.616479651037967</c:v>
                </c:pt>
                <c:pt idx="10">
                  <c:v>27.231612343510875</c:v>
                </c:pt>
                <c:pt idx="11">
                  <c:v>24.29533977123555</c:v>
                </c:pt>
                <c:pt idx="12">
                  <c:v>21.712618895112762</c:v>
                </c:pt>
                <c:pt idx="13">
                  <c:v>19.437001843227065</c:v>
                </c:pt>
                <c:pt idx="14">
                  <c:v>17.412145094424822</c:v>
                </c:pt>
                <c:pt idx="15">
                  <c:v>15.79438768463997</c:v>
                </c:pt>
                <c:pt idx="16">
                  <c:v>14.317964503941077</c:v>
                </c:pt>
                <c:pt idx="17">
                  <c:v>12.916745404824182</c:v>
                </c:pt>
                <c:pt idx="18">
                  <c:v>11.49392874960953</c:v>
                </c:pt>
                <c:pt idx="19">
                  <c:v>10.120770194838411</c:v>
                </c:pt>
                <c:pt idx="20">
                  <c:v>9.2769832197665565</c:v>
                </c:pt>
                <c:pt idx="21">
                  <c:v>8.423794852235611</c:v>
                </c:pt>
                <c:pt idx="22">
                  <c:v>7.5737867505500613</c:v>
                </c:pt>
                <c:pt idx="23">
                  <c:v>6.7268925417355208</c:v>
                </c:pt>
                <c:pt idx="24">
                  <c:v>5.879770205593271</c:v>
                </c:pt>
                <c:pt idx="25">
                  <c:v>5.045206943444259</c:v>
                </c:pt>
                <c:pt idx="26">
                  <c:v>4.2019523425861598</c:v>
                </c:pt>
                <c:pt idx="27">
                  <c:v>3.3607714828779232</c:v>
                </c:pt>
                <c:pt idx="28">
                  <c:v>2.5213262790560584</c:v>
                </c:pt>
                <c:pt idx="29">
                  <c:v>1.6862964099628364</c:v>
                </c:pt>
              </c:numCache>
            </c:numRef>
          </c:val>
          <c:smooth val="0"/>
          <c:extLst>
            <c:ext xmlns:c16="http://schemas.microsoft.com/office/drawing/2014/chart" uri="{C3380CC4-5D6E-409C-BE32-E72D297353CC}">
              <c16:uniqueId val="{00000003-3F71-421E-B352-890834059D5B}"/>
            </c:ext>
          </c:extLst>
        </c:ser>
        <c:dLbls>
          <c:showLegendKey val="0"/>
          <c:showVal val="0"/>
          <c:showCatName val="0"/>
          <c:showSerName val="0"/>
          <c:showPercent val="0"/>
          <c:showBubbleSize val="0"/>
        </c:dLbls>
        <c:smooth val="0"/>
        <c:axId val="1613600287"/>
        <c:axId val="1613617087"/>
      </c:lineChart>
      <c:catAx>
        <c:axId val="161360028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613617087"/>
        <c:crosses val="autoZero"/>
        <c:auto val="1"/>
        <c:lblAlgn val="ctr"/>
        <c:lblOffset val="100"/>
        <c:noMultiLvlLbl val="0"/>
      </c:catAx>
      <c:valAx>
        <c:axId val="1613617087"/>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613600287"/>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Corrected</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VCdata!$H$45</c:f>
              <c:strCache>
                <c:ptCount val="1"/>
                <c:pt idx="0">
                  <c:v>Passenger cars</c:v>
                </c:pt>
              </c:strCache>
            </c:strRef>
          </c:tx>
          <c:spPr>
            <a:ln w="28575" cap="rnd">
              <a:solidFill>
                <a:schemeClr val="accent1"/>
              </a:solidFill>
              <a:round/>
            </a:ln>
            <a:effectLst/>
          </c:spPr>
          <c:marker>
            <c:symbol val="none"/>
          </c:marker>
          <c:val>
            <c:numRef>
              <c:f>VCdata!$I$45:$AW$45</c:f>
              <c:numCache>
                <c:formatCode>General</c:formatCode>
                <c:ptCount val="30"/>
                <c:pt idx="1">
                  <c:v>32.799458699072275</c:v>
                </c:pt>
                <c:pt idx="2">
                  <c:v>32.799458699072275</c:v>
                </c:pt>
                <c:pt idx="3">
                  <c:v>32.464157595067405</c:v>
                </c:pt>
                <c:pt idx="4">
                  <c:v>32.464157595067405</c:v>
                </c:pt>
                <c:pt idx="5">
                  <c:v>32.151170825207132</c:v>
                </c:pt>
                <c:pt idx="6">
                  <c:v>31.401544197149661</c:v>
                </c:pt>
                <c:pt idx="7">
                  <c:v>30.493234916729904</c:v>
                </c:pt>
                <c:pt idx="8">
                  <c:v>29.329126928001084</c:v>
                </c:pt>
                <c:pt idx="9">
                  <c:v>28.120945960789452</c:v>
                </c:pt>
                <c:pt idx="10">
                  <c:v>25.3795449422262</c:v>
                </c:pt>
                <c:pt idx="11">
                  <c:v>22.767751797084408</c:v>
                </c:pt>
                <c:pt idx="12">
                  <c:v>20.554498205504551</c:v>
                </c:pt>
                <c:pt idx="13">
                  <c:v>18.500564325862399</c:v>
                </c:pt>
                <c:pt idx="14">
                  <c:v>16.691364687139075</c:v>
                </c:pt>
                <c:pt idx="15">
                  <c:v>15.233107272477572</c:v>
                </c:pt>
                <c:pt idx="16">
                  <c:v>13.837272127588674</c:v>
                </c:pt>
                <c:pt idx="17">
                  <c:v>12.502557475136197</c:v>
                </c:pt>
                <c:pt idx="18">
                  <c:v>11.171010843210103</c:v>
                </c:pt>
                <c:pt idx="19">
                  <c:v>9.8531201616499775</c:v>
                </c:pt>
                <c:pt idx="20">
                  <c:v>9.0069602765590613</c:v>
                </c:pt>
                <c:pt idx="21">
                  <c:v>8.1702799197616116</c:v>
                </c:pt>
                <c:pt idx="22">
                  <c:v>7.3395733407333337</c:v>
                </c:pt>
                <c:pt idx="23">
                  <c:v>6.5140057517230057</c:v>
                </c:pt>
                <c:pt idx="24">
                  <c:v>5.6895271446334723</c:v>
                </c:pt>
                <c:pt idx="25">
                  <c:v>4.8664966435682651</c:v>
                </c:pt>
                <c:pt idx="26">
                  <c:v>4.0471375682652617</c:v>
                </c:pt>
                <c:pt idx="27">
                  <c:v>3.2313179133204781</c:v>
                </c:pt>
                <c:pt idx="28">
                  <c:v>2.4179384672031845</c:v>
                </c:pt>
                <c:pt idx="29">
                  <c:v>1.6103876465787832</c:v>
                </c:pt>
              </c:numCache>
            </c:numRef>
          </c:val>
          <c:smooth val="0"/>
          <c:extLst>
            <c:ext xmlns:c16="http://schemas.microsoft.com/office/drawing/2014/chart" uri="{C3380CC4-5D6E-409C-BE32-E72D297353CC}">
              <c16:uniqueId val="{00000000-BCA3-4202-BF53-8B11BEA4816A}"/>
            </c:ext>
          </c:extLst>
        </c:ser>
        <c:ser>
          <c:idx val="1"/>
          <c:order val="1"/>
          <c:tx>
            <c:strRef>
              <c:f>VCdata!$H$46</c:f>
              <c:strCache>
                <c:ptCount val="1"/>
                <c:pt idx="0">
                  <c:v>Passenger cars</c:v>
                </c:pt>
              </c:strCache>
            </c:strRef>
          </c:tx>
          <c:spPr>
            <a:ln w="28575" cap="rnd">
              <a:solidFill>
                <a:schemeClr val="accent2"/>
              </a:solidFill>
              <a:round/>
            </a:ln>
            <a:effectLst/>
          </c:spPr>
          <c:marker>
            <c:symbol val="none"/>
          </c:marker>
          <c:val>
            <c:numRef>
              <c:f>VCdata!$I$46:$AW$46</c:f>
              <c:numCache>
                <c:formatCode>General</c:formatCode>
                <c:ptCount val="30"/>
                <c:pt idx="1">
                  <c:v>43.219753786618455</c:v>
                </c:pt>
                <c:pt idx="2">
                  <c:v>43.219753786618455</c:v>
                </c:pt>
                <c:pt idx="3">
                  <c:v>43.219753786618455</c:v>
                </c:pt>
                <c:pt idx="4">
                  <c:v>43.219753786618455</c:v>
                </c:pt>
                <c:pt idx="5">
                  <c:v>42.314571326905245</c:v>
                </c:pt>
                <c:pt idx="6">
                  <c:v>40.693178823369792</c:v>
                </c:pt>
                <c:pt idx="7">
                  <c:v>38.614279435249252</c:v>
                </c:pt>
                <c:pt idx="8">
                  <c:v>35.960405882207397</c:v>
                </c:pt>
                <c:pt idx="9">
                  <c:v>33.489235382608214</c:v>
                </c:pt>
                <c:pt idx="10">
                  <c:v>29.409707658799501</c:v>
                </c:pt>
                <c:pt idx="11">
                  <c:v>25.688932642965625</c:v>
                </c:pt>
                <c:pt idx="12">
                  <c:v>22.557411602039185</c:v>
                </c:pt>
                <c:pt idx="13">
                  <c:v>20.012689094960496</c:v>
                </c:pt>
                <c:pt idx="14">
                  <c:v>17.835980066777797</c:v>
                </c:pt>
                <c:pt idx="15">
                  <c:v>16.148894849486684</c:v>
                </c:pt>
                <c:pt idx="16">
                  <c:v>14.583071508833861</c:v>
                </c:pt>
                <c:pt idx="17">
                  <c:v>13.088810796584651</c:v>
                </c:pt>
                <c:pt idx="18">
                  <c:v>11.52289959025445</c:v>
                </c:pt>
                <c:pt idx="19">
                  <c:v>10.111223203116145</c:v>
                </c:pt>
                <c:pt idx="20">
                  <c:v>9.2377304652800571</c:v>
                </c:pt>
                <c:pt idx="21">
                  <c:v>8.3737854014295827</c:v>
                </c:pt>
                <c:pt idx="22">
                  <c:v>7.5159709256629386</c:v>
                </c:pt>
                <c:pt idx="23">
                  <c:v>6.6634672821163061</c:v>
                </c:pt>
                <c:pt idx="24">
                  <c:v>5.8120612872913462</c:v>
                </c:pt>
                <c:pt idx="25">
                  <c:v>4.9621878273558497</c:v>
                </c:pt>
                <c:pt idx="26">
                  <c:v>4.116154118475702</c:v>
                </c:pt>
                <c:pt idx="27">
                  <c:v>3.2738167100813693</c:v>
                </c:pt>
                <c:pt idx="28">
                  <c:v>2.4341124796920006</c:v>
                </c:pt>
                <c:pt idx="29">
                  <c:v>1.6002956529359043</c:v>
                </c:pt>
              </c:numCache>
            </c:numRef>
          </c:val>
          <c:smooth val="0"/>
          <c:extLst>
            <c:ext xmlns:c16="http://schemas.microsoft.com/office/drawing/2014/chart" uri="{C3380CC4-5D6E-409C-BE32-E72D297353CC}">
              <c16:uniqueId val="{00000001-BCA3-4202-BF53-8B11BEA4816A}"/>
            </c:ext>
          </c:extLst>
        </c:ser>
        <c:ser>
          <c:idx val="2"/>
          <c:order val="2"/>
          <c:tx>
            <c:strRef>
              <c:f>VCdata!$H$47</c:f>
              <c:strCache>
                <c:ptCount val="1"/>
                <c:pt idx="0">
                  <c:v>Passenger cars</c:v>
                </c:pt>
              </c:strCache>
            </c:strRef>
          </c:tx>
          <c:spPr>
            <a:ln w="28575" cap="rnd">
              <a:solidFill>
                <a:schemeClr val="accent3"/>
              </a:solidFill>
              <a:round/>
            </a:ln>
            <a:effectLst/>
          </c:spPr>
          <c:marker>
            <c:symbol val="none"/>
          </c:marker>
          <c:val>
            <c:numRef>
              <c:f>VCdata!$I$47:$AW$47</c:f>
              <c:numCache>
                <c:formatCode>General</c:formatCode>
                <c:ptCount val="30"/>
                <c:pt idx="1">
                  <c:v>37.713064117150346</c:v>
                </c:pt>
                <c:pt idx="2">
                  <c:v>37.713064117150346</c:v>
                </c:pt>
                <c:pt idx="3">
                  <c:v>37.713064117150346</c:v>
                </c:pt>
                <c:pt idx="4">
                  <c:v>37.713064117150346</c:v>
                </c:pt>
                <c:pt idx="5">
                  <c:v>37.713064117150346</c:v>
                </c:pt>
                <c:pt idx="6">
                  <c:v>37.713064117150346</c:v>
                </c:pt>
                <c:pt idx="7">
                  <c:v>35.332286061234164</c:v>
                </c:pt>
                <c:pt idx="8">
                  <c:v>33.109636194533074</c:v>
                </c:pt>
                <c:pt idx="9">
                  <c:v>30.823056812926879</c:v>
                </c:pt>
                <c:pt idx="10">
                  <c:v>27.776586321480387</c:v>
                </c:pt>
                <c:pt idx="11">
                  <c:v>25.280267896459605</c:v>
                </c:pt>
                <c:pt idx="12">
                  <c:v>22.733308906143996</c:v>
                </c:pt>
                <c:pt idx="13">
                  <c:v>20.386090089452036</c:v>
                </c:pt>
                <c:pt idx="14">
                  <c:v>18.144128154433993</c:v>
                </c:pt>
                <c:pt idx="15">
                  <c:v>16.440510136028195</c:v>
                </c:pt>
                <c:pt idx="16">
                  <c:v>14.903269778521739</c:v>
                </c:pt>
                <c:pt idx="17">
                  <c:v>13.476425062737817</c:v>
                </c:pt>
                <c:pt idx="18">
                  <c:v>12.046416180010205</c:v>
                </c:pt>
                <c:pt idx="19">
                  <c:v>10.609792797668984</c:v>
                </c:pt>
                <c:pt idx="20">
                  <c:v>9.7322577369043994</c:v>
                </c:pt>
                <c:pt idx="21">
                  <c:v>8.8547873753783115</c:v>
                </c:pt>
                <c:pt idx="22">
                  <c:v>7.9781547761260567</c:v>
                </c:pt>
                <c:pt idx="23">
                  <c:v>7.101187841948092</c:v>
                </c:pt>
                <c:pt idx="24">
                  <c:v>6.2244007209730539</c:v>
                </c:pt>
                <c:pt idx="25">
                  <c:v>5.3481512267224014</c:v>
                </c:pt>
                <c:pt idx="26">
                  <c:v>4.4729711788710178</c:v>
                </c:pt>
                <c:pt idx="27">
                  <c:v>3.5982301810646695</c:v>
                </c:pt>
                <c:pt idx="28">
                  <c:v>2.7244515242532317</c:v>
                </c:pt>
                <c:pt idx="29">
                  <c:v>1.8522327466329538</c:v>
                </c:pt>
              </c:numCache>
            </c:numRef>
          </c:val>
          <c:smooth val="0"/>
          <c:extLst>
            <c:ext xmlns:c16="http://schemas.microsoft.com/office/drawing/2014/chart" uri="{C3380CC4-5D6E-409C-BE32-E72D297353CC}">
              <c16:uniqueId val="{00000002-BCA3-4202-BF53-8B11BEA4816A}"/>
            </c:ext>
          </c:extLst>
        </c:ser>
        <c:ser>
          <c:idx val="3"/>
          <c:order val="3"/>
          <c:tx>
            <c:strRef>
              <c:f>VCdata!$H$48</c:f>
              <c:strCache>
                <c:ptCount val="1"/>
                <c:pt idx="0">
                  <c:v>Passenger cars</c:v>
                </c:pt>
              </c:strCache>
            </c:strRef>
          </c:tx>
          <c:spPr>
            <a:ln w="28575" cap="rnd">
              <a:solidFill>
                <a:schemeClr val="accent4"/>
              </a:solidFill>
              <a:round/>
            </a:ln>
            <a:effectLst/>
          </c:spPr>
          <c:marker>
            <c:symbol val="none"/>
          </c:marker>
          <c:val>
            <c:numRef>
              <c:f>VCdata!$I$48:$AW$48</c:f>
              <c:numCache>
                <c:formatCode>General</c:formatCode>
                <c:ptCount val="30"/>
                <c:pt idx="1">
                  <c:v>36.437405362357495</c:v>
                </c:pt>
                <c:pt idx="2">
                  <c:v>36.437405362357495</c:v>
                </c:pt>
                <c:pt idx="3">
                  <c:v>36.246522041724837</c:v>
                </c:pt>
                <c:pt idx="4">
                  <c:v>36.246522041724837</c:v>
                </c:pt>
                <c:pt idx="5">
                  <c:v>36.04785675913385</c:v>
                </c:pt>
                <c:pt idx="6">
                  <c:v>35.795153696030148</c:v>
                </c:pt>
                <c:pt idx="7">
                  <c:v>34.277145936987928</c:v>
                </c:pt>
                <c:pt idx="8">
                  <c:v>32.450122129211202</c:v>
                </c:pt>
                <c:pt idx="9">
                  <c:v>30.616479651037967</c:v>
                </c:pt>
                <c:pt idx="10">
                  <c:v>27.231612343510875</c:v>
                </c:pt>
                <c:pt idx="11">
                  <c:v>24.29533977123555</c:v>
                </c:pt>
                <c:pt idx="12">
                  <c:v>21.712618895112762</c:v>
                </c:pt>
                <c:pt idx="13">
                  <c:v>19.437001843227065</c:v>
                </c:pt>
                <c:pt idx="14">
                  <c:v>17.412145094424822</c:v>
                </c:pt>
                <c:pt idx="15">
                  <c:v>15.79438768463997</c:v>
                </c:pt>
                <c:pt idx="16">
                  <c:v>14.317964503941077</c:v>
                </c:pt>
                <c:pt idx="17">
                  <c:v>12.916745404824182</c:v>
                </c:pt>
                <c:pt idx="18">
                  <c:v>11.49392874960953</c:v>
                </c:pt>
                <c:pt idx="19">
                  <c:v>10.120770194838411</c:v>
                </c:pt>
                <c:pt idx="20">
                  <c:v>9.2769832197665565</c:v>
                </c:pt>
                <c:pt idx="21">
                  <c:v>8.423794852235611</c:v>
                </c:pt>
                <c:pt idx="22">
                  <c:v>7.5737867505500613</c:v>
                </c:pt>
                <c:pt idx="23">
                  <c:v>6.7268925417355208</c:v>
                </c:pt>
                <c:pt idx="24">
                  <c:v>5.879770205593271</c:v>
                </c:pt>
                <c:pt idx="25">
                  <c:v>5.045206943444259</c:v>
                </c:pt>
                <c:pt idx="26">
                  <c:v>4.2019523425861598</c:v>
                </c:pt>
                <c:pt idx="27">
                  <c:v>3.3607714828779232</c:v>
                </c:pt>
                <c:pt idx="28">
                  <c:v>2.5213262790560584</c:v>
                </c:pt>
                <c:pt idx="29">
                  <c:v>1.6862964099628364</c:v>
                </c:pt>
              </c:numCache>
            </c:numRef>
          </c:val>
          <c:smooth val="0"/>
          <c:extLst>
            <c:ext xmlns:c16="http://schemas.microsoft.com/office/drawing/2014/chart" uri="{C3380CC4-5D6E-409C-BE32-E72D297353CC}">
              <c16:uniqueId val="{00000003-BCA3-4202-BF53-8B11BEA4816A}"/>
            </c:ext>
          </c:extLst>
        </c:ser>
        <c:dLbls>
          <c:showLegendKey val="0"/>
          <c:showVal val="0"/>
          <c:showCatName val="0"/>
          <c:showSerName val="0"/>
          <c:showPercent val="0"/>
          <c:showBubbleSize val="0"/>
        </c:dLbls>
        <c:smooth val="0"/>
        <c:axId val="1613600287"/>
        <c:axId val="1613617087"/>
      </c:lineChart>
      <c:catAx>
        <c:axId val="161360028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613617087"/>
        <c:crosses val="autoZero"/>
        <c:auto val="1"/>
        <c:lblAlgn val="ctr"/>
        <c:lblOffset val="100"/>
        <c:noMultiLvlLbl val="0"/>
      </c:catAx>
      <c:valAx>
        <c:axId val="1613617087"/>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613600287"/>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Comparison!$B$6</c:f>
          <c:strCache>
            <c:ptCount val="1"/>
            <c:pt idx="0">
              <c:v>WTW emissions intensity LDV</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1"/>
          <c:order val="0"/>
          <c:tx>
            <c:strRef>
              <c:f>Comparison!$B$7</c:f>
              <c:strCache>
                <c:ptCount val="1"/>
                <c:pt idx="0">
                  <c:v>Advanced</c:v>
                </c:pt>
              </c:strCache>
            </c:strRef>
          </c:tx>
          <c:spPr>
            <a:ln w="28575" cap="rnd">
              <a:solidFill>
                <a:schemeClr val="accent2"/>
              </a:solidFill>
              <a:round/>
            </a:ln>
            <a:effectLst/>
          </c:spPr>
          <c:marker>
            <c:symbol val="none"/>
          </c:marker>
          <c:cat>
            <c:numRef>
              <c:f>Comparison!$C$6:$AQ$6</c:f>
              <c:numCache>
                <c:formatCode>General</c:formatCode>
                <c:ptCount val="41"/>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pt idx="16">
                  <c:v>2026</c:v>
                </c:pt>
                <c:pt idx="17">
                  <c:v>2027</c:v>
                </c:pt>
                <c:pt idx="18">
                  <c:v>2028</c:v>
                </c:pt>
                <c:pt idx="19">
                  <c:v>2029</c:v>
                </c:pt>
                <c:pt idx="20">
                  <c:v>2030</c:v>
                </c:pt>
                <c:pt idx="21">
                  <c:v>2031</c:v>
                </c:pt>
                <c:pt idx="22">
                  <c:v>2032</c:v>
                </c:pt>
                <c:pt idx="23">
                  <c:v>2033</c:v>
                </c:pt>
                <c:pt idx="24">
                  <c:v>2034</c:v>
                </c:pt>
                <c:pt idx="25">
                  <c:v>2035</c:v>
                </c:pt>
                <c:pt idx="26">
                  <c:v>2036</c:v>
                </c:pt>
                <c:pt idx="27">
                  <c:v>2037</c:v>
                </c:pt>
                <c:pt idx="28">
                  <c:v>2038</c:v>
                </c:pt>
                <c:pt idx="29">
                  <c:v>2039</c:v>
                </c:pt>
                <c:pt idx="30">
                  <c:v>2040</c:v>
                </c:pt>
                <c:pt idx="31">
                  <c:v>2041</c:v>
                </c:pt>
                <c:pt idx="32">
                  <c:v>2042</c:v>
                </c:pt>
                <c:pt idx="33">
                  <c:v>2043</c:v>
                </c:pt>
                <c:pt idx="34">
                  <c:v>2044</c:v>
                </c:pt>
                <c:pt idx="35">
                  <c:v>2045</c:v>
                </c:pt>
                <c:pt idx="36">
                  <c:v>2046</c:v>
                </c:pt>
                <c:pt idx="37">
                  <c:v>2047</c:v>
                </c:pt>
                <c:pt idx="38">
                  <c:v>2048</c:v>
                </c:pt>
                <c:pt idx="39">
                  <c:v>2049</c:v>
                </c:pt>
                <c:pt idx="40">
                  <c:v>2050</c:v>
                </c:pt>
              </c:numCache>
            </c:numRef>
          </c:cat>
          <c:val>
            <c:numRef>
              <c:f>Comparison!$C$7:$AQ$7</c:f>
              <c:numCache>
                <c:formatCode>General</c:formatCode>
                <c:ptCount val="41"/>
                <c:pt idx="0">
                  <c:v>340.30075256954802</c:v>
                </c:pt>
                <c:pt idx="1">
                  <c:v>335.37497123501601</c:v>
                </c:pt>
                <c:pt idx="2">
                  <c:v>343.63343525830197</c:v>
                </c:pt>
                <c:pt idx="3">
                  <c:v>348.16283241518101</c:v>
                </c:pt>
                <c:pt idx="4">
                  <c:v>326.72583100087098</c:v>
                </c:pt>
                <c:pt idx="5">
                  <c:v>316.20581249728002</c:v>
                </c:pt>
                <c:pt idx="6">
                  <c:v>310.81146132921799</c:v>
                </c:pt>
                <c:pt idx="7">
                  <c:v>316.89668143311098</c:v>
                </c:pt>
                <c:pt idx="8">
                  <c:v>289.60928509321502</c:v>
                </c:pt>
                <c:pt idx="9">
                  <c:v>287.18794343757003</c:v>
                </c:pt>
                <c:pt idx="10">
                  <c:v>287.73256143562003</c:v>
                </c:pt>
                <c:pt idx="11">
                  <c:v>289.04919651703801</c:v>
                </c:pt>
                <c:pt idx="12">
                  <c:v>275.10654315324001</c:v>
                </c:pt>
                <c:pt idx="13">
                  <c:v>271.48373718553802</c:v>
                </c:pt>
                <c:pt idx="14">
                  <c:v>272.552121229043</c:v>
                </c:pt>
                <c:pt idx="15">
                  <c:v>217.36878332154001</c:v>
                </c:pt>
                <c:pt idx="16">
                  <c:v>191.927654746961</c:v>
                </c:pt>
                <c:pt idx="17">
                  <c:v>165.59616070912</c:v>
                </c:pt>
                <c:pt idx="18">
                  <c:v>132.21622316924899</c:v>
                </c:pt>
                <c:pt idx="19">
                  <c:v>104.613947281604</c:v>
                </c:pt>
                <c:pt idx="20">
                  <c:v>81.754819378508799</c:v>
                </c:pt>
                <c:pt idx="21">
                  <c:v>58.24682815757</c:v>
                </c:pt>
                <c:pt idx="22">
                  <c:v>36.229757807218398</c:v>
                </c:pt>
                <c:pt idx="23">
                  <c:v>26.690551567513801</c:v>
                </c:pt>
                <c:pt idx="24">
                  <c:v>17.877985219193</c:v>
                </c:pt>
                <c:pt idx="25">
                  <c:v>15.952021455648399</c:v>
                </c:pt>
                <c:pt idx="26">
                  <c:v>13.751851233476801</c:v>
                </c:pt>
                <c:pt idx="27">
                  <c:v>12.137853074393201</c:v>
                </c:pt>
                <c:pt idx="28">
                  <c:v>10.661707512978801</c:v>
                </c:pt>
                <c:pt idx="29">
                  <c:v>9.3339374344665007</c:v>
                </c:pt>
                <c:pt idx="30">
                  <c:v>8.1030105306981302</c:v>
                </c:pt>
                <c:pt idx="31">
                  <c:v>7.2910062630343599</c:v>
                </c:pt>
                <c:pt idx="32">
                  <c:v>6.2318155037137801</c:v>
                </c:pt>
                <c:pt idx="33">
                  <c:v>5.5738195553430803</c:v>
                </c:pt>
                <c:pt idx="34">
                  <c:v>4.6666213140707899</c:v>
                </c:pt>
                <c:pt idx="35">
                  <c:v>4.1218259732884697</c:v>
                </c:pt>
                <c:pt idx="36">
                  <c:v>3.6114017418548499</c:v>
                </c:pt>
                <c:pt idx="37">
                  <c:v>3.1835135116688802</c:v>
                </c:pt>
                <c:pt idx="38">
                  <c:v>2.7528223208160201</c:v>
                </c:pt>
                <c:pt idx="39">
                  <c:v>2.5870085112394698</c:v>
                </c:pt>
                <c:pt idx="40">
                  <c:v>2.24146618824778</c:v>
                </c:pt>
              </c:numCache>
            </c:numRef>
          </c:val>
          <c:smooth val="0"/>
          <c:extLst>
            <c:ext xmlns:c16="http://schemas.microsoft.com/office/drawing/2014/chart" uri="{C3380CC4-5D6E-409C-BE32-E72D297353CC}">
              <c16:uniqueId val="{00000001-8121-4E95-91BF-D981B7AC4239}"/>
            </c:ext>
          </c:extLst>
        </c:ser>
        <c:ser>
          <c:idx val="2"/>
          <c:order val="1"/>
          <c:tx>
            <c:strRef>
              <c:f>Comparison!$B$8</c:f>
              <c:strCache>
                <c:ptCount val="1"/>
                <c:pt idx="0">
                  <c:v>China</c:v>
                </c:pt>
              </c:strCache>
            </c:strRef>
          </c:tx>
          <c:spPr>
            <a:ln w="28575" cap="rnd">
              <a:solidFill>
                <a:schemeClr val="accent3"/>
              </a:solidFill>
              <a:round/>
            </a:ln>
            <a:effectLst/>
          </c:spPr>
          <c:marker>
            <c:symbol val="none"/>
          </c:marker>
          <c:cat>
            <c:numRef>
              <c:f>Comparison!$C$6:$AQ$6</c:f>
              <c:numCache>
                <c:formatCode>General</c:formatCode>
                <c:ptCount val="41"/>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pt idx="16">
                  <c:v>2026</c:v>
                </c:pt>
                <c:pt idx="17">
                  <c:v>2027</c:v>
                </c:pt>
                <c:pt idx="18">
                  <c:v>2028</c:v>
                </c:pt>
                <c:pt idx="19">
                  <c:v>2029</c:v>
                </c:pt>
                <c:pt idx="20">
                  <c:v>2030</c:v>
                </c:pt>
                <c:pt idx="21">
                  <c:v>2031</c:v>
                </c:pt>
                <c:pt idx="22">
                  <c:v>2032</c:v>
                </c:pt>
                <c:pt idx="23">
                  <c:v>2033</c:v>
                </c:pt>
                <c:pt idx="24">
                  <c:v>2034</c:v>
                </c:pt>
                <c:pt idx="25">
                  <c:v>2035</c:v>
                </c:pt>
                <c:pt idx="26">
                  <c:v>2036</c:v>
                </c:pt>
                <c:pt idx="27">
                  <c:v>2037</c:v>
                </c:pt>
                <c:pt idx="28">
                  <c:v>2038</c:v>
                </c:pt>
                <c:pt idx="29">
                  <c:v>2039</c:v>
                </c:pt>
                <c:pt idx="30">
                  <c:v>2040</c:v>
                </c:pt>
                <c:pt idx="31">
                  <c:v>2041</c:v>
                </c:pt>
                <c:pt idx="32">
                  <c:v>2042</c:v>
                </c:pt>
                <c:pt idx="33">
                  <c:v>2043</c:v>
                </c:pt>
                <c:pt idx="34">
                  <c:v>2044</c:v>
                </c:pt>
                <c:pt idx="35">
                  <c:v>2045</c:v>
                </c:pt>
                <c:pt idx="36">
                  <c:v>2046</c:v>
                </c:pt>
                <c:pt idx="37">
                  <c:v>2047</c:v>
                </c:pt>
                <c:pt idx="38">
                  <c:v>2048</c:v>
                </c:pt>
                <c:pt idx="39">
                  <c:v>2049</c:v>
                </c:pt>
                <c:pt idx="40">
                  <c:v>2050</c:v>
                </c:pt>
              </c:numCache>
            </c:numRef>
          </c:cat>
          <c:val>
            <c:numRef>
              <c:f>Comparison!$C$8:$AQ$8</c:f>
              <c:numCache>
                <c:formatCode>General</c:formatCode>
                <c:ptCount val="41"/>
                <c:pt idx="0">
                  <c:v>279.71071118901102</c:v>
                </c:pt>
                <c:pt idx="1">
                  <c:v>270.690849053786</c:v>
                </c:pt>
                <c:pt idx="2">
                  <c:v>258.65906757035799</c:v>
                </c:pt>
                <c:pt idx="3">
                  <c:v>259.20695447402699</c:v>
                </c:pt>
                <c:pt idx="4">
                  <c:v>255.591118429777</c:v>
                </c:pt>
                <c:pt idx="5">
                  <c:v>253.807955376873</c:v>
                </c:pt>
                <c:pt idx="6">
                  <c:v>248.39016572365699</c:v>
                </c:pt>
                <c:pt idx="7">
                  <c:v>237.48843913906299</c:v>
                </c:pt>
                <c:pt idx="8">
                  <c:v>224.25216231674199</c:v>
                </c:pt>
                <c:pt idx="9">
                  <c:v>221.84776188751101</c:v>
                </c:pt>
                <c:pt idx="10">
                  <c:v>218.85526937020899</c:v>
                </c:pt>
                <c:pt idx="11">
                  <c:v>215.60416456457401</c:v>
                </c:pt>
                <c:pt idx="12">
                  <c:v>211.12072817692399</c:v>
                </c:pt>
                <c:pt idx="13">
                  <c:v>208.449458129546</c:v>
                </c:pt>
                <c:pt idx="14">
                  <c:v>205.85695683715801</c:v>
                </c:pt>
                <c:pt idx="15">
                  <c:v>190.405187777778</c:v>
                </c:pt>
                <c:pt idx="16">
                  <c:v>173.43706235294101</c:v>
                </c:pt>
                <c:pt idx="17">
                  <c:v>155.90169131560901</c:v>
                </c:pt>
                <c:pt idx="18">
                  <c:v>132.70891217778501</c:v>
                </c:pt>
                <c:pt idx="19">
                  <c:v>112.006838891134</c:v>
                </c:pt>
                <c:pt idx="20">
                  <c:v>93.4606080586357</c:v>
                </c:pt>
                <c:pt idx="21">
                  <c:v>74.597139288292396</c:v>
                </c:pt>
                <c:pt idx="22">
                  <c:v>57.051329583805199</c:v>
                </c:pt>
                <c:pt idx="23">
                  <c:v>45.612352784440397</c:v>
                </c:pt>
                <c:pt idx="24">
                  <c:v>34.902000000000001</c:v>
                </c:pt>
                <c:pt idx="25">
                  <c:v>30.565999999999999</c:v>
                </c:pt>
                <c:pt idx="26">
                  <c:v>27.108000000000001</c:v>
                </c:pt>
                <c:pt idx="27">
                  <c:v>23.422000000000001</c:v>
                </c:pt>
                <c:pt idx="28">
                  <c:v>20.52</c:v>
                </c:pt>
                <c:pt idx="29">
                  <c:v>18.228000000000002</c:v>
                </c:pt>
                <c:pt idx="30">
                  <c:v>15.694000000000001</c:v>
                </c:pt>
                <c:pt idx="31">
                  <c:v>13.79</c:v>
                </c:pt>
                <c:pt idx="32">
                  <c:v>12</c:v>
                </c:pt>
                <c:pt idx="33">
                  <c:v>10.71</c:v>
                </c:pt>
                <c:pt idx="34">
                  <c:v>9.52</c:v>
                </c:pt>
                <c:pt idx="35">
                  <c:v>8.1</c:v>
                </c:pt>
                <c:pt idx="36">
                  <c:v>7.0839999999999996</c:v>
                </c:pt>
                <c:pt idx="37">
                  <c:v>6.1740000000000004</c:v>
                </c:pt>
                <c:pt idx="38">
                  <c:v>5.6</c:v>
                </c:pt>
                <c:pt idx="39">
                  <c:v>4.7880000000000003</c:v>
                </c:pt>
                <c:pt idx="40">
                  <c:v>4.3179999999999996</c:v>
                </c:pt>
              </c:numCache>
            </c:numRef>
          </c:val>
          <c:smooth val="0"/>
          <c:extLst>
            <c:ext xmlns:c16="http://schemas.microsoft.com/office/drawing/2014/chart" uri="{C3380CC4-5D6E-409C-BE32-E72D297353CC}">
              <c16:uniqueId val="{00000002-8121-4E95-91BF-D981B7AC4239}"/>
            </c:ext>
          </c:extLst>
        </c:ser>
        <c:ser>
          <c:idx val="3"/>
          <c:order val="2"/>
          <c:tx>
            <c:strRef>
              <c:f>Comparison!$B$9</c:f>
              <c:strCache>
                <c:ptCount val="1"/>
                <c:pt idx="0">
                  <c:v>EMDE</c:v>
                </c:pt>
              </c:strCache>
            </c:strRef>
          </c:tx>
          <c:spPr>
            <a:ln w="28575" cap="rnd">
              <a:solidFill>
                <a:schemeClr val="accent4"/>
              </a:solidFill>
              <a:round/>
            </a:ln>
            <a:effectLst/>
          </c:spPr>
          <c:marker>
            <c:symbol val="none"/>
          </c:marker>
          <c:cat>
            <c:numRef>
              <c:f>Comparison!$C$6:$AQ$6</c:f>
              <c:numCache>
                <c:formatCode>General</c:formatCode>
                <c:ptCount val="41"/>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pt idx="16">
                  <c:v>2026</c:v>
                </c:pt>
                <c:pt idx="17">
                  <c:v>2027</c:v>
                </c:pt>
                <c:pt idx="18">
                  <c:v>2028</c:v>
                </c:pt>
                <c:pt idx="19">
                  <c:v>2029</c:v>
                </c:pt>
                <c:pt idx="20">
                  <c:v>2030</c:v>
                </c:pt>
                <c:pt idx="21">
                  <c:v>2031</c:v>
                </c:pt>
                <c:pt idx="22">
                  <c:v>2032</c:v>
                </c:pt>
                <c:pt idx="23">
                  <c:v>2033</c:v>
                </c:pt>
                <c:pt idx="24">
                  <c:v>2034</c:v>
                </c:pt>
                <c:pt idx="25">
                  <c:v>2035</c:v>
                </c:pt>
                <c:pt idx="26">
                  <c:v>2036</c:v>
                </c:pt>
                <c:pt idx="27">
                  <c:v>2037</c:v>
                </c:pt>
                <c:pt idx="28">
                  <c:v>2038</c:v>
                </c:pt>
                <c:pt idx="29">
                  <c:v>2039</c:v>
                </c:pt>
                <c:pt idx="30">
                  <c:v>2040</c:v>
                </c:pt>
                <c:pt idx="31">
                  <c:v>2041</c:v>
                </c:pt>
                <c:pt idx="32">
                  <c:v>2042</c:v>
                </c:pt>
                <c:pt idx="33">
                  <c:v>2043</c:v>
                </c:pt>
                <c:pt idx="34">
                  <c:v>2044</c:v>
                </c:pt>
                <c:pt idx="35">
                  <c:v>2045</c:v>
                </c:pt>
                <c:pt idx="36">
                  <c:v>2046</c:v>
                </c:pt>
                <c:pt idx="37">
                  <c:v>2047</c:v>
                </c:pt>
                <c:pt idx="38">
                  <c:v>2048</c:v>
                </c:pt>
                <c:pt idx="39">
                  <c:v>2049</c:v>
                </c:pt>
                <c:pt idx="40">
                  <c:v>2050</c:v>
                </c:pt>
              </c:numCache>
            </c:numRef>
          </c:cat>
          <c:val>
            <c:numRef>
              <c:f>Comparison!$C$9:$AQ$9</c:f>
              <c:numCache>
                <c:formatCode>General</c:formatCode>
                <c:ptCount val="41"/>
                <c:pt idx="0">
                  <c:v>232.55034620154299</c:v>
                </c:pt>
                <c:pt idx="1">
                  <c:v>233.881231011789</c:v>
                </c:pt>
                <c:pt idx="2">
                  <c:v>227.04902694891001</c:v>
                </c:pt>
                <c:pt idx="3">
                  <c:v>224.03679930621701</c:v>
                </c:pt>
                <c:pt idx="4">
                  <c:v>235.11290209153401</c:v>
                </c:pt>
                <c:pt idx="5">
                  <c:v>229.33356779492601</c:v>
                </c:pt>
                <c:pt idx="6">
                  <c:v>216.508369821646</c:v>
                </c:pt>
                <c:pt idx="7">
                  <c:v>213.59076625620301</c:v>
                </c:pt>
                <c:pt idx="8">
                  <c:v>239.43156326405401</c:v>
                </c:pt>
                <c:pt idx="9">
                  <c:v>237.83052712298399</c:v>
                </c:pt>
                <c:pt idx="10">
                  <c:v>234.01740814231101</c:v>
                </c:pt>
                <c:pt idx="11">
                  <c:v>231.66398529401499</c:v>
                </c:pt>
                <c:pt idx="12">
                  <c:v>230.67485174981999</c:v>
                </c:pt>
                <c:pt idx="13">
                  <c:v>228.83711957713101</c:v>
                </c:pt>
                <c:pt idx="14">
                  <c:v>229.31889841096299</c:v>
                </c:pt>
                <c:pt idx="15">
                  <c:v>196.66144857414301</c:v>
                </c:pt>
                <c:pt idx="16">
                  <c:v>183.75232296700401</c:v>
                </c:pt>
                <c:pt idx="17">
                  <c:v>167.45273824658801</c:v>
                </c:pt>
                <c:pt idx="18">
                  <c:v>147.80120052752801</c:v>
                </c:pt>
                <c:pt idx="19">
                  <c:v>129.97383319564099</c:v>
                </c:pt>
                <c:pt idx="20">
                  <c:v>113.757152565564</c:v>
                </c:pt>
                <c:pt idx="21">
                  <c:v>98.882406970798201</c:v>
                </c:pt>
                <c:pt idx="22">
                  <c:v>84.199787741482396</c:v>
                </c:pt>
                <c:pt idx="23">
                  <c:v>72.648958138113301</c:v>
                </c:pt>
                <c:pt idx="24">
                  <c:v>61.852271824987199</c:v>
                </c:pt>
                <c:pt idx="25">
                  <c:v>50.900247109480901</c:v>
                </c:pt>
                <c:pt idx="26">
                  <c:v>40.809848733947597</c:v>
                </c:pt>
                <c:pt idx="27">
                  <c:v>31.136482638039599</c:v>
                </c:pt>
                <c:pt idx="28">
                  <c:v>22.380672947654698</c:v>
                </c:pt>
                <c:pt idx="29">
                  <c:v>16.853170695442302</c:v>
                </c:pt>
                <c:pt idx="30">
                  <c:v>11.7861195884706</c:v>
                </c:pt>
                <c:pt idx="31">
                  <c:v>10.4797101805199</c:v>
                </c:pt>
                <c:pt idx="32">
                  <c:v>9.2056111992744505</c:v>
                </c:pt>
                <c:pt idx="33">
                  <c:v>7.9898496883312999</c:v>
                </c:pt>
                <c:pt idx="34">
                  <c:v>7.0262481417144498</c:v>
                </c:pt>
                <c:pt idx="35">
                  <c:v>6.1518380416241598</c:v>
                </c:pt>
                <c:pt idx="36">
                  <c:v>5.3630382139753801</c:v>
                </c:pt>
                <c:pt idx="37">
                  <c:v>4.80208384942883</c:v>
                </c:pt>
                <c:pt idx="38">
                  <c:v>4.2034708252154402</c:v>
                </c:pt>
                <c:pt idx="39">
                  <c:v>3.61768192448839</c:v>
                </c:pt>
                <c:pt idx="40">
                  <c:v>3.1551110598868699</c:v>
                </c:pt>
              </c:numCache>
            </c:numRef>
          </c:val>
          <c:smooth val="0"/>
          <c:extLst>
            <c:ext xmlns:c16="http://schemas.microsoft.com/office/drawing/2014/chart" uri="{C3380CC4-5D6E-409C-BE32-E72D297353CC}">
              <c16:uniqueId val="{00000003-8121-4E95-91BF-D981B7AC4239}"/>
            </c:ext>
          </c:extLst>
        </c:ser>
        <c:ser>
          <c:idx val="4"/>
          <c:order val="3"/>
          <c:tx>
            <c:strRef>
              <c:f>Comparison!$B$10</c:f>
              <c:strCache>
                <c:ptCount val="1"/>
                <c:pt idx="0">
                  <c:v>Global</c:v>
                </c:pt>
              </c:strCache>
            </c:strRef>
          </c:tx>
          <c:spPr>
            <a:ln w="28575" cap="rnd">
              <a:solidFill>
                <a:schemeClr val="accent5"/>
              </a:solidFill>
              <a:round/>
            </a:ln>
            <a:effectLst/>
          </c:spPr>
          <c:marker>
            <c:symbol val="none"/>
          </c:marker>
          <c:cat>
            <c:numRef>
              <c:f>Comparison!$C$6:$AQ$6</c:f>
              <c:numCache>
                <c:formatCode>General</c:formatCode>
                <c:ptCount val="41"/>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pt idx="16">
                  <c:v>2026</c:v>
                </c:pt>
                <c:pt idx="17">
                  <c:v>2027</c:v>
                </c:pt>
                <c:pt idx="18">
                  <c:v>2028</c:v>
                </c:pt>
                <c:pt idx="19">
                  <c:v>2029</c:v>
                </c:pt>
                <c:pt idx="20">
                  <c:v>2030</c:v>
                </c:pt>
                <c:pt idx="21">
                  <c:v>2031</c:v>
                </c:pt>
                <c:pt idx="22">
                  <c:v>2032</c:v>
                </c:pt>
                <c:pt idx="23">
                  <c:v>2033</c:v>
                </c:pt>
                <c:pt idx="24">
                  <c:v>2034</c:v>
                </c:pt>
                <c:pt idx="25">
                  <c:v>2035</c:v>
                </c:pt>
                <c:pt idx="26">
                  <c:v>2036</c:v>
                </c:pt>
                <c:pt idx="27">
                  <c:v>2037</c:v>
                </c:pt>
                <c:pt idx="28">
                  <c:v>2038</c:v>
                </c:pt>
                <c:pt idx="29">
                  <c:v>2039</c:v>
                </c:pt>
                <c:pt idx="30">
                  <c:v>2040</c:v>
                </c:pt>
                <c:pt idx="31">
                  <c:v>2041</c:v>
                </c:pt>
                <c:pt idx="32">
                  <c:v>2042</c:v>
                </c:pt>
                <c:pt idx="33">
                  <c:v>2043</c:v>
                </c:pt>
                <c:pt idx="34">
                  <c:v>2044</c:v>
                </c:pt>
                <c:pt idx="35">
                  <c:v>2045</c:v>
                </c:pt>
                <c:pt idx="36">
                  <c:v>2046</c:v>
                </c:pt>
                <c:pt idx="37">
                  <c:v>2047</c:v>
                </c:pt>
                <c:pt idx="38">
                  <c:v>2048</c:v>
                </c:pt>
                <c:pt idx="39">
                  <c:v>2049</c:v>
                </c:pt>
                <c:pt idx="40">
                  <c:v>2050</c:v>
                </c:pt>
              </c:numCache>
            </c:numRef>
          </c:cat>
          <c:val>
            <c:numRef>
              <c:f>Comparison!$C$10:$AQ$10</c:f>
              <c:numCache>
                <c:formatCode>General</c:formatCode>
                <c:ptCount val="41"/>
                <c:pt idx="0">
                  <c:v>302.843358405054</c:v>
                </c:pt>
                <c:pt idx="1">
                  <c:v>299.342689311171</c:v>
                </c:pt>
                <c:pt idx="2">
                  <c:v>298.93173774982699</c:v>
                </c:pt>
                <c:pt idx="3">
                  <c:v>304.14121107782501</c:v>
                </c:pt>
                <c:pt idx="4">
                  <c:v>294.10490701978699</c:v>
                </c:pt>
                <c:pt idx="5">
                  <c:v>287.71343541769801</c:v>
                </c:pt>
                <c:pt idx="6">
                  <c:v>282.25174166420402</c:v>
                </c:pt>
                <c:pt idx="7">
                  <c:v>283.21265588833103</c:v>
                </c:pt>
                <c:pt idx="8">
                  <c:v>268.88118009632097</c:v>
                </c:pt>
                <c:pt idx="9">
                  <c:v>266.06524544219099</c:v>
                </c:pt>
                <c:pt idx="10">
                  <c:v>263.930296613672</c:v>
                </c:pt>
                <c:pt idx="11">
                  <c:v>277.04526903134598</c:v>
                </c:pt>
                <c:pt idx="12">
                  <c:v>260.95961323490201</c:v>
                </c:pt>
                <c:pt idx="13">
                  <c:v>257.493178828721</c:v>
                </c:pt>
                <c:pt idx="14">
                  <c:v>258.289079672095</c:v>
                </c:pt>
                <c:pt idx="15">
                  <c:v>211.37712554481899</c:v>
                </c:pt>
                <c:pt idx="16">
                  <c:v>187.96679971389901</c:v>
                </c:pt>
                <c:pt idx="17">
                  <c:v>164.17564720061301</c:v>
                </c:pt>
                <c:pt idx="18">
                  <c:v>134.426607373563</c:v>
                </c:pt>
                <c:pt idx="19">
                  <c:v>109.497711448091</c:v>
                </c:pt>
                <c:pt idx="20">
                  <c:v>88.125862880659497</c:v>
                </c:pt>
                <c:pt idx="21">
                  <c:v>66.917173778236503</c:v>
                </c:pt>
                <c:pt idx="22">
                  <c:v>46.930251840469303</c:v>
                </c:pt>
                <c:pt idx="23">
                  <c:v>36.952784637224298</c:v>
                </c:pt>
                <c:pt idx="24">
                  <c:v>27.586559567610699</c:v>
                </c:pt>
                <c:pt idx="25">
                  <c:v>23.843453734008801</c:v>
                </c:pt>
                <c:pt idx="26">
                  <c:v>20.215585198349899</c:v>
                </c:pt>
                <c:pt idx="27">
                  <c:v>17.031719408237699</c:v>
                </c:pt>
                <c:pt idx="28">
                  <c:v>14.1928727493219</c:v>
                </c:pt>
                <c:pt idx="29">
                  <c:v>12.0405194920294</c:v>
                </c:pt>
                <c:pt idx="30">
                  <c:v>9.9776488394367</c:v>
                </c:pt>
                <c:pt idx="31">
                  <c:v>8.8441383818707209</c:v>
                </c:pt>
                <c:pt idx="32">
                  <c:v>7.6264548417738602</c:v>
                </c:pt>
                <c:pt idx="33">
                  <c:v>6.7779652737811897</c:v>
                </c:pt>
                <c:pt idx="34">
                  <c:v>5.8150368114845099</c:v>
                </c:pt>
                <c:pt idx="35">
                  <c:v>5.0767665524380101</c:v>
                </c:pt>
                <c:pt idx="36">
                  <c:v>4.4425175570198903</c:v>
                </c:pt>
                <c:pt idx="37">
                  <c:v>3.9146745080329102</c:v>
                </c:pt>
                <c:pt idx="38">
                  <c:v>3.43473035452288</c:v>
                </c:pt>
                <c:pt idx="39">
                  <c:v>3.0999615877960398</c:v>
                </c:pt>
                <c:pt idx="40">
                  <c:v>2.7152177589126798</c:v>
                </c:pt>
              </c:numCache>
            </c:numRef>
          </c:val>
          <c:smooth val="0"/>
          <c:extLst>
            <c:ext xmlns:c16="http://schemas.microsoft.com/office/drawing/2014/chart" uri="{C3380CC4-5D6E-409C-BE32-E72D297353CC}">
              <c16:uniqueId val="{00000004-8121-4E95-91BF-D981B7AC4239}"/>
            </c:ext>
          </c:extLst>
        </c:ser>
        <c:ser>
          <c:idx val="5"/>
          <c:order val="4"/>
          <c:tx>
            <c:strRef>
              <c:f>Comparison!$B$11</c:f>
              <c:strCache>
                <c:ptCount val="1"/>
                <c:pt idx="0">
                  <c:v>Legacy WTW (B2DS)</c:v>
                </c:pt>
              </c:strCache>
            </c:strRef>
          </c:tx>
          <c:spPr>
            <a:ln w="28575" cap="rnd">
              <a:solidFill>
                <a:srgbClr val="FF0000"/>
              </a:solidFill>
              <a:prstDash val="sysDash"/>
              <a:round/>
            </a:ln>
            <a:effectLst/>
          </c:spPr>
          <c:marker>
            <c:symbol val="none"/>
          </c:marker>
          <c:cat>
            <c:numRef>
              <c:f>Comparison!$C$6:$AQ$6</c:f>
              <c:numCache>
                <c:formatCode>General</c:formatCode>
                <c:ptCount val="41"/>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pt idx="16">
                  <c:v>2026</c:v>
                </c:pt>
                <c:pt idx="17">
                  <c:v>2027</c:v>
                </c:pt>
                <c:pt idx="18">
                  <c:v>2028</c:v>
                </c:pt>
                <c:pt idx="19">
                  <c:v>2029</c:v>
                </c:pt>
                <c:pt idx="20">
                  <c:v>2030</c:v>
                </c:pt>
                <c:pt idx="21">
                  <c:v>2031</c:v>
                </c:pt>
                <c:pt idx="22">
                  <c:v>2032</c:v>
                </c:pt>
                <c:pt idx="23">
                  <c:v>2033</c:v>
                </c:pt>
                <c:pt idx="24">
                  <c:v>2034</c:v>
                </c:pt>
                <c:pt idx="25">
                  <c:v>2035</c:v>
                </c:pt>
                <c:pt idx="26">
                  <c:v>2036</c:v>
                </c:pt>
                <c:pt idx="27">
                  <c:v>2037</c:v>
                </c:pt>
                <c:pt idx="28">
                  <c:v>2038</c:v>
                </c:pt>
                <c:pt idx="29">
                  <c:v>2039</c:v>
                </c:pt>
                <c:pt idx="30">
                  <c:v>2040</c:v>
                </c:pt>
                <c:pt idx="31">
                  <c:v>2041</c:v>
                </c:pt>
                <c:pt idx="32">
                  <c:v>2042</c:v>
                </c:pt>
                <c:pt idx="33">
                  <c:v>2043</c:v>
                </c:pt>
                <c:pt idx="34">
                  <c:v>2044</c:v>
                </c:pt>
                <c:pt idx="35">
                  <c:v>2045</c:v>
                </c:pt>
                <c:pt idx="36">
                  <c:v>2046</c:v>
                </c:pt>
                <c:pt idx="37">
                  <c:v>2047</c:v>
                </c:pt>
                <c:pt idx="38">
                  <c:v>2048</c:v>
                </c:pt>
                <c:pt idx="39">
                  <c:v>2049</c:v>
                </c:pt>
                <c:pt idx="40">
                  <c:v>2050</c:v>
                </c:pt>
              </c:numCache>
            </c:numRef>
          </c:cat>
          <c:val>
            <c:numRef>
              <c:f>Comparison!$C$11:$AQ$11</c:f>
              <c:numCache>
                <c:formatCode>General</c:formatCode>
                <c:ptCount val="41"/>
                <c:pt idx="0">
                  <c:v>221.78746307046302</c:v>
                </c:pt>
                <c:pt idx="1">
                  <c:v>219.48117848393764</c:v>
                </c:pt>
                <c:pt idx="2">
                  <c:v>217.17489389741226</c:v>
                </c:pt>
                <c:pt idx="3">
                  <c:v>214.86860931088688</c:v>
                </c:pt>
                <c:pt idx="4">
                  <c:v>212.5623247243615</c:v>
                </c:pt>
                <c:pt idx="5">
                  <c:v>210.25604013783612</c:v>
                </c:pt>
                <c:pt idx="6">
                  <c:v>198.27239179276123</c:v>
                </c:pt>
                <c:pt idx="7">
                  <c:v>186.28874344768633</c:v>
                </c:pt>
                <c:pt idx="8">
                  <c:v>174.30509510261146</c:v>
                </c:pt>
                <c:pt idx="9">
                  <c:v>162.32144675753656</c:v>
                </c:pt>
                <c:pt idx="10">
                  <c:v>150.33779841246167</c:v>
                </c:pt>
                <c:pt idx="11">
                  <c:v>147.13312548786433</c:v>
                </c:pt>
                <c:pt idx="12">
                  <c:v>143.92845256326703</c:v>
                </c:pt>
                <c:pt idx="13">
                  <c:v>140.7237796386697</c:v>
                </c:pt>
                <c:pt idx="14">
                  <c:v>137.51910671407239</c:v>
                </c:pt>
                <c:pt idx="15">
                  <c:v>134.31443378947506</c:v>
                </c:pt>
                <c:pt idx="16">
                  <c:v>131.09462859952592</c:v>
                </c:pt>
                <c:pt idx="17">
                  <c:v>127.87482340957679</c:v>
                </c:pt>
                <c:pt idx="18">
                  <c:v>124.65501821962766</c:v>
                </c:pt>
                <c:pt idx="19">
                  <c:v>121.43521302967852</c:v>
                </c:pt>
                <c:pt idx="20">
                  <c:v>118.21540783972939</c:v>
                </c:pt>
                <c:pt idx="21">
                  <c:v>112.80705098087475</c:v>
                </c:pt>
                <c:pt idx="22">
                  <c:v>107.3986941220201</c:v>
                </c:pt>
                <c:pt idx="23">
                  <c:v>101.99033726316546</c:v>
                </c:pt>
                <c:pt idx="24">
                  <c:v>96.581980404310798</c:v>
                </c:pt>
                <c:pt idx="25">
                  <c:v>91.173623545456152</c:v>
                </c:pt>
                <c:pt idx="26">
                  <c:v>85.740560474128117</c:v>
                </c:pt>
                <c:pt idx="27">
                  <c:v>80.307497402800081</c:v>
                </c:pt>
                <c:pt idx="28">
                  <c:v>74.874434331472045</c:v>
                </c:pt>
                <c:pt idx="29">
                  <c:v>69.44137126014401</c:v>
                </c:pt>
                <c:pt idx="30">
                  <c:v>64.008308188815974</c:v>
                </c:pt>
                <c:pt idx="31">
                  <c:v>59.550485485533969</c:v>
                </c:pt>
                <c:pt idx="32">
                  <c:v>55.092662782251956</c:v>
                </c:pt>
                <c:pt idx="33">
                  <c:v>50.634840078969951</c:v>
                </c:pt>
                <c:pt idx="34">
                  <c:v>46.177017375687939</c:v>
                </c:pt>
                <c:pt idx="35">
                  <c:v>41.719194672405933</c:v>
                </c:pt>
                <c:pt idx="36">
                  <c:v>38.955824766841815</c:v>
                </c:pt>
                <c:pt idx="37">
                  <c:v>36.192454861277696</c:v>
                </c:pt>
                <c:pt idx="38">
                  <c:v>33.429084955713577</c:v>
                </c:pt>
                <c:pt idx="39">
                  <c:v>30.665715050149458</c:v>
                </c:pt>
                <c:pt idx="40">
                  <c:v>27.90234514458534</c:v>
                </c:pt>
              </c:numCache>
            </c:numRef>
          </c:val>
          <c:smooth val="0"/>
          <c:extLst>
            <c:ext xmlns:c16="http://schemas.microsoft.com/office/drawing/2014/chart" uri="{C3380CC4-5D6E-409C-BE32-E72D297353CC}">
              <c16:uniqueId val="{00000005-8121-4E95-91BF-D981B7AC4239}"/>
            </c:ext>
          </c:extLst>
        </c:ser>
        <c:ser>
          <c:idx val="0"/>
          <c:order val="5"/>
          <c:tx>
            <c:strRef>
              <c:f>Comparison!$B$12</c:f>
              <c:strCache>
                <c:ptCount val="1"/>
                <c:pt idx="0">
                  <c:v>Test case 1</c:v>
                </c:pt>
              </c:strCache>
            </c:strRef>
          </c:tx>
          <c:spPr>
            <a:ln w="19050" cap="rnd">
              <a:solidFill>
                <a:srgbClr val="7030A0"/>
              </a:solidFill>
              <a:prstDash val="sysDot"/>
              <a:round/>
            </a:ln>
            <a:effectLst/>
          </c:spPr>
          <c:marker>
            <c:symbol val="circle"/>
            <c:size val="5"/>
            <c:spPr>
              <a:solidFill>
                <a:schemeClr val="accent1"/>
              </a:solidFill>
              <a:ln w="25400">
                <a:solidFill>
                  <a:schemeClr val="accent1"/>
                </a:solidFill>
              </a:ln>
              <a:effectLst/>
            </c:spPr>
          </c:marker>
          <c:dPt>
            <c:idx val="15"/>
            <c:marker>
              <c:symbol val="circle"/>
              <c:size val="5"/>
              <c:spPr>
                <a:solidFill>
                  <a:schemeClr val="accent1"/>
                </a:solidFill>
                <a:ln w="31750">
                  <a:solidFill>
                    <a:schemeClr val="accent1"/>
                  </a:solidFill>
                </a:ln>
                <a:effectLst/>
              </c:spPr>
            </c:marker>
            <c:bubble3D val="0"/>
            <c:spPr>
              <a:ln w="28575" cap="rnd">
                <a:solidFill>
                  <a:srgbClr val="7030A0"/>
                </a:solidFill>
                <a:prstDash val="sysDot"/>
                <a:round/>
              </a:ln>
              <a:effectLst/>
            </c:spPr>
            <c:extLst>
              <c:ext xmlns:c16="http://schemas.microsoft.com/office/drawing/2014/chart" uri="{C3380CC4-5D6E-409C-BE32-E72D297353CC}">
                <c16:uniqueId val="{0000000A-8121-4E95-91BF-D981B7AC4239}"/>
              </c:ext>
            </c:extLst>
          </c:dPt>
          <c:dLbls>
            <c:dLbl>
              <c:idx val="20"/>
              <c:layout>
                <c:manualLayout>
                  <c:x val="2.141014871700795E-2"/>
                  <c:y val="-9.9695389735125498E-2"/>
                </c:manualLayout>
              </c:layout>
              <c:numFmt formatCode="#,##0.00" sourceLinked="0"/>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n-US"/>
                </a:p>
              </c:txPr>
              <c:showLegendKey val="0"/>
              <c:showVal val="1"/>
              <c:showCatName val="1"/>
              <c:showSerName val="0"/>
              <c:showPercent val="0"/>
              <c:showBubbleSize val="0"/>
              <c:extLst>
                <c:ext xmlns:c15="http://schemas.microsoft.com/office/drawing/2012/chart" uri="{CE6537A1-D6FC-4f65-9D91-7224C49458BB}">
                  <c15:spPr xmlns:c15="http://schemas.microsoft.com/office/drawing/2012/chart">
                    <a:prstGeom prst="wedgeRectCallout">
                      <a:avLst/>
                    </a:prstGeom>
                    <a:noFill/>
                    <a:ln>
                      <a:noFill/>
                    </a:ln>
                  </c15:spPr>
                </c:ext>
                <c:ext xmlns:c16="http://schemas.microsoft.com/office/drawing/2014/chart" uri="{C3380CC4-5D6E-409C-BE32-E72D297353CC}">
                  <c16:uniqueId val="{0000000B-8121-4E95-91BF-D981B7AC4239}"/>
                </c:ext>
              </c:extLst>
            </c:dLbl>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15:spPr xmlns:c15="http://schemas.microsoft.com/office/drawing/2012/chart">
                  <a:prstGeom prst="wedgeRectCallout">
                    <a:avLst/>
                  </a:prstGeom>
                  <a:noFill/>
                  <a:ln>
                    <a:noFill/>
                  </a:ln>
                </c15:spPr>
                <c15:showLeaderLines val="0"/>
              </c:ext>
            </c:extLst>
          </c:dLbls>
          <c:cat>
            <c:numRef>
              <c:f>Comparison!$C$6:$AQ$6</c:f>
              <c:numCache>
                <c:formatCode>General</c:formatCode>
                <c:ptCount val="41"/>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pt idx="16">
                  <c:v>2026</c:v>
                </c:pt>
                <c:pt idx="17">
                  <c:v>2027</c:v>
                </c:pt>
                <c:pt idx="18">
                  <c:v>2028</c:v>
                </c:pt>
                <c:pt idx="19">
                  <c:v>2029</c:v>
                </c:pt>
                <c:pt idx="20">
                  <c:v>2030</c:v>
                </c:pt>
                <c:pt idx="21">
                  <c:v>2031</c:v>
                </c:pt>
                <c:pt idx="22">
                  <c:v>2032</c:v>
                </c:pt>
                <c:pt idx="23">
                  <c:v>2033</c:v>
                </c:pt>
                <c:pt idx="24">
                  <c:v>2034</c:v>
                </c:pt>
                <c:pt idx="25">
                  <c:v>2035</c:v>
                </c:pt>
                <c:pt idx="26">
                  <c:v>2036</c:v>
                </c:pt>
                <c:pt idx="27">
                  <c:v>2037</c:v>
                </c:pt>
                <c:pt idx="28">
                  <c:v>2038</c:v>
                </c:pt>
                <c:pt idx="29">
                  <c:v>2039</c:v>
                </c:pt>
                <c:pt idx="30">
                  <c:v>2040</c:v>
                </c:pt>
                <c:pt idx="31">
                  <c:v>2041</c:v>
                </c:pt>
                <c:pt idx="32">
                  <c:v>2042</c:v>
                </c:pt>
                <c:pt idx="33">
                  <c:v>2043</c:v>
                </c:pt>
                <c:pt idx="34">
                  <c:v>2044</c:v>
                </c:pt>
                <c:pt idx="35">
                  <c:v>2045</c:v>
                </c:pt>
                <c:pt idx="36">
                  <c:v>2046</c:v>
                </c:pt>
                <c:pt idx="37">
                  <c:v>2047</c:v>
                </c:pt>
                <c:pt idx="38">
                  <c:v>2048</c:v>
                </c:pt>
                <c:pt idx="39">
                  <c:v>2049</c:v>
                </c:pt>
                <c:pt idx="40">
                  <c:v>2050</c:v>
                </c:pt>
              </c:numCache>
            </c:numRef>
          </c:cat>
          <c:val>
            <c:numRef>
              <c:f>Comparison!$C$12:$AQ$12</c:f>
              <c:numCache>
                <c:formatCode>General</c:formatCode>
                <c:ptCount val="41"/>
                <c:pt idx="8">
                  <c:v>268.88118009632097</c:v>
                </c:pt>
                <c:pt idx="15">
                  <c:v>132.65</c:v>
                </c:pt>
                <c:pt idx="20">
                  <c:v>107.49326946410154</c:v>
                </c:pt>
                <c:pt idx="30">
                  <c:v>50.085527269979693</c:v>
                </c:pt>
                <c:pt idx="40">
                  <c:v>27.90234514458534</c:v>
                </c:pt>
              </c:numCache>
            </c:numRef>
          </c:val>
          <c:smooth val="0"/>
          <c:extLst>
            <c:ext xmlns:c16="http://schemas.microsoft.com/office/drawing/2014/chart" uri="{C3380CC4-5D6E-409C-BE32-E72D297353CC}">
              <c16:uniqueId val="{00000007-8121-4E95-91BF-D981B7AC4239}"/>
            </c:ext>
          </c:extLst>
        </c:ser>
        <c:dLbls>
          <c:showLegendKey val="0"/>
          <c:showVal val="0"/>
          <c:showCatName val="0"/>
          <c:showSerName val="0"/>
          <c:showPercent val="0"/>
          <c:showBubbleSize val="0"/>
        </c:dLbls>
        <c:smooth val="0"/>
        <c:axId val="347675535"/>
        <c:axId val="347658735"/>
      </c:lineChart>
      <c:catAx>
        <c:axId val="34767553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47658735"/>
        <c:crosses val="autoZero"/>
        <c:auto val="1"/>
        <c:lblAlgn val="ctr"/>
        <c:lblOffset val="100"/>
        <c:tickLblSkip val="5"/>
        <c:noMultiLvlLbl val="0"/>
      </c:catAx>
      <c:valAx>
        <c:axId val="347658735"/>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47675535"/>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span"/>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Comparison!$B$6</c:f>
          <c:strCache>
            <c:ptCount val="1"/>
            <c:pt idx="0">
              <c:v>WTW emissions intensity LDV</c:v>
            </c:pt>
          </c:strCache>
        </c:strRef>
      </c:tx>
      <c:overlay val="0"/>
      <c:spPr>
        <a:noFill/>
        <a:ln>
          <a:noFill/>
        </a:ln>
        <a:effectLst/>
      </c:spPr>
      <c:txPr>
        <a:bodyPr rot="0" spcFirstLastPara="1" vertOverflow="ellipsis" vert="horz" wrap="square" anchor="ctr" anchorCtr="1"/>
        <a:lstStyle/>
        <a:p>
          <a:pPr>
            <a:defRPr lang="en-US" sz="1200" b="0" i="0" u="none" strike="noStrike" kern="1200" spc="0" baseline="0">
              <a:solidFill>
                <a:schemeClr val="tx1"/>
              </a:solidFill>
              <a:latin typeface="+mn-lt"/>
              <a:ea typeface="+mn-ea"/>
              <a:cs typeface="+mn-cs"/>
            </a:defRPr>
          </a:pPr>
          <a:endParaRPr lang="en-US"/>
        </a:p>
      </c:txPr>
    </c:title>
    <c:autoTitleDeleted val="0"/>
    <c:plotArea>
      <c:layout/>
      <c:lineChart>
        <c:grouping val="standard"/>
        <c:varyColors val="0"/>
        <c:ser>
          <c:idx val="1"/>
          <c:order val="0"/>
          <c:tx>
            <c:strRef>
              <c:f>Comparison!$B$40</c:f>
              <c:strCache>
                <c:ptCount val="1"/>
                <c:pt idx="0">
                  <c:v>Advanced</c:v>
                </c:pt>
              </c:strCache>
            </c:strRef>
          </c:tx>
          <c:spPr>
            <a:ln w="28575" cap="rnd">
              <a:solidFill>
                <a:schemeClr val="accent2"/>
              </a:solidFill>
              <a:round/>
            </a:ln>
            <a:effectLst/>
          </c:spPr>
          <c:marker>
            <c:symbol val="none"/>
          </c:marker>
          <c:cat>
            <c:numRef>
              <c:f>Comparison!$C$6:$AQ$6</c:f>
              <c:numCache>
                <c:formatCode>General</c:formatCode>
                <c:ptCount val="41"/>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pt idx="16">
                  <c:v>2026</c:v>
                </c:pt>
                <c:pt idx="17">
                  <c:v>2027</c:v>
                </c:pt>
                <c:pt idx="18">
                  <c:v>2028</c:v>
                </c:pt>
                <c:pt idx="19">
                  <c:v>2029</c:v>
                </c:pt>
                <c:pt idx="20">
                  <c:v>2030</c:v>
                </c:pt>
                <c:pt idx="21">
                  <c:v>2031</c:v>
                </c:pt>
                <c:pt idx="22">
                  <c:v>2032</c:v>
                </c:pt>
                <c:pt idx="23">
                  <c:v>2033</c:v>
                </c:pt>
                <c:pt idx="24">
                  <c:v>2034</c:v>
                </c:pt>
                <c:pt idx="25">
                  <c:v>2035</c:v>
                </c:pt>
                <c:pt idx="26">
                  <c:v>2036</c:v>
                </c:pt>
                <c:pt idx="27">
                  <c:v>2037</c:v>
                </c:pt>
                <c:pt idx="28">
                  <c:v>2038</c:v>
                </c:pt>
                <c:pt idx="29">
                  <c:v>2039</c:v>
                </c:pt>
                <c:pt idx="30">
                  <c:v>2040</c:v>
                </c:pt>
                <c:pt idx="31">
                  <c:v>2041</c:v>
                </c:pt>
                <c:pt idx="32">
                  <c:v>2042</c:v>
                </c:pt>
                <c:pt idx="33">
                  <c:v>2043</c:v>
                </c:pt>
                <c:pt idx="34">
                  <c:v>2044</c:v>
                </c:pt>
                <c:pt idx="35">
                  <c:v>2045</c:v>
                </c:pt>
                <c:pt idx="36">
                  <c:v>2046</c:v>
                </c:pt>
                <c:pt idx="37">
                  <c:v>2047</c:v>
                </c:pt>
                <c:pt idx="38">
                  <c:v>2048</c:v>
                </c:pt>
                <c:pt idx="39">
                  <c:v>2049</c:v>
                </c:pt>
                <c:pt idx="40">
                  <c:v>2050</c:v>
                </c:pt>
              </c:numCache>
            </c:numRef>
          </c:cat>
          <c:val>
            <c:numRef>
              <c:f>Comparison!$C$40:$AQ$40</c:f>
              <c:numCache>
                <c:formatCode>General</c:formatCode>
                <c:ptCount val="41"/>
                <c:pt idx="0">
                  <c:v>261.07568290944147</c:v>
                </c:pt>
                <c:pt idx="1">
                  <c:v>260.16535182239909</c:v>
                </c:pt>
                <c:pt idx="2">
                  <c:v>255.29151448592049</c:v>
                </c:pt>
                <c:pt idx="3">
                  <c:v>255.01145752690707</c:v>
                </c:pt>
                <c:pt idx="4">
                  <c:v>249.53040535484061</c:v>
                </c:pt>
                <c:pt idx="5">
                  <c:v>248.86306937555864</c:v>
                </c:pt>
                <c:pt idx="6">
                  <c:v>248.60716092272358</c:v>
                </c:pt>
                <c:pt idx="7">
                  <c:v>250.01979433186656</c:v>
                </c:pt>
                <c:pt idx="8">
                  <c:v>238.73058348078573</c:v>
                </c:pt>
                <c:pt idx="9">
                  <c:v>235.93468477095647</c:v>
                </c:pt>
                <c:pt idx="10">
                  <c:v>232.14998753297175</c:v>
                </c:pt>
                <c:pt idx="11">
                  <c:v>215.62348128573672</c:v>
                </c:pt>
                <c:pt idx="12">
                  <c:v>221.29898819996367</c:v>
                </c:pt>
                <c:pt idx="13">
                  <c:v>217.33601871485342</c:v>
                </c:pt>
                <c:pt idx="14">
                  <c:v>213.76394176787156</c:v>
                </c:pt>
                <c:pt idx="15">
                  <c:v>167.57476675842426</c:v>
                </c:pt>
                <c:pt idx="16">
                  <c:v>139.95352338331097</c:v>
                </c:pt>
                <c:pt idx="17">
                  <c:v>111.02840578537005</c:v>
                </c:pt>
                <c:pt idx="18">
                  <c:v>82.219394440830385</c:v>
                </c:pt>
                <c:pt idx="19">
                  <c:v>51.733234900405726</c:v>
                </c:pt>
                <c:pt idx="20">
                  <c:v>26.611125851299789</c:v>
                </c:pt>
                <c:pt idx="21">
                  <c:v>22.932413319214955</c:v>
                </c:pt>
                <c:pt idx="22">
                  <c:v>19.80485717711872</c:v>
                </c:pt>
                <c:pt idx="23">
                  <c:v>17.32107126833402</c:v>
                </c:pt>
                <c:pt idx="24">
                  <c:v>15.114270809549843</c:v>
                </c:pt>
                <c:pt idx="25">
                  <c:v>13.329420126049902</c:v>
                </c:pt>
                <c:pt idx="26">
                  <c:v>11.463697186043525</c:v>
                </c:pt>
                <c:pt idx="27">
                  <c:v>10.049531523435171</c:v>
                </c:pt>
                <c:pt idx="28">
                  <c:v>8.7171681124704374</c:v>
                </c:pt>
                <c:pt idx="29">
                  <c:v>7.6520309782847624</c:v>
                </c:pt>
                <c:pt idx="30">
                  <c:v>6.6407650236304141</c:v>
                </c:pt>
                <c:pt idx="31">
                  <c:v>5.7922618019932797</c:v>
                </c:pt>
                <c:pt idx="32">
                  <c:v>5.0072695241543856</c:v>
                </c:pt>
                <c:pt idx="33">
                  <c:v>4.4248765424397396</c:v>
                </c:pt>
                <c:pt idx="34">
                  <c:v>3.7581542388609939</c:v>
                </c:pt>
                <c:pt idx="35">
                  <c:v>3.2710660179735922</c:v>
                </c:pt>
                <c:pt idx="36">
                  <c:v>2.8481980576211545</c:v>
                </c:pt>
                <c:pt idx="37">
                  <c:v>2.52657474622404</c:v>
                </c:pt>
                <c:pt idx="38">
                  <c:v>2.1706066839001892</c:v>
                </c:pt>
                <c:pt idx="39">
                  <c:v>1.9601356445024503</c:v>
                </c:pt>
                <c:pt idx="40">
                  <c:v>1.7106363774012181</c:v>
                </c:pt>
              </c:numCache>
            </c:numRef>
          </c:val>
          <c:smooth val="0"/>
          <c:extLst>
            <c:ext xmlns:c16="http://schemas.microsoft.com/office/drawing/2014/chart" uri="{C3380CC4-5D6E-409C-BE32-E72D297353CC}">
              <c16:uniqueId val="{00000000-EB85-431B-8CE5-FD121F90E53E}"/>
            </c:ext>
          </c:extLst>
        </c:ser>
        <c:ser>
          <c:idx val="2"/>
          <c:order val="1"/>
          <c:tx>
            <c:strRef>
              <c:f>Comparison!$B$41</c:f>
              <c:strCache>
                <c:ptCount val="1"/>
                <c:pt idx="0">
                  <c:v>China</c:v>
                </c:pt>
              </c:strCache>
            </c:strRef>
          </c:tx>
          <c:spPr>
            <a:ln w="28575" cap="rnd">
              <a:solidFill>
                <a:schemeClr val="accent3"/>
              </a:solidFill>
              <a:round/>
            </a:ln>
            <a:effectLst/>
          </c:spPr>
          <c:marker>
            <c:symbol val="none"/>
          </c:marker>
          <c:cat>
            <c:numRef>
              <c:f>Comparison!$C$6:$AQ$6</c:f>
              <c:numCache>
                <c:formatCode>General</c:formatCode>
                <c:ptCount val="41"/>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pt idx="16">
                  <c:v>2026</c:v>
                </c:pt>
                <c:pt idx="17">
                  <c:v>2027</c:v>
                </c:pt>
                <c:pt idx="18">
                  <c:v>2028</c:v>
                </c:pt>
                <c:pt idx="19">
                  <c:v>2029</c:v>
                </c:pt>
                <c:pt idx="20">
                  <c:v>2030</c:v>
                </c:pt>
                <c:pt idx="21">
                  <c:v>2031</c:v>
                </c:pt>
                <c:pt idx="22">
                  <c:v>2032</c:v>
                </c:pt>
                <c:pt idx="23">
                  <c:v>2033</c:v>
                </c:pt>
                <c:pt idx="24">
                  <c:v>2034</c:v>
                </c:pt>
                <c:pt idx="25">
                  <c:v>2035</c:v>
                </c:pt>
                <c:pt idx="26">
                  <c:v>2036</c:v>
                </c:pt>
                <c:pt idx="27">
                  <c:v>2037</c:v>
                </c:pt>
                <c:pt idx="28">
                  <c:v>2038</c:v>
                </c:pt>
                <c:pt idx="29">
                  <c:v>2039</c:v>
                </c:pt>
                <c:pt idx="30">
                  <c:v>2040</c:v>
                </c:pt>
                <c:pt idx="31">
                  <c:v>2041</c:v>
                </c:pt>
                <c:pt idx="32">
                  <c:v>2042</c:v>
                </c:pt>
                <c:pt idx="33">
                  <c:v>2043</c:v>
                </c:pt>
                <c:pt idx="34">
                  <c:v>2044</c:v>
                </c:pt>
                <c:pt idx="35">
                  <c:v>2045</c:v>
                </c:pt>
                <c:pt idx="36">
                  <c:v>2046</c:v>
                </c:pt>
                <c:pt idx="37">
                  <c:v>2047</c:v>
                </c:pt>
                <c:pt idx="38">
                  <c:v>2048</c:v>
                </c:pt>
                <c:pt idx="39">
                  <c:v>2049</c:v>
                </c:pt>
                <c:pt idx="40">
                  <c:v>2050</c:v>
                </c:pt>
              </c:numCache>
            </c:numRef>
          </c:cat>
          <c:val>
            <c:numRef>
              <c:f>Comparison!$C$41:$AQ$41</c:f>
              <c:numCache>
                <c:formatCode>General</c:formatCode>
                <c:ptCount val="41"/>
                <c:pt idx="0">
                  <c:v>293.71955438792793</c:v>
                </c:pt>
                <c:pt idx="1">
                  <c:v>294.83566821060805</c:v>
                </c:pt>
                <c:pt idx="2">
                  <c:v>292.06312863055479</c:v>
                </c:pt>
                <c:pt idx="3">
                  <c:v>289.54827607166635</c:v>
                </c:pt>
                <c:pt idx="4">
                  <c:v>281.88938367211824</c:v>
                </c:pt>
                <c:pt idx="5">
                  <c:v>278.37391203574856</c:v>
                </c:pt>
                <c:pt idx="6">
                  <c:v>271.14128773720796</c:v>
                </c:pt>
                <c:pt idx="7">
                  <c:v>271.25559556742309</c:v>
                </c:pt>
                <c:pt idx="8">
                  <c:v>214.22772364899902</c:v>
                </c:pt>
                <c:pt idx="9">
                  <c:v>212.53408294502432</c:v>
                </c:pt>
                <c:pt idx="10">
                  <c:v>210.17615130194369</c:v>
                </c:pt>
                <c:pt idx="11">
                  <c:v>203.03322245702532</c:v>
                </c:pt>
                <c:pt idx="12">
                  <c:v>194.85004787076807</c:v>
                </c:pt>
                <c:pt idx="13">
                  <c:v>190.3109528872333</c:v>
                </c:pt>
                <c:pt idx="14">
                  <c:v>186.62379567727038</c:v>
                </c:pt>
                <c:pt idx="15">
                  <c:v>149.55110183000923</c:v>
                </c:pt>
                <c:pt idx="16">
                  <c:v>127.96232736706588</c:v>
                </c:pt>
                <c:pt idx="17">
                  <c:v>106.63769366024253</c:v>
                </c:pt>
                <c:pt idx="18">
                  <c:v>85.812407706535538</c:v>
                </c:pt>
                <c:pt idx="19">
                  <c:v>61.945519137955387</c:v>
                </c:pt>
                <c:pt idx="20">
                  <c:v>46.045015011859583</c:v>
                </c:pt>
                <c:pt idx="21">
                  <c:v>40.308840368800716</c:v>
                </c:pt>
                <c:pt idx="22">
                  <c:v>35.498845040514183</c:v>
                </c:pt>
                <c:pt idx="23">
                  <c:v>30.988150258156637</c:v>
                </c:pt>
                <c:pt idx="24">
                  <c:v>26.884286666295292</c:v>
                </c:pt>
                <c:pt idx="25">
                  <c:v>23.463634486326349</c:v>
                </c:pt>
                <c:pt idx="26">
                  <c:v>20.780657464446534</c:v>
                </c:pt>
                <c:pt idx="27">
                  <c:v>17.897789671425908</c:v>
                </c:pt>
                <c:pt idx="28">
                  <c:v>15.614261444403988</c:v>
                </c:pt>
                <c:pt idx="29">
                  <c:v>13.811327030473045</c:v>
                </c:pt>
                <c:pt idx="30">
                  <c:v>11.854606259823051</c:v>
                </c:pt>
                <c:pt idx="31">
                  <c:v>10.37174482464239</c:v>
                </c:pt>
                <c:pt idx="32">
                  <c:v>9.0222038857372553</c:v>
                </c:pt>
                <c:pt idx="33">
                  <c:v>8.0295090438199868</c:v>
                </c:pt>
                <c:pt idx="34">
                  <c:v>7.1280415259743481</c:v>
                </c:pt>
                <c:pt idx="35">
                  <c:v>6.0395214968934781</c:v>
                </c:pt>
                <c:pt idx="36">
                  <c:v>5.2594370854456347</c:v>
                </c:pt>
                <c:pt idx="37">
                  <c:v>4.5793892826303013</c:v>
                </c:pt>
                <c:pt idx="38">
                  <c:v>4.1283364742711628</c:v>
                </c:pt>
                <c:pt idx="39">
                  <c:v>3.5269774211968357</c:v>
                </c:pt>
                <c:pt idx="40">
                  <c:v>3.1727920363531217</c:v>
                </c:pt>
              </c:numCache>
            </c:numRef>
          </c:val>
          <c:smooth val="0"/>
          <c:extLst>
            <c:ext xmlns:c16="http://schemas.microsoft.com/office/drawing/2014/chart" uri="{C3380CC4-5D6E-409C-BE32-E72D297353CC}">
              <c16:uniqueId val="{00000001-EB85-431B-8CE5-FD121F90E53E}"/>
            </c:ext>
          </c:extLst>
        </c:ser>
        <c:ser>
          <c:idx val="3"/>
          <c:order val="2"/>
          <c:tx>
            <c:strRef>
              <c:f>Comparison!$B$42</c:f>
              <c:strCache>
                <c:ptCount val="1"/>
                <c:pt idx="0">
                  <c:v>EMDE</c:v>
                </c:pt>
              </c:strCache>
            </c:strRef>
          </c:tx>
          <c:spPr>
            <a:ln w="28575" cap="rnd">
              <a:solidFill>
                <a:schemeClr val="accent4"/>
              </a:solidFill>
              <a:round/>
            </a:ln>
            <a:effectLst/>
          </c:spPr>
          <c:marker>
            <c:symbol val="none"/>
          </c:marker>
          <c:cat>
            <c:numRef>
              <c:f>Comparison!$C$6:$AQ$6</c:f>
              <c:numCache>
                <c:formatCode>General</c:formatCode>
                <c:ptCount val="41"/>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pt idx="16">
                  <c:v>2026</c:v>
                </c:pt>
                <c:pt idx="17">
                  <c:v>2027</c:v>
                </c:pt>
                <c:pt idx="18">
                  <c:v>2028</c:v>
                </c:pt>
                <c:pt idx="19">
                  <c:v>2029</c:v>
                </c:pt>
                <c:pt idx="20">
                  <c:v>2030</c:v>
                </c:pt>
                <c:pt idx="21">
                  <c:v>2031</c:v>
                </c:pt>
                <c:pt idx="22">
                  <c:v>2032</c:v>
                </c:pt>
                <c:pt idx="23">
                  <c:v>2033</c:v>
                </c:pt>
                <c:pt idx="24">
                  <c:v>2034</c:v>
                </c:pt>
                <c:pt idx="25">
                  <c:v>2035</c:v>
                </c:pt>
                <c:pt idx="26">
                  <c:v>2036</c:v>
                </c:pt>
                <c:pt idx="27">
                  <c:v>2037</c:v>
                </c:pt>
                <c:pt idx="28">
                  <c:v>2038</c:v>
                </c:pt>
                <c:pt idx="29">
                  <c:v>2039</c:v>
                </c:pt>
                <c:pt idx="30">
                  <c:v>2040</c:v>
                </c:pt>
                <c:pt idx="31">
                  <c:v>2041</c:v>
                </c:pt>
                <c:pt idx="32">
                  <c:v>2042</c:v>
                </c:pt>
                <c:pt idx="33">
                  <c:v>2043</c:v>
                </c:pt>
                <c:pt idx="34">
                  <c:v>2044</c:v>
                </c:pt>
                <c:pt idx="35">
                  <c:v>2045</c:v>
                </c:pt>
                <c:pt idx="36">
                  <c:v>2046</c:v>
                </c:pt>
                <c:pt idx="37">
                  <c:v>2047</c:v>
                </c:pt>
                <c:pt idx="38">
                  <c:v>2048</c:v>
                </c:pt>
                <c:pt idx="39">
                  <c:v>2049</c:v>
                </c:pt>
                <c:pt idx="40">
                  <c:v>2050</c:v>
                </c:pt>
              </c:numCache>
            </c:numRef>
          </c:cat>
          <c:val>
            <c:numRef>
              <c:f>Comparison!$C$42:$AQ$42</c:f>
              <c:numCache>
                <c:formatCode>General</c:formatCode>
                <c:ptCount val="41"/>
                <c:pt idx="0">
                  <c:v>252.73450695128761</c:v>
                </c:pt>
                <c:pt idx="1">
                  <c:v>251.69086304076723</c:v>
                </c:pt>
                <c:pt idx="2">
                  <c:v>245.76427911319212</c:v>
                </c:pt>
                <c:pt idx="3">
                  <c:v>244.90293756987035</c:v>
                </c:pt>
                <c:pt idx="4">
                  <c:v>239.36650355882313</c:v>
                </c:pt>
                <c:pt idx="5">
                  <c:v>235.17833508921669</c:v>
                </c:pt>
                <c:pt idx="6">
                  <c:v>234.82070741551826</c:v>
                </c:pt>
                <c:pt idx="7">
                  <c:v>235.57599160885013</c:v>
                </c:pt>
                <c:pt idx="8">
                  <c:v>221.02018631403854</c:v>
                </c:pt>
                <c:pt idx="9">
                  <c:v>218.93391462698133</c:v>
                </c:pt>
                <c:pt idx="10">
                  <c:v>218.26333454110687</c:v>
                </c:pt>
                <c:pt idx="11">
                  <c:v>215.61336612318459</c:v>
                </c:pt>
                <c:pt idx="12">
                  <c:v>213.23000775040833</c:v>
                </c:pt>
                <c:pt idx="13">
                  <c:v>210.203956990872</c:v>
                </c:pt>
                <c:pt idx="14">
                  <c:v>207.38618626028517</c:v>
                </c:pt>
                <c:pt idx="15">
                  <c:v>195.1809162571368</c:v>
                </c:pt>
                <c:pt idx="16">
                  <c:v>157.03711685851232</c:v>
                </c:pt>
                <c:pt idx="17">
                  <c:v>115.83463262565672</c:v>
                </c:pt>
                <c:pt idx="18">
                  <c:v>101.83691693330015</c:v>
                </c:pt>
                <c:pt idx="19">
                  <c:v>78.800532160540499</c:v>
                </c:pt>
                <c:pt idx="20">
                  <c:v>67.848368750270694</c:v>
                </c:pt>
                <c:pt idx="21">
                  <c:v>58.880284012317894</c:v>
                </c:pt>
                <c:pt idx="22">
                  <c:v>50.287956710449627</c:v>
                </c:pt>
                <c:pt idx="23">
                  <c:v>42.057888741878962</c:v>
                </c:pt>
                <c:pt idx="24">
                  <c:v>34.577979006762035</c:v>
                </c:pt>
                <c:pt idx="25">
                  <c:v>27.427407321985086</c:v>
                </c:pt>
                <c:pt idx="26">
                  <c:v>22.616663957258716</c:v>
                </c:pt>
                <c:pt idx="27">
                  <c:v>18.837569626435123</c:v>
                </c:pt>
                <c:pt idx="28">
                  <c:v>15.696390510334382</c:v>
                </c:pt>
                <c:pt idx="29">
                  <c:v>12.612894627340445</c:v>
                </c:pt>
                <c:pt idx="30">
                  <c:v>9.9118266988721437</c:v>
                </c:pt>
                <c:pt idx="31">
                  <c:v>8.7016901155233306</c:v>
                </c:pt>
                <c:pt idx="32">
                  <c:v>7.6549186930992263</c:v>
                </c:pt>
                <c:pt idx="33">
                  <c:v>6.6272961585664136</c:v>
                </c:pt>
                <c:pt idx="34">
                  <c:v>5.7953138019731743</c:v>
                </c:pt>
                <c:pt idx="35">
                  <c:v>5.0508299471343259</c:v>
                </c:pt>
                <c:pt idx="36">
                  <c:v>4.4141092121304517</c:v>
                </c:pt>
                <c:pt idx="37">
                  <c:v>3.9473028461140531</c:v>
                </c:pt>
                <c:pt idx="38">
                  <c:v>3.3978577231240257</c:v>
                </c:pt>
                <c:pt idx="39">
                  <c:v>2.951253871186494</c:v>
                </c:pt>
                <c:pt idx="40">
                  <c:v>2.5533341274394914</c:v>
                </c:pt>
              </c:numCache>
            </c:numRef>
          </c:val>
          <c:smooth val="0"/>
          <c:extLst>
            <c:ext xmlns:c16="http://schemas.microsoft.com/office/drawing/2014/chart" uri="{C3380CC4-5D6E-409C-BE32-E72D297353CC}">
              <c16:uniqueId val="{00000002-EB85-431B-8CE5-FD121F90E53E}"/>
            </c:ext>
          </c:extLst>
        </c:ser>
        <c:ser>
          <c:idx val="4"/>
          <c:order val="3"/>
          <c:tx>
            <c:strRef>
              <c:f>Comparison!$B$43</c:f>
              <c:strCache>
                <c:ptCount val="1"/>
                <c:pt idx="0">
                  <c:v>Global</c:v>
                </c:pt>
              </c:strCache>
            </c:strRef>
          </c:tx>
          <c:spPr>
            <a:ln w="28575" cap="rnd">
              <a:solidFill>
                <a:schemeClr val="accent5"/>
              </a:solidFill>
              <a:round/>
            </a:ln>
            <a:effectLst/>
          </c:spPr>
          <c:marker>
            <c:symbol val="none"/>
          </c:marker>
          <c:cat>
            <c:numRef>
              <c:f>Comparison!$C$6:$AQ$6</c:f>
              <c:numCache>
                <c:formatCode>General</c:formatCode>
                <c:ptCount val="41"/>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pt idx="16">
                  <c:v>2026</c:v>
                </c:pt>
                <c:pt idx="17">
                  <c:v>2027</c:v>
                </c:pt>
                <c:pt idx="18">
                  <c:v>2028</c:v>
                </c:pt>
                <c:pt idx="19">
                  <c:v>2029</c:v>
                </c:pt>
                <c:pt idx="20">
                  <c:v>2030</c:v>
                </c:pt>
                <c:pt idx="21">
                  <c:v>2031</c:v>
                </c:pt>
                <c:pt idx="22">
                  <c:v>2032</c:v>
                </c:pt>
                <c:pt idx="23">
                  <c:v>2033</c:v>
                </c:pt>
                <c:pt idx="24">
                  <c:v>2034</c:v>
                </c:pt>
                <c:pt idx="25">
                  <c:v>2035</c:v>
                </c:pt>
                <c:pt idx="26">
                  <c:v>2036</c:v>
                </c:pt>
                <c:pt idx="27">
                  <c:v>2037</c:v>
                </c:pt>
                <c:pt idx="28">
                  <c:v>2038</c:v>
                </c:pt>
                <c:pt idx="29">
                  <c:v>2039</c:v>
                </c:pt>
                <c:pt idx="30">
                  <c:v>2040</c:v>
                </c:pt>
                <c:pt idx="31">
                  <c:v>2041</c:v>
                </c:pt>
                <c:pt idx="32">
                  <c:v>2042</c:v>
                </c:pt>
                <c:pt idx="33">
                  <c:v>2043</c:v>
                </c:pt>
                <c:pt idx="34">
                  <c:v>2044</c:v>
                </c:pt>
                <c:pt idx="35">
                  <c:v>2045</c:v>
                </c:pt>
                <c:pt idx="36">
                  <c:v>2046</c:v>
                </c:pt>
                <c:pt idx="37">
                  <c:v>2047</c:v>
                </c:pt>
                <c:pt idx="38">
                  <c:v>2048</c:v>
                </c:pt>
                <c:pt idx="39">
                  <c:v>2049</c:v>
                </c:pt>
                <c:pt idx="40">
                  <c:v>2050</c:v>
                </c:pt>
              </c:numCache>
            </c:numRef>
          </c:cat>
          <c:val>
            <c:numRef>
              <c:f>Comparison!$C$43:$AQ$43</c:f>
              <c:numCache>
                <c:formatCode>General</c:formatCode>
                <c:ptCount val="41"/>
                <c:pt idx="0">
                  <c:v>259.74790695366477</c:v>
                </c:pt>
                <c:pt idx="1">
                  <c:v>258.82136630227137</c:v>
                </c:pt>
                <c:pt idx="2">
                  <c:v>253.86853870043194</c:v>
                </c:pt>
                <c:pt idx="3">
                  <c:v>253.59047329551967</c:v>
                </c:pt>
                <c:pt idx="4">
                  <c:v>248.36349713709598</c:v>
                </c:pt>
                <c:pt idx="5">
                  <c:v>246.93677743301953</c:v>
                </c:pt>
                <c:pt idx="6">
                  <c:v>246.57152082435294</c:v>
                </c:pt>
                <c:pt idx="7">
                  <c:v>247.62308103714534</c:v>
                </c:pt>
                <c:pt idx="8">
                  <c:v>230.95187602497427</c:v>
                </c:pt>
                <c:pt idx="9">
                  <c:v>228.63422094779008</c:v>
                </c:pt>
                <c:pt idx="10">
                  <c:v>225.13916747786843</c:v>
                </c:pt>
                <c:pt idx="11">
                  <c:v>215.48285417590279</c:v>
                </c:pt>
                <c:pt idx="12">
                  <c:v>218.08195888401897</c:v>
                </c:pt>
                <c:pt idx="13">
                  <c:v>214.03032596882377</c:v>
                </c:pt>
                <c:pt idx="14">
                  <c:v>210.72249561820811</c:v>
                </c:pt>
                <c:pt idx="15">
                  <c:v>174.49509079914841</c:v>
                </c:pt>
                <c:pt idx="16">
                  <c:v>144.8387244832758</c:v>
                </c:pt>
                <c:pt idx="17">
                  <c:v>111.49549562754237</c:v>
                </c:pt>
                <c:pt idx="18">
                  <c:v>89.032962329441517</c:v>
                </c:pt>
                <c:pt idx="19">
                  <c:v>62.400787240603606</c:v>
                </c:pt>
                <c:pt idx="20">
                  <c:v>44.292462574498913</c:v>
                </c:pt>
                <c:pt idx="21">
                  <c:v>36.987670858359515</c:v>
                </c:pt>
                <c:pt idx="22">
                  <c:v>31.850870447567068</c:v>
                </c:pt>
                <c:pt idx="23">
                  <c:v>27.255977956538317</c:v>
                </c:pt>
                <c:pt idx="24">
                  <c:v>23.14593943414647</c:v>
                </c:pt>
                <c:pt idx="25">
                  <c:v>19.356402562217351</c:v>
                </c:pt>
                <c:pt idx="26">
                  <c:v>16.21429459126939</c:v>
                </c:pt>
                <c:pt idx="27">
                  <c:v>13.866266740945347</c:v>
                </c:pt>
                <c:pt idx="28">
                  <c:v>11.810656179365555</c:v>
                </c:pt>
                <c:pt idx="29">
                  <c:v>9.9552991373072768</c:v>
                </c:pt>
                <c:pt idx="30">
                  <c:v>8.2498690456876496</c:v>
                </c:pt>
                <c:pt idx="31">
                  <c:v>7.4333997752360972</c:v>
                </c:pt>
                <c:pt idx="32">
                  <c:v>6.5053804296953111</c:v>
                </c:pt>
                <c:pt idx="33">
                  <c:v>5.7066171882095302</c:v>
                </c:pt>
                <c:pt idx="34">
                  <c:v>4.9581165976632624</c:v>
                </c:pt>
                <c:pt idx="35">
                  <c:v>4.3042218062738167</c:v>
                </c:pt>
                <c:pt idx="36">
                  <c:v>3.7772529538631692</c:v>
                </c:pt>
                <c:pt idx="37">
                  <c:v>3.362402637421019</c:v>
                </c:pt>
                <c:pt idx="38">
                  <c:v>2.9127943525782931</c:v>
                </c:pt>
                <c:pt idx="39">
                  <c:v>2.5591031015974415</c:v>
                </c:pt>
                <c:pt idx="40">
                  <c:v>2.2344028108858289</c:v>
                </c:pt>
              </c:numCache>
            </c:numRef>
          </c:val>
          <c:smooth val="0"/>
          <c:extLst>
            <c:ext xmlns:c16="http://schemas.microsoft.com/office/drawing/2014/chart" uri="{C3380CC4-5D6E-409C-BE32-E72D297353CC}">
              <c16:uniqueId val="{00000003-EB85-431B-8CE5-FD121F90E53E}"/>
            </c:ext>
          </c:extLst>
        </c:ser>
        <c:ser>
          <c:idx val="5"/>
          <c:order val="4"/>
          <c:tx>
            <c:strRef>
              <c:f>Comparison!$B$44</c:f>
              <c:strCache>
                <c:ptCount val="1"/>
                <c:pt idx="0">
                  <c:v>Legacy WTW (B2DS)</c:v>
                </c:pt>
              </c:strCache>
            </c:strRef>
          </c:tx>
          <c:spPr>
            <a:ln w="28575" cap="rnd">
              <a:solidFill>
                <a:srgbClr val="FF0000"/>
              </a:solidFill>
              <a:prstDash val="sysDash"/>
              <a:round/>
            </a:ln>
            <a:effectLst/>
          </c:spPr>
          <c:marker>
            <c:symbol val="none"/>
          </c:marker>
          <c:cat>
            <c:numRef>
              <c:f>Comparison!$C$6:$AQ$6</c:f>
              <c:numCache>
                <c:formatCode>General</c:formatCode>
                <c:ptCount val="41"/>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pt idx="16">
                  <c:v>2026</c:v>
                </c:pt>
                <c:pt idx="17">
                  <c:v>2027</c:v>
                </c:pt>
                <c:pt idx="18">
                  <c:v>2028</c:v>
                </c:pt>
                <c:pt idx="19">
                  <c:v>2029</c:v>
                </c:pt>
                <c:pt idx="20">
                  <c:v>2030</c:v>
                </c:pt>
                <c:pt idx="21">
                  <c:v>2031</c:v>
                </c:pt>
                <c:pt idx="22">
                  <c:v>2032</c:v>
                </c:pt>
                <c:pt idx="23">
                  <c:v>2033</c:v>
                </c:pt>
                <c:pt idx="24">
                  <c:v>2034</c:v>
                </c:pt>
                <c:pt idx="25">
                  <c:v>2035</c:v>
                </c:pt>
                <c:pt idx="26">
                  <c:v>2036</c:v>
                </c:pt>
                <c:pt idx="27">
                  <c:v>2037</c:v>
                </c:pt>
                <c:pt idx="28">
                  <c:v>2038</c:v>
                </c:pt>
                <c:pt idx="29">
                  <c:v>2039</c:v>
                </c:pt>
                <c:pt idx="30">
                  <c:v>2040</c:v>
                </c:pt>
                <c:pt idx="31">
                  <c:v>2041</c:v>
                </c:pt>
                <c:pt idx="32">
                  <c:v>2042</c:v>
                </c:pt>
                <c:pt idx="33">
                  <c:v>2043</c:v>
                </c:pt>
                <c:pt idx="34">
                  <c:v>2044</c:v>
                </c:pt>
                <c:pt idx="35">
                  <c:v>2045</c:v>
                </c:pt>
                <c:pt idx="36">
                  <c:v>2046</c:v>
                </c:pt>
                <c:pt idx="37">
                  <c:v>2047</c:v>
                </c:pt>
                <c:pt idx="38">
                  <c:v>2048</c:v>
                </c:pt>
                <c:pt idx="39">
                  <c:v>2049</c:v>
                </c:pt>
                <c:pt idx="40">
                  <c:v>2050</c:v>
                </c:pt>
              </c:numCache>
            </c:numRef>
          </c:cat>
          <c:val>
            <c:numRef>
              <c:f>Comparison!$C$44:$AQ$44</c:f>
              <c:numCache>
                <c:formatCode>General</c:formatCode>
                <c:ptCount val="41"/>
                <c:pt idx="0">
                  <c:v>221.78746307046302</c:v>
                </c:pt>
                <c:pt idx="1">
                  <c:v>219.48117848393764</c:v>
                </c:pt>
                <c:pt idx="2">
                  <c:v>217.17489389741226</c:v>
                </c:pt>
                <c:pt idx="3">
                  <c:v>214.86860931088688</c:v>
                </c:pt>
                <c:pt idx="4">
                  <c:v>212.5623247243615</c:v>
                </c:pt>
                <c:pt idx="5">
                  <c:v>210.25604013783612</c:v>
                </c:pt>
                <c:pt idx="6">
                  <c:v>198.27239179276123</c:v>
                </c:pt>
                <c:pt idx="7">
                  <c:v>186.28874344768633</c:v>
                </c:pt>
                <c:pt idx="8">
                  <c:v>174.30509510261146</c:v>
                </c:pt>
                <c:pt idx="9">
                  <c:v>162.32144675753656</c:v>
                </c:pt>
                <c:pt idx="10">
                  <c:v>150.33779841246167</c:v>
                </c:pt>
                <c:pt idx="11">
                  <c:v>147.13312548786433</c:v>
                </c:pt>
                <c:pt idx="12">
                  <c:v>143.92845256326703</c:v>
                </c:pt>
                <c:pt idx="13">
                  <c:v>140.7237796386697</c:v>
                </c:pt>
                <c:pt idx="14">
                  <c:v>137.51910671407239</c:v>
                </c:pt>
                <c:pt idx="15">
                  <c:v>134.31443378947506</c:v>
                </c:pt>
                <c:pt idx="16">
                  <c:v>131.09462859952592</c:v>
                </c:pt>
                <c:pt idx="17">
                  <c:v>127.87482340957679</c:v>
                </c:pt>
                <c:pt idx="18">
                  <c:v>124.65501821962766</c:v>
                </c:pt>
                <c:pt idx="19">
                  <c:v>121.43521302967852</c:v>
                </c:pt>
                <c:pt idx="20">
                  <c:v>118.21540783972939</c:v>
                </c:pt>
                <c:pt idx="21">
                  <c:v>112.80705098087475</c:v>
                </c:pt>
                <c:pt idx="22">
                  <c:v>107.3986941220201</c:v>
                </c:pt>
                <c:pt idx="23">
                  <c:v>101.99033726316546</c:v>
                </c:pt>
                <c:pt idx="24">
                  <c:v>96.581980404310798</c:v>
                </c:pt>
                <c:pt idx="25">
                  <c:v>91.173623545456152</c:v>
                </c:pt>
                <c:pt idx="26">
                  <c:v>85.740560474128117</c:v>
                </c:pt>
                <c:pt idx="27">
                  <c:v>80.307497402800081</c:v>
                </c:pt>
                <c:pt idx="28">
                  <c:v>74.874434331472045</c:v>
                </c:pt>
                <c:pt idx="29">
                  <c:v>69.44137126014401</c:v>
                </c:pt>
                <c:pt idx="30">
                  <c:v>64.008308188815974</c:v>
                </c:pt>
                <c:pt idx="31">
                  <c:v>59.550485485533969</c:v>
                </c:pt>
                <c:pt idx="32">
                  <c:v>55.092662782251956</c:v>
                </c:pt>
                <c:pt idx="33">
                  <c:v>50.634840078969951</c:v>
                </c:pt>
                <c:pt idx="34">
                  <c:v>46.177017375687939</c:v>
                </c:pt>
                <c:pt idx="35">
                  <c:v>41.719194672405933</c:v>
                </c:pt>
                <c:pt idx="36">
                  <c:v>38.955824766841815</c:v>
                </c:pt>
                <c:pt idx="37">
                  <c:v>36.192454861277696</c:v>
                </c:pt>
                <c:pt idx="38">
                  <c:v>33.429084955713577</c:v>
                </c:pt>
                <c:pt idx="39">
                  <c:v>30.665715050149458</c:v>
                </c:pt>
                <c:pt idx="40">
                  <c:v>27.90234514458534</c:v>
                </c:pt>
              </c:numCache>
            </c:numRef>
          </c:val>
          <c:smooth val="0"/>
          <c:extLst>
            <c:ext xmlns:c16="http://schemas.microsoft.com/office/drawing/2014/chart" uri="{C3380CC4-5D6E-409C-BE32-E72D297353CC}">
              <c16:uniqueId val="{00000004-EB85-431B-8CE5-FD121F90E53E}"/>
            </c:ext>
          </c:extLst>
        </c:ser>
        <c:ser>
          <c:idx val="0"/>
          <c:order val="5"/>
          <c:tx>
            <c:strRef>
              <c:f>Comparison!$B$45</c:f>
              <c:strCache>
                <c:ptCount val="1"/>
                <c:pt idx="0">
                  <c:v>Test case 2</c:v>
                </c:pt>
              </c:strCache>
            </c:strRef>
          </c:tx>
          <c:spPr>
            <a:ln w="31750" cap="rnd">
              <a:solidFill>
                <a:srgbClr val="7030A0"/>
              </a:solidFill>
              <a:prstDash val="sysDot"/>
              <a:round/>
            </a:ln>
            <a:effectLst/>
          </c:spPr>
          <c:marker>
            <c:symbol val="square"/>
            <c:size val="5"/>
            <c:spPr>
              <a:solidFill>
                <a:schemeClr val="accent1"/>
              </a:solidFill>
              <a:ln w="25400">
                <a:solidFill>
                  <a:srgbClr val="7030A0"/>
                </a:solidFill>
                <a:prstDash val="sysDot"/>
              </a:ln>
              <a:effectLst/>
            </c:spPr>
          </c:marker>
          <c:dPt>
            <c:idx val="15"/>
            <c:marker>
              <c:symbol val="square"/>
              <c:size val="5"/>
              <c:spPr>
                <a:solidFill>
                  <a:schemeClr val="accent1"/>
                </a:solidFill>
                <a:ln w="25400">
                  <a:solidFill>
                    <a:srgbClr val="7030A0"/>
                  </a:solidFill>
                  <a:prstDash val="sysDot"/>
                </a:ln>
                <a:effectLst/>
              </c:spPr>
            </c:marker>
            <c:bubble3D val="0"/>
            <c:extLst>
              <c:ext xmlns:c16="http://schemas.microsoft.com/office/drawing/2014/chart" uri="{C3380CC4-5D6E-409C-BE32-E72D297353CC}">
                <c16:uniqueId val="{00000006-EB85-431B-8CE5-FD121F90E53E}"/>
              </c:ext>
            </c:extLst>
          </c:dPt>
          <c:cat>
            <c:numRef>
              <c:f>Comparison!$C$6:$AQ$6</c:f>
              <c:numCache>
                <c:formatCode>General</c:formatCode>
                <c:ptCount val="41"/>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pt idx="16">
                  <c:v>2026</c:v>
                </c:pt>
                <c:pt idx="17">
                  <c:v>2027</c:v>
                </c:pt>
                <c:pt idx="18">
                  <c:v>2028</c:v>
                </c:pt>
                <c:pt idx="19">
                  <c:v>2029</c:v>
                </c:pt>
                <c:pt idx="20">
                  <c:v>2030</c:v>
                </c:pt>
                <c:pt idx="21">
                  <c:v>2031</c:v>
                </c:pt>
                <c:pt idx="22">
                  <c:v>2032</c:v>
                </c:pt>
                <c:pt idx="23">
                  <c:v>2033</c:v>
                </c:pt>
                <c:pt idx="24">
                  <c:v>2034</c:v>
                </c:pt>
                <c:pt idx="25">
                  <c:v>2035</c:v>
                </c:pt>
                <c:pt idx="26">
                  <c:v>2036</c:v>
                </c:pt>
                <c:pt idx="27">
                  <c:v>2037</c:v>
                </c:pt>
                <c:pt idx="28">
                  <c:v>2038</c:v>
                </c:pt>
                <c:pt idx="29">
                  <c:v>2039</c:v>
                </c:pt>
                <c:pt idx="30">
                  <c:v>2040</c:v>
                </c:pt>
                <c:pt idx="31">
                  <c:v>2041</c:v>
                </c:pt>
                <c:pt idx="32">
                  <c:v>2042</c:v>
                </c:pt>
                <c:pt idx="33">
                  <c:v>2043</c:v>
                </c:pt>
                <c:pt idx="34">
                  <c:v>2044</c:v>
                </c:pt>
                <c:pt idx="35">
                  <c:v>2045</c:v>
                </c:pt>
                <c:pt idx="36">
                  <c:v>2046</c:v>
                </c:pt>
                <c:pt idx="37">
                  <c:v>2047</c:v>
                </c:pt>
                <c:pt idx="38">
                  <c:v>2048</c:v>
                </c:pt>
                <c:pt idx="39">
                  <c:v>2049</c:v>
                </c:pt>
                <c:pt idx="40">
                  <c:v>2050</c:v>
                </c:pt>
              </c:numCache>
            </c:numRef>
          </c:cat>
          <c:val>
            <c:numRef>
              <c:f>Comparison!$C$45:$AQ$45</c:f>
              <c:numCache>
                <c:formatCode>General</c:formatCode>
                <c:ptCount val="41"/>
                <c:pt idx="6">
                  <c:v>246.57152082435294</c:v>
                </c:pt>
                <c:pt idx="15">
                  <c:v>123.3</c:v>
                </c:pt>
                <c:pt idx="20">
                  <c:v>100.4</c:v>
                </c:pt>
                <c:pt idx="30">
                  <c:v>48</c:v>
                </c:pt>
                <c:pt idx="40">
                  <c:v>27.90234514458534</c:v>
                </c:pt>
              </c:numCache>
            </c:numRef>
          </c:val>
          <c:smooth val="0"/>
          <c:extLst>
            <c:ext xmlns:c16="http://schemas.microsoft.com/office/drawing/2014/chart" uri="{C3380CC4-5D6E-409C-BE32-E72D297353CC}">
              <c16:uniqueId val="{00000007-EB85-431B-8CE5-FD121F90E53E}"/>
            </c:ext>
          </c:extLst>
        </c:ser>
        <c:dLbls>
          <c:showLegendKey val="0"/>
          <c:showVal val="0"/>
          <c:showCatName val="0"/>
          <c:showSerName val="0"/>
          <c:showPercent val="0"/>
          <c:showBubbleSize val="0"/>
        </c:dLbls>
        <c:smooth val="0"/>
        <c:axId val="347675535"/>
        <c:axId val="347658735"/>
      </c:lineChart>
      <c:catAx>
        <c:axId val="34767553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en-US" sz="1000" b="0" i="0" u="none" strike="noStrike" kern="1200" baseline="0">
                <a:solidFill>
                  <a:schemeClr val="tx1"/>
                </a:solidFill>
                <a:latin typeface="+mn-lt"/>
                <a:ea typeface="+mn-ea"/>
                <a:cs typeface="+mn-cs"/>
              </a:defRPr>
            </a:pPr>
            <a:endParaRPr lang="en-US"/>
          </a:p>
        </c:txPr>
        <c:crossAx val="347658735"/>
        <c:crosses val="autoZero"/>
        <c:auto val="1"/>
        <c:lblAlgn val="ctr"/>
        <c:lblOffset val="100"/>
        <c:tickLblSkip val="5"/>
        <c:noMultiLvlLbl val="0"/>
      </c:catAx>
      <c:valAx>
        <c:axId val="347658735"/>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lang="en-US" sz="1000" b="0" i="0" u="none" strike="noStrike" kern="1200" baseline="0">
                <a:solidFill>
                  <a:schemeClr val="tx1"/>
                </a:solidFill>
                <a:latin typeface="+mn-lt"/>
                <a:ea typeface="+mn-ea"/>
                <a:cs typeface="+mn-cs"/>
              </a:defRPr>
            </a:pPr>
            <a:endParaRPr lang="en-US"/>
          </a:p>
        </c:txPr>
        <c:crossAx val="347675535"/>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lang="en-US" sz="1000" b="0" i="0" u="none" strike="noStrike" kern="1200" baseline="0">
              <a:solidFill>
                <a:schemeClr val="tx1"/>
              </a:solidFill>
              <a:latin typeface="+mn-lt"/>
              <a:ea typeface="+mn-ea"/>
              <a:cs typeface="+mn-cs"/>
            </a:defRPr>
          </a:pPr>
          <a:endParaRPr lang="en-US"/>
        </a:p>
      </c:txPr>
    </c:legend>
    <c:plotVisOnly val="1"/>
    <c:dispBlanksAs val="span"/>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lang="en-US" sz="1000" b="0" i="0" u="none" strike="noStrike" kern="1200" baseline="0">
          <a:solidFill>
            <a:schemeClr val="tx1"/>
          </a:solidFill>
          <a:latin typeface="+mn-lt"/>
          <a:ea typeface="+mn-ea"/>
          <a:cs typeface="+mn-cs"/>
        </a:defRPr>
      </a:pPr>
      <a:endParaRPr lang="en-US"/>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207057451151936"/>
          <c:y val="5.2672790901137356E-2"/>
          <c:w val="0.68395562055618953"/>
          <c:h val="0.70039396430867829"/>
        </c:manualLayout>
      </c:layout>
      <c:scatterChart>
        <c:scatterStyle val="smoothMarker"/>
        <c:varyColors val="0"/>
        <c:ser>
          <c:idx val="0"/>
          <c:order val="0"/>
          <c:tx>
            <c:strRef>
              <c:f>Calculations!$B$130</c:f>
              <c:strCache>
                <c:ptCount val="1"/>
                <c:pt idx="0">
                  <c:v>select a LDV category</c:v>
                </c:pt>
              </c:strCache>
            </c:strRef>
          </c:tx>
          <c:spPr>
            <a:ln w="28575" cap="rnd">
              <a:solidFill>
                <a:srgbClr val="00546E"/>
              </a:solidFill>
              <a:round/>
            </a:ln>
            <a:effectLst/>
          </c:spPr>
          <c:marker>
            <c:symbol val="none"/>
          </c:marker>
          <c:xVal>
            <c:numRef>
              <c:f>Calculations!$E$121:$AI$121</c:f>
              <c:numCache>
                <c:formatCode>0</c:formatCode>
                <c:ptCount val="29"/>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pt idx="15">
                  <c:v>2037</c:v>
                </c:pt>
                <c:pt idx="16">
                  <c:v>2038</c:v>
                </c:pt>
                <c:pt idx="17">
                  <c:v>2039</c:v>
                </c:pt>
                <c:pt idx="18">
                  <c:v>2040</c:v>
                </c:pt>
                <c:pt idx="19">
                  <c:v>2041</c:v>
                </c:pt>
                <c:pt idx="20">
                  <c:v>2042</c:v>
                </c:pt>
                <c:pt idx="21">
                  <c:v>2043</c:v>
                </c:pt>
                <c:pt idx="22">
                  <c:v>2044</c:v>
                </c:pt>
                <c:pt idx="23">
                  <c:v>2045</c:v>
                </c:pt>
                <c:pt idx="24">
                  <c:v>2046</c:v>
                </c:pt>
                <c:pt idx="25">
                  <c:v>2047</c:v>
                </c:pt>
                <c:pt idx="26">
                  <c:v>2048</c:v>
                </c:pt>
                <c:pt idx="27">
                  <c:v>2049</c:v>
                </c:pt>
                <c:pt idx="28">
                  <c:v>2050</c:v>
                </c:pt>
              </c:numCache>
            </c:numRef>
          </c:xVal>
          <c:yVal>
            <c:numRef>
              <c:f>Calculations!$E$130:$AI$130</c:f>
              <c:numCache>
                <c:formatCode>#,##0.00</c:formatCode>
                <c:ptCount val="29"/>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numCache>
            </c:numRef>
          </c:yVal>
          <c:smooth val="1"/>
          <c:extLst>
            <c:ext xmlns:c16="http://schemas.microsoft.com/office/drawing/2014/chart" uri="{C3380CC4-5D6E-409C-BE32-E72D297353CC}">
              <c16:uniqueId val="{00000000-512C-417B-A68C-7F863B863027}"/>
            </c:ext>
          </c:extLst>
        </c:ser>
        <c:ser>
          <c:idx val="1"/>
          <c:order val="1"/>
          <c:tx>
            <c:strRef>
              <c:f>Calculations!$B$131</c:f>
              <c:strCache>
                <c:ptCount val="1"/>
                <c:pt idx="0">
                  <c:v>select a LDV category</c:v>
                </c:pt>
              </c:strCache>
            </c:strRef>
          </c:tx>
          <c:spPr>
            <a:ln w="12700" cap="rnd">
              <a:solidFill>
                <a:srgbClr val="FFC000"/>
              </a:solidFill>
              <a:prstDash val="sysDash"/>
              <a:round/>
            </a:ln>
            <a:effectLst/>
          </c:spPr>
          <c:marker>
            <c:symbol val="none"/>
          </c:marker>
          <c:xVal>
            <c:numRef>
              <c:f>Calculations!$E$121:$AI$121</c:f>
              <c:numCache>
                <c:formatCode>0</c:formatCode>
                <c:ptCount val="29"/>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pt idx="15">
                  <c:v>2037</c:v>
                </c:pt>
                <c:pt idx="16">
                  <c:v>2038</c:v>
                </c:pt>
                <c:pt idx="17">
                  <c:v>2039</c:v>
                </c:pt>
                <c:pt idx="18">
                  <c:v>2040</c:v>
                </c:pt>
                <c:pt idx="19">
                  <c:v>2041</c:v>
                </c:pt>
                <c:pt idx="20">
                  <c:v>2042</c:v>
                </c:pt>
                <c:pt idx="21">
                  <c:v>2043</c:v>
                </c:pt>
                <c:pt idx="22">
                  <c:v>2044</c:v>
                </c:pt>
                <c:pt idx="23">
                  <c:v>2045</c:v>
                </c:pt>
                <c:pt idx="24">
                  <c:v>2046</c:v>
                </c:pt>
                <c:pt idx="25">
                  <c:v>2047</c:v>
                </c:pt>
                <c:pt idx="26">
                  <c:v>2048</c:v>
                </c:pt>
                <c:pt idx="27">
                  <c:v>2049</c:v>
                </c:pt>
                <c:pt idx="28">
                  <c:v>2050</c:v>
                </c:pt>
              </c:numCache>
            </c:numRef>
          </c:xVal>
          <c:yVal>
            <c:numRef>
              <c:f>Calculations!$E$131:$AI$131</c:f>
              <c:numCache>
                <c:formatCode>#,##0.00</c:formatCode>
                <c:ptCount val="29"/>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numCache>
            </c:numRef>
          </c:yVal>
          <c:smooth val="1"/>
          <c:extLst>
            <c:ext xmlns:c16="http://schemas.microsoft.com/office/drawing/2014/chart" uri="{C3380CC4-5D6E-409C-BE32-E72D297353CC}">
              <c16:uniqueId val="{00000001-512C-417B-A68C-7F863B863027}"/>
            </c:ext>
          </c:extLst>
        </c:ser>
        <c:ser>
          <c:idx val="2"/>
          <c:order val="2"/>
          <c:tx>
            <c:strRef>
              <c:f>Calculations!$B$132</c:f>
              <c:strCache>
                <c:ptCount val="1"/>
                <c:pt idx="0">
                  <c:v>select a LDV category</c:v>
                </c:pt>
              </c:strCache>
            </c:strRef>
          </c:tx>
          <c:spPr>
            <a:ln w="28575" cap="rnd">
              <a:solidFill>
                <a:srgbClr val="7030A0"/>
              </a:solidFill>
              <a:round/>
            </a:ln>
            <a:effectLst/>
          </c:spPr>
          <c:marker>
            <c:symbol val="circle"/>
            <c:size val="5"/>
            <c:spPr>
              <a:solidFill>
                <a:srgbClr val="7030A0"/>
              </a:solidFill>
              <a:ln w="15875">
                <a:solidFill>
                  <a:srgbClr val="7030A0"/>
                </a:solidFill>
              </a:ln>
              <a:effectLst/>
            </c:spPr>
          </c:marker>
          <c:dLbls>
            <c:dLbl>
              <c:idx val="0"/>
              <c:layout>
                <c:manualLayout>
                  <c:x val="1.6106640953873781E-2"/>
                  <c:y val="-8.9752088338623595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2-512C-417B-A68C-7F863B863027}"/>
                </c:ext>
              </c:extLst>
            </c:dLbl>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n-US"/>
              </a:p>
            </c:txPr>
            <c:showLegendKey val="0"/>
            <c:showVal val="0"/>
            <c:showCatName val="0"/>
            <c:showSerName val="1"/>
            <c:showPercent val="0"/>
            <c:showBubbleSize val="0"/>
            <c:showLeaderLines val="0"/>
            <c:extLst>
              <c:ext xmlns:c15="http://schemas.microsoft.com/office/drawing/2012/chart" uri="{CE6537A1-D6FC-4f65-9D91-7224C49458BB}">
                <c15:spPr xmlns:c15="http://schemas.microsoft.com/office/drawing/2012/chart">
                  <a:prstGeom prst="wedgeRectCallout">
                    <a:avLst/>
                  </a:prstGeom>
                  <a:noFill/>
                  <a:ln>
                    <a:noFill/>
                  </a:ln>
                </c15:spPr>
                <c15:showLeaderLines val="0"/>
              </c:ext>
            </c:extLst>
          </c:dLbls>
          <c:xVal>
            <c:numRef>
              <c:f>AutomakersOLD!$D$74</c:f>
              <c:numCache>
                <c:formatCode>General</c:formatCode>
                <c:ptCount val="1"/>
                <c:pt idx="0">
                  <c:v>2033</c:v>
                </c:pt>
              </c:numCache>
            </c:numRef>
          </c:xVal>
          <c:yVal>
            <c:numRef>
              <c:f>Calculations!$D$132</c:f>
              <c:numCache>
                <c:formatCode>#,##0.00</c:formatCode>
                <c:ptCount val="1"/>
                <c:pt idx="0">
                  <c:v>#N/A</c:v>
                </c:pt>
              </c:numCache>
            </c:numRef>
          </c:yVal>
          <c:smooth val="1"/>
          <c:extLst>
            <c:ext xmlns:c16="http://schemas.microsoft.com/office/drawing/2014/chart" uri="{C3380CC4-5D6E-409C-BE32-E72D297353CC}">
              <c16:uniqueId val="{00000003-512C-417B-A68C-7F863B863027}"/>
            </c:ext>
          </c:extLst>
        </c:ser>
        <c:dLbls>
          <c:showLegendKey val="0"/>
          <c:showVal val="0"/>
          <c:showCatName val="0"/>
          <c:showSerName val="0"/>
          <c:showPercent val="0"/>
          <c:showBubbleSize val="0"/>
        </c:dLbls>
        <c:axId val="949570272"/>
        <c:axId val="949571904"/>
      </c:scatterChart>
      <c:valAx>
        <c:axId val="949570272"/>
        <c:scaling>
          <c:orientation val="minMax"/>
          <c:max val="2040"/>
          <c:min val="2020"/>
        </c:scaling>
        <c:delete val="0"/>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low"/>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49571904"/>
        <c:crossesAt val="0"/>
        <c:crossBetween val="midCat"/>
      </c:valAx>
      <c:valAx>
        <c:axId val="949571904"/>
        <c:scaling>
          <c:orientation val="minMax"/>
          <c:min val="0"/>
        </c:scaling>
        <c:delete val="0"/>
        <c:axPos val="l"/>
        <c:majorGridlines>
          <c:spPr>
            <a:ln w="9525" cap="flat" cmpd="sng" algn="ctr">
              <a:solidFill>
                <a:schemeClr val="tx1">
                  <a:lumMod val="15000"/>
                  <a:lumOff val="85000"/>
                </a:schemeClr>
              </a:solidFill>
              <a:round/>
            </a:ln>
            <a:effectLst/>
          </c:spPr>
        </c:majorGridlines>
        <c:title>
          <c:tx>
            <c:strRef>
              <c:f>AutomakersOLD!$F$75</c:f>
              <c:strCache>
                <c:ptCount val="1"/>
                <c:pt idx="0">
                  <c:v>gCO2e/vkm</c:v>
                </c:pt>
              </c:strCache>
            </c:strRef>
          </c:tx>
          <c:layout>
            <c:manualLayout>
              <c:xMode val="edge"/>
              <c:yMode val="edge"/>
              <c:x val="2.2722368037328671E-2"/>
              <c:y val="0.42630551695743912"/>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49570272"/>
        <c:crosses val="autoZero"/>
        <c:crossBetween val="midCat"/>
      </c:valAx>
      <c:spPr>
        <a:noFill/>
        <a:ln>
          <a:noFill/>
        </a:ln>
        <a:effectLst/>
      </c:spPr>
    </c:plotArea>
    <c:legend>
      <c:legendPos val="r"/>
      <c:layout>
        <c:manualLayout>
          <c:xMode val="edge"/>
          <c:yMode val="edge"/>
          <c:x val="0.18576299296213111"/>
          <c:y val="0.83592585565358546"/>
          <c:w val="0.69894880923789593"/>
          <c:h val="0.13805458052683173"/>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userShapes r:id="rId3"/>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654161804855326"/>
          <c:y val="5.2672790901137356E-2"/>
          <c:w val="0.84466038766333029"/>
          <c:h val="0.77736850908342348"/>
        </c:manualLayout>
      </c:layout>
      <c:scatterChart>
        <c:scatterStyle val="smoothMarker"/>
        <c:varyColors val="0"/>
        <c:ser>
          <c:idx val="3"/>
          <c:order val="1"/>
          <c:tx>
            <c:strRef>
              <c:f>Calculations!$B$127</c:f>
              <c:strCache>
                <c:ptCount val="1"/>
                <c:pt idx="0">
                  <c:v>Scope 2 target</c:v>
                </c:pt>
              </c:strCache>
            </c:strRef>
          </c:tx>
          <c:spPr>
            <a:ln w="19050" cap="rnd">
              <a:solidFill>
                <a:schemeClr val="accent4"/>
              </a:solidFill>
              <a:round/>
            </a:ln>
            <a:effectLst/>
          </c:spPr>
          <c:marker>
            <c:symbol val="square"/>
            <c:size val="5"/>
            <c:spPr>
              <a:solidFill>
                <a:schemeClr val="accent4"/>
              </a:solidFill>
              <a:ln w="31750">
                <a:solidFill>
                  <a:srgbClr val="FFC000"/>
                </a:solidFill>
              </a:ln>
              <a:effectLst/>
            </c:spPr>
          </c:marker>
          <c:xVal>
            <c:numRef>
              <c:f>AutomakersOLD!$D$26</c:f>
              <c:numCache>
                <c:formatCode>General</c:formatCode>
                <c:ptCount val="1"/>
                <c:pt idx="0">
                  <c:v>2033</c:v>
                </c:pt>
              </c:numCache>
            </c:numRef>
          </c:xVal>
          <c:yVal>
            <c:numRef>
              <c:f>Calculations!$D$127</c:f>
            </c:numRef>
          </c:yVal>
          <c:smooth val="1"/>
          <c:extLst>
            <c:ext xmlns:c16="http://schemas.microsoft.com/office/drawing/2014/chart" uri="{C3380CC4-5D6E-409C-BE32-E72D297353CC}">
              <c16:uniqueId val="{00000000-A0DC-455F-902F-556C390D0936}"/>
            </c:ext>
          </c:extLst>
        </c:ser>
        <c:ser>
          <c:idx val="2"/>
          <c:order val="2"/>
          <c:tx>
            <c:strRef>
              <c:f>Calculations!$B$126</c:f>
              <c:strCache>
                <c:ptCount val="1"/>
                <c:pt idx="0">
                  <c:v>Scope 1 target</c:v>
                </c:pt>
              </c:strCache>
            </c:strRef>
          </c:tx>
          <c:spPr>
            <a:ln w="19050" cap="rnd">
              <a:solidFill>
                <a:schemeClr val="accent3"/>
              </a:solidFill>
              <a:round/>
            </a:ln>
            <a:effectLst/>
          </c:spPr>
          <c:marker>
            <c:symbol val="circle"/>
            <c:size val="5"/>
            <c:spPr>
              <a:solidFill>
                <a:srgbClr val="00546E"/>
              </a:solidFill>
              <a:ln w="31750">
                <a:solidFill>
                  <a:srgbClr val="00546E"/>
                </a:solidFill>
              </a:ln>
              <a:effectLst/>
            </c:spPr>
          </c:marker>
          <c:xVal>
            <c:numRef>
              <c:f>AutomakersOLD!$D$26</c:f>
              <c:numCache>
                <c:formatCode>General</c:formatCode>
                <c:ptCount val="1"/>
                <c:pt idx="0">
                  <c:v>2033</c:v>
                </c:pt>
              </c:numCache>
            </c:numRef>
          </c:xVal>
          <c:yVal>
            <c:numRef>
              <c:f>Calculations!$D$126</c:f>
            </c:numRef>
          </c:yVal>
          <c:smooth val="1"/>
          <c:extLst>
            <c:ext xmlns:c16="http://schemas.microsoft.com/office/drawing/2014/chart" uri="{C3380CC4-5D6E-409C-BE32-E72D297353CC}">
              <c16:uniqueId val="{00000001-A0DC-455F-902F-556C390D0936}"/>
            </c:ext>
          </c:extLst>
        </c:ser>
        <c:dLbls>
          <c:showLegendKey val="0"/>
          <c:showVal val="0"/>
          <c:showCatName val="0"/>
          <c:showSerName val="0"/>
          <c:showPercent val="0"/>
          <c:showBubbleSize val="0"/>
        </c:dLbls>
        <c:axId val="980015104"/>
        <c:axId val="980019456"/>
      </c:scatterChart>
      <c:scatterChart>
        <c:scatterStyle val="lineMarker"/>
        <c:varyColors val="0"/>
        <c:ser>
          <c:idx val="0"/>
          <c:order val="0"/>
          <c:tx>
            <c:strRef>
              <c:f>Calculations!$B$124</c:f>
              <c:strCache>
                <c:ptCount val="1"/>
                <c:pt idx="0">
                  <c:v>Company | Scope 1 emissions (tCO2e)</c:v>
                </c:pt>
              </c:strCache>
            </c:strRef>
          </c:tx>
          <c:spPr>
            <a:ln w="19050" cap="rnd">
              <a:solidFill>
                <a:schemeClr val="accent1"/>
              </a:solidFill>
              <a:round/>
            </a:ln>
            <a:effectLst/>
          </c:spPr>
          <c:marker>
            <c:symbol val="circle"/>
            <c:size val="5"/>
            <c:spPr>
              <a:solidFill>
                <a:schemeClr val="accent1"/>
              </a:solidFill>
              <a:ln w="9525">
                <a:solidFill>
                  <a:srgbClr val="00546E"/>
                </a:solidFill>
              </a:ln>
              <a:effectLst/>
            </c:spPr>
          </c:marker>
          <c:xVal>
            <c:numRef>
              <c:f>Calculations!$E$121:$AI$121</c:f>
              <c:numCache>
                <c:formatCode>0</c:formatCode>
                <c:ptCount val="29"/>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pt idx="15">
                  <c:v>2037</c:v>
                </c:pt>
                <c:pt idx="16">
                  <c:v>2038</c:v>
                </c:pt>
                <c:pt idx="17">
                  <c:v>2039</c:v>
                </c:pt>
                <c:pt idx="18">
                  <c:v>2040</c:v>
                </c:pt>
                <c:pt idx="19">
                  <c:v>2041</c:v>
                </c:pt>
                <c:pt idx="20">
                  <c:v>2042</c:v>
                </c:pt>
                <c:pt idx="21">
                  <c:v>2043</c:v>
                </c:pt>
                <c:pt idx="22">
                  <c:v>2044</c:v>
                </c:pt>
                <c:pt idx="23">
                  <c:v>2045</c:v>
                </c:pt>
                <c:pt idx="24">
                  <c:v>2046</c:v>
                </c:pt>
                <c:pt idx="25">
                  <c:v>2047</c:v>
                </c:pt>
                <c:pt idx="26">
                  <c:v>2048</c:v>
                </c:pt>
                <c:pt idx="27">
                  <c:v>2049</c:v>
                </c:pt>
                <c:pt idx="28">
                  <c:v>2050</c:v>
                </c:pt>
              </c:numCache>
            </c:numRef>
          </c:xVal>
          <c:yVal>
            <c:numRef>
              <c:f>Calculations!$E$124:$AI$124</c:f>
            </c:numRef>
          </c:yVal>
          <c:smooth val="0"/>
          <c:extLst>
            <c:ext xmlns:c16="http://schemas.microsoft.com/office/drawing/2014/chart" uri="{C3380CC4-5D6E-409C-BE32-E72D297353CC}">
              <c16:uniqueId val="{00000002-A0DC-455F-902F-556C390D0936}"/>
            </c:ext>
          </c:extLst>
        </c:ser>
        <c:ser>
          <c:idx val="1"/>
          <c:order val="3"/>
          <c:tx>
            <c:strRef>
              <c:f>Calculations!$B$125</c:f>
              <c:strCache>
                <c:ptCount val="1"/>
                <c:pt idx="0">
                  <c:v>Company | Scope 2 emissions (tCO2e)</c:v>
                </c:pt>
              </c:strCache>
            </c:strRef>
          </c:tx>
          <c:spPr>
            <a:ln w="19050" cap="rnd">
              <a:solidFill>
                <a:schemeClr val="accent2"/>
              </a:solidFill>
              <a:round/>
            </a:ln>
            <a:effectLst/>
          </c:spPr>
          <c:marker>
            <c:symbol val="circle"/>
            <c:size val="5"/>
            <c:spPr>
              <a:solidFill>
                <a:srgbClr val="FFC000"/>
              </a:solidFill>
              <a:ln w="9525">
                <a:solidFill>
                  <a:srgbClr val="F6B540"/>
                </a:solidFill>
              </a:ln>
              <a:effectLst/>
            </c:spPr>
          </c:marker>
          <c:xVal>
            <c:numRef>
              <c:f>Calculations!$E$121:$AI$121</c:f>
              <c:numCache>
                <c:formatCode>0</c:formatCode>
                <c:ptCount val="29"/>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pt idx="15">
                  <c:v>2037</c:v>
                </c:pt>
                <c:pt idx="16">
                  <c:v>2038</c:v>
                </c:pt>
                <c:pt idx="17">
                  <c:v>2039</c:v>
                </c:pt>
                <c:pt idx="18">
                  <c:v>2040</c:v>
                </c:pt>
                <c:pt idx="19">
                  <c:v>2041</c:v>
                </c:pt>
                <c:pt idx="20">
                  <c:v>2042</c:v>
                </c:pt>
                <c:pt idx="21">
                  <c:v>2043</c:v>
                </c:pt>
                <c:pt idx="22">
                  <c:v>2044</c:v>
                </c:pt>
                <c:pt idx="23">
                  <c:v>2045</c:v>
                </c:pt>
                <c:pt idx="24">
                  <c:v>2046</c:v>
                </c:pt>
                <c:pt idx="25">
                  <c:v>2047</c:v>
                </c:pt>
                <c:pt idx="26">
                  <c:v>2048</c:v>
                </c:pt>
                <c:pt idx="27">
                  <c:v>2049</c:v>
                </c:pt>
                <c:pt idx="28">
                  <c:v>2050</c:v>
                </c:pt>
              </c:numCache>
            </c:numRef>
          </c:xVal>
          <c:yVal>
            <c:numRef>
              <c:f>Calculations!$E$125:$AI$125</c:f>
            </c:numRef>
          </c:yVal>
          <c:smooth val="0"/>
          <c:extLst>
            <c:ext xmlns:c16="http://schemas.microsoft.com/office/drawing/2014/chart" uri="{C3380CC4-5D6E-409C-BE32-E72D297353CC}">
              <c16:uniqueId val="{00000003-A0DC-455F-902F-556C390D0936}"/>
            </c:ext>
          </c:extLst>
        </c:ser>
        <c:dLbls>
          <c:showLegendKey val="0"/>
          <c:showVal val="0"/>
          <c:showCatName val="0"/>
          <c:showSerName val="0"/>
          <c:showPercent val="0"/>
          <c:showBubbleSize val="0"/>
        </c:dLbls>
        <c:axId val="980015104"/>
        <c:axId val="980019456"/>
      </c:scatterChart>
      <c:valAx>
        <c:axId val="980015104"/>
        <c:scaling>
          <c:orientation val="minMax"/>
          <c:max val="2035"/>
          <c:min val="2020"/>
        </c:scaling>
        <c:delete val="0"/>
        <c:axPos val="b"/>
        <c:majorGridlines>
          <c:spPr>
            <a:ln w="9525" cap="flat" cmpd="sng" algn="ctr">
              <a:solidFill>
                <a:srgbClr val="EAEAEA"/>
              </a:solidFill>
              <a:round/>
            </a:ln>
            <a:effectLst/>
          </c:spPr>
        </c:majorGridlines>
        <c:numFmt formatCode="General" sourceLinked="1"/>
        <c:majorTickMark val="none"/>
        <c:minorTickMark val="none"/>
        <c:tickLblPos val="low"/>
        <c:spPr>
          <a:noFill/>
          <a:ln w="9525" cap="flat" cmpd="sng" algn="ctr">
            <a:solidFill>
              <a:schemeClr val="tx1"/>
            </a:solidFill>
            <a:round/>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980019456"/>
        <c:crossesAt val="0"/>
        <c:crossBetween val="midCat"/>
      </c:valAx>
      <c:valAx>
        <c:axId val="980019456"/>
        <c:scaling>
          <c:orientation val="minMax"/>
        </c:scaling>
        <c:delete val="0"/>
        <c:axPos val="l"/>
        <c:majorGridlines>
          <c:spPr>
            <a:ln w="9525" cap="flat" cmpd="sng" algn="ctr">
              <a:solidFill>
                <a:srgbClr val="EAEAEA"/>
              </a:solidFill>
              <a:round/>
            </a:ln>
            <a:effectLst/>
          </c:spPr>
        </c:majorGridlines>
        <c:title>
          <c:tx>
            <c:rich>
              <a:bodyPr rot="-540000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r>
                  <a:rPr lang="en-US"/>
                  <a:t>tCO2e</a:t>
                </a:r>
              </a:p>
            </c:rich>
          </c:tx>
          <c:layout>
            <c:manualLayout>
              <c:xMode val="edge"/>
              <c:yMode val="edge"/>
              <c:x val="2.2722368037328671E-2"/>
              <c:y val="0.42630551695743912"/>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title>
        <c:numFmt formatCode="#,##0" sourceLinked="0"/>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980015104"/>
        <c:crosses val="autoZero"/>
        <c:crossBetween val="midCat"/>
      </c:valAx>
      <c:spPr>
        <a:noFill/>
        <a:ln>
          <a:noFill/>
        </a:ln>
        <a:effectLst/>
      </c:spPr>
    </c:plotArea>
    <c:legend>
      <c:legendPos val="r"/>
      <c:layout>
        <c:manualLayout>
          <c:xMode val="edge"/>
          <c:yMode val="edge"/>
          <c:x val="0.10007815861740438"/>
          <c:y val="0.9200896177783805"/>
          <c:w val="0.84378628910654674"/>
          <c:h val="6.1422677246377101E-2"/>
        </c:manualLayout>
      </c:layout>
      <c:overlay val="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legend>
    <c:plotVisOnly val="1"/>
    <c:dispBlanksAs val="span"/>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sz="1000">
          <a:solidFill>
            <a:sysClr val="windowText" lastClr="000000"/>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userShapes r:id="rId4"/>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207057451151936"/>
          <c:y val="5.2672790901137356E-2"/>
          <c:w val="0.69398075240594936"/>
          <c:h val="0.68422158308055803"/>
        </c:manualLayout>
      </c:layout>
      <c:scatterChart>
        <c:scatterStyle val="smoothMarker"/>
        <c:varyColors val="0"/>
        <c:ser>
          <c:idx val="0"/>
          <c:order val="0"/>
          <c:tx>
            <c:strRef>
              <c:f>Calculations!$B$135</c:f>
              <c:strCache>
                <c:ptCount val="1"/>
                <c:pt idx="0">
                  <c:v>select a LDV category</c:v>
                </c:pt>
              </c:strCache>
            </c:strRef>
          </c:tx>
          <c:spPr>
            <a:ln w="28575" cap="rnd">
              <a:solidFill>
                <a:srgbClr val="00546E"/>
              </a:solidFill>
              <a:round/>
            </a:ln>
            <a:effectLst/>
          </c:spPr>
          <c:marker>
            <c:symbol val="none"/>
          </c:marker>
          <c:xVal>
            <c:numRef>
              <c:f>Calculations!$E$121:$AI$121</c:f>
              <c:numCache>
                <c:formatCode>0</c:formatCode>
                <c:ptCount val="29"/>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pt idx="15">
                  <c:v>2037</c:v>
                </c:pt>
                <c:pt idx="16">
                  <c:v>2038</c:v>
                </c:pt>
                <c:pt idx="17">
                  <c:v>2039</c:v>
                </c:pt>
                <c:pt idx="18">
                  <c:v>2040</c:v>
                </c:pt>
                <c:pt idx="19">
                  <c:v>2041</c:v>
                </c:pt>
                <c:pt idx="20">
                  <c:v>2042</c:v>
                </c:pt>
                <c:pt idx="21">
                  <c:v>2043</c:v>
                </c:pt>
                <c:pt idx="22">
                  <c:v>2044</c:v>
                </c:pt>
                <c:pt idx="23">
                  <c:v>2045</c:v>
                </c:pt>
                <c:pt idx="24">
                  <c:v>2046</c:v>
                </c:pt>
                <c:pt idx="25">
                  <c:v>2047</c:v>
                </c:pt>
                <c:pt idx="26">
                  <c:v>2048</c:v>
                </c:pt>
                <c:pt idx="27">
                  <c:v>2049</c:v>
                </c:pt>
                <c:pt idx="28">
                  <c:v>2050</c:v>
                </c:pt>
              </c:numCache>
            </c:numRef>
          </c:xVal>
          <c:yVal>
            <c:numRef>
              <c:f>Calculations!$E$135:$AI$135</c:f>
              <c:numCache>
                <c:formatCode>#,##0.00</c:formatCode>
                <c:ptCount val="29"/>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numCache>
            </c:numRef>
          </c:yVal>
          <c:smooth val="1"/>
          <c:extLst>
            <c:ext xmlns:c16="http://schemas.microsoft.com/office/drawing/2014/chart" uri="{C3380CC4-5D6E-409C-BE32-E72D297353CC}">
              <c16:uniqueId val="{00000000-6411-4B31-804D-A61E2DABF69A}"/>
            </c:ext>
          </c:extLst>
        </c:ser>
        <c:ser>
          <c:idx val="1"/>
          <c:order val="1"/>
          <c:tx>
            <c:strRef>
              <c:f>Calculations!$B$136</c:f>
              <c:strCache>
                <c:ptCount val="1"/>
                <c:pt idx="0">
                  <c:v>select a LDV category</c:v>
                </c:pt>
              </c:strCache>
            </c:strRef>
          </c:tx>
          <c:spPr>
            <a:ln w="12700" cap="rnd">
              <a:solidFill>
                <a:srgbClr val="FFC000"/>
              </a:solidFill>
              <a:prstDash val="sysDash"/>
              <a:round/>
            </a:ln>
            <a:effectLst/>
          </c:spPr>
          <c:marker>
            <c:symbol val="none"/>
          </c:marker>
          <c:xVal>
            <c:numRef>
              <c:f>Calculations!$E$121:$AI$121</c:f>
              <c:numCache>
                <c:formatCode>0</c:formatCode>
                <c:ptCount val="29"/>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pt idx="15">
                  <c:v>2037</c:v>
                </c:pt>
                <c:pt idx="16">
                  <c:v>2038</c:v>
                </c:pt>
                <c:pt idx="17">
                  <c:v>2039</c:v>
                </c:pt>
                <c:pt idx="18">
                  <c:v>2040</c:v>
                </c:pt>
                <c:pt idx="19">
                  <c:v>2041</c:v>
                </c:pt>
                <c:pt idx="20">
                  <c:v>2042</c:v>
                </c:pt>
                <c:pt idx="21">
                  <c:v>2043</c:v>
                </c:pt>
                <c:pt idx="22">
                  <c:v>2044</c:v>
                </c:pt>
                <c:pt idx="23">
                  <c:v>2045</c:v>
                </c:pt>
                <c:pt idx="24">
                  <c:v>2046</c:v>
                </c:pt>
                <c:pt idx="25">
                  <c:v>2047</c:v>
                </c:pt>
                <c:pt idx="26">
                  <c:v>2048</c:v>
                </c:pt>
                <c:pt idx="27">
                  <c:v>2049</c:v>
                </c:pt>
                <c:pt idx="28">
                  <c:v>2050</c:v>
                </c:pt>
              </c:numCache>
            </c:numRef>
          </c:xVal>
          <c:yVal>
            <c:numRef>
              <c:f>Calculations!$E$136:$AI$136</c:f>
              <c:numCache>
                <c:formatCode>#,##0.00</c:formatCode>
                <c:ptCount val="29"/>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numCache>
            </c:numRef>
          </c:yVal>
          <c:smooth val="1"/>
          <c:extLst>
            <c:ext xmlns:c16="http://schemas.microsoft.com/office/drawing/2014/chart" uri="{C3380CC4-5D6E-409C-BE32-E72D297353CC}">
              <c16:uniqueId val="{00000001-6411-4B31-804D-A61E2DABF69A}"/>
            </c:ext>
          </c:extLst>
        </c:ser>
        <c:ser>
          <c:idx val="2"/>
          <c:order val="2"/>
          <c:tx>
            <c:strRef>
              <c:f>Calculations!$B$137</c:f>
              <c:strCache>
                <c:ptCount val="1"/>
                <c:pt idx="0">
                  <c:v>select a LDV category</c:v>
                </c:pt>
              </c:strCache>
            </c:strRef>
          </c:tx>
          <c:spPr>
            <a:ln w="28575" cap="rnd">
              <a:solidFill>
                <a:schemeClr val="accent3"/>
              </a:solidFill>
              <a:round/>
            </a:ln>
            <a:effectLst/>
          </c:spPr>
          <c:marker>
            <c:symbol val="circle"/>
            <c:size val="5"/>
            <c:spPr>
              <a:solidFill>
                <a:srgbClr val="7030A0"/>
              </a:solidFill>
              <a:ln w="15875">
                <a:solidFill>
                  <a:srgbClr val="7030A0"/>
                </a:solidFill>
              </a:ln>
              <a:effectLst/>
            </c:spPr>
          </c:marker>
          <c:dLbls>
            <c:dLbl>
              <c:idx val="0"/>
              <c:layout>
                <c:manualLayout>
                  <c:x val="1.7623360051192985E-2"/>
                  <c:y val="4.4543429844097995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2-6411-4B31-804D-A61E2DABF69A}"/>
                </c:ext>
              </c:extLst>
            </c:dLbl>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n-US"/>
              </a:p>
            </c:txPr>
            <c:showLegendKey val="0"/>
            <c:showVal val="1"/>
            <c:showCatName val="1"/>
            <c:showSerName val="0"/>
            <c:showPercent val="0"/>
            <c:showBubbleSize val="0"/>
            <c:showLeaderLines val="0"/>
            <c:extLst>
              <c:ext xmlns:c15="http://schemas.microsoft.com/office/drawing/2012/chart" uri="{CE6537A1-D6FC-4f65-9D91-7224C49458BB}">
                <c15:spPr xmlns:c15="http://schemas.microsoft.com/office/drawing/2012/chart">
                  <a:prstGeom prst="wedgeRectCallout">
                    <a:avLst/>
                  </a:prstGeom>
                  <a:noFill/>
                  <a:ln>
                    <a:noFill/>
                  </a:ln>
                </c15:spPr>
                <c15:showLeaderLines val="0"/>
              </c:ext>
            </c:extLst>
          </c:dLbls>
          <c:xVal>
            <c:numRef>
              <c:f>AutomakersOLD!$D$74</c:f>
              <c:numCache>
                <c:formatCode>General</c:formatCode>
                <c:ptCount val="1"/>
                <c:pt idx="0">
                  <c:v>2033</c:v>
                </c:pt>
              </c:numCache>
            </c:numRef>
          </c:xVal>
          <c:yVal>
            <c:numRef>
              <c:f>Calculations!$D$137</c:f>
              <c:numCache>
                <c:formatCode>#,##0.00</c:formatCode>
                <c:ptCount val="1"/>
                <c:pt idx="0">
                  <c:v>#N/A</c:v>
                </c:pt>
              </c:numCache>
            </c:numRef>
          </c:yVal>
          <c:smooth val="1"/>
          <c:extLst>
            <c:ext xmlns:c16="http://schemas.microsoft.com/office/drawing/2014/chart" uri="{C3380CC4-5D6E-409C-BE32-E72D297353CC}">
              <c16:uniqueId val="{00000003-6411-4B31-804D-A61E2DABF69A}"/>
            </c:ext>
          </c:extLst>
        </c:ser>
        <c:dLbls>
          <c:showLegendKey val="0"/>
          <c:showVal val="0"/>
          <c:showCatName val="0"/>
          <c:showSerName val="0"/>
          <c:showPercent val="0"/>
          <c:showBubbleSize val="0"/>
        </c:dLbls>
        <c:axId val="949570272"/>
        <c:axId val="949571904"/>
      </c:scatterChart>
      <c:valAx>
        <c:axId val="949570272"/>
        <c:scaling>
          <c:orientation val="minMax"/>
          <c:max val="2040"/>
          <c:min val="2020"/>
        </c:scaling>
        <c:delete val="0"/>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low"/>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49571904"/>
        <c:crossesAt val="0"/>
        <c:crossBetween val="midCat"/>
      </c:valAx>
      <c:valAx>
        <c:axId val="949571904"/>
        <c:scaling>
          <c:orientation val="minMax"/>
          <c:min val="0"/>
        </c:scaling>
        <c:delete val="0"/>
        <c:axPos val="l"/>
        <c:majorGridlines>
          <c:spPr>
            <a:ln w="9525" cap="flat" cmpd="sng" algn="ctr">
              <a:solidFill>
                <a:schemeClr val="tx1">
                  <a:lumMod val="15000"/>
                  <a:lumOff val="85000"/>
                </a:schemeClr>
              </a:solidFill>
              <a:round/>
            </a:ln>
            <a:effectLst/>
          </c:spPr>
        </c:majorGridlines>
        <c:title>
          <c:tx>
            <c:strRef>
              <c:f>AutomakersOLD!$F$75</c:f>
              <c:strCache>
                <c:ptCount val="1"/>
                <c:pt idx="0">
                  <c:v>gCO2e/vkm</c:v>
                </c:pt>
              </c:strCache>
            </c:strRef>
          </c:tx>
          <c:layout>
            <c:manualLayout>
              <c:xMode val="edge"/>
              <c:yMode val="edge"/>
              <c:x val="2.2722368037328671E-2"/>
              <c:y val="0.42630551695743912"/>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49570272"/>
        <c:crosses val="autoZero"/>
        <c:crossBetween val="midCat"/>
      </c:valAx>
      <c:spPr>
        <a:noFill/>
        <a:ln>
          <a:noFill/>
        </a:ln>
        <a:effectLst/>
      </c:spPr>
    </c:plotArea>
    <c:legend>
      <c:legendPos val="r"/>
      <c:layout>
        <c:manualLayout>
          <c:xMode val="edge"/>
          <c:yMode val="edge"/>
          <c:x val="0.1887580804295263"/>
          <c:y val="0.83391432358380357"/>
          <c:w val="0.70801938212777205"/>
          <c:h val="0.14055458636532706"/>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userShapes r:id="rId3"/>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207057451151936"/>
          <c:y val="5.2672790901137356E-2"/>
          <c:w val="0.69901600593603941"/>
          <c:h val="0.68278271722883954"/>
        </c:manualLayout>
      </c:layout>
      <c:scatterChart>
        <c:scatterStyle val="smoothMarker"/>
        <c:varyColors val="0"/>
        <c:ser>
          <c:idx val="0"/>
          <c:order val="0"/>
          <c:tx>
            <c:strRef>
              <c:f>Calculations!$B$140</c:f>
              <c:strCache>
                <c:ptCount val="1"/>
                <c:pt idx="0">
                  <c:v>select a vehicle category</c:v>
                </c:pt>
              </c:strCache>
            </c:strRef>
          </c:tx>
          <c:spPr>
            <a:ln w="28575" cap="rnd">
              <a:solidFill>
                <a:srgbClr val="00546E"/>
              </a:solidFill>
              <a:round/>
            </a:ln>
            <a:effectLst/>
          </c:spPr>
          <c:marker>
            <c:symbol val="none"/>
          </c:marker>
          <c:xVal>
            <c:numRef>
              <c:f>Calculations!$E$121:$AI$121</c:f>
              <c:numCache>
                <c:formatCode>0</c:formatCode>
                <c:ptCount val="29"/>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pt idx="15">
                  <c:v>2037</c:v>
                </c:pt>
                <c:pt idx="16">
                  <c:v>2038</c:v>
                </c:pt>
                <c:pt idx="17">
                  <c:v>2039</c:v>
                </c:pt>
                <c:pt idx="18">
                  <c:v>2040</c:v>
                </c:pt>
                <c:pt idx="19">
                  <c:v>2041</c:v>
                </c:pt>
                <c:pt idx="20">
                  <c:v>2042</c:v>
                </c:pt>
                <c:pt idx="21">
                  <c:v>2043</c:v>
                </c:pt>
                <c:pt idx="22">
                  <c:v>2044</c:v>
                </c:pt>
                <c:pt idx="23">
                  <c:v>2045</c:v>
                </c:pt>
                <c:pt idx="24">
                  <c:v>2046</c:v>
                </c:pt>
                <c:pt idx="25">
                  <c:v>2047</c:v>
                </c:pt>
                <c:pt idx="26">
                  <c:v>2048</c:v>
                </c:pt>
                <c:pt idx="27">
                  <c:v>2049</c:v>
                </c:pt>
                <c:pt idx="28">
                  <c:v>2050</c:v>
                </c:pt>
              </c:numCache>
            </c:numRef>
          </c:xVal>
          <c:yVal>
            <c:numRef>
              <c:f>Calculations!$E$140:$AI$140</c:f>
              <c:numCache>
                <c:formatCode>#,##0</c:formatCode>
                <c:ptCount val="29"/>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numCache>
            </c:numRef>
          </c:yVal>
          <c:smooth val="1"/>
          <c:extLst>
            <c:ext xmlns:c16="http://schemas.microsoft.com/office/drawing/2014/chart" uri="{C3380CC4-5D6E-409C-BE32-E72D297353CC}">
              <c16:uniqueId val="{00000000-3B60-49AA-BE5B-3CF5CD52B7D9}"/>
            </c:ext>
          </c:extLst>
        </c:ser>
        <c:ser>
          <c:idx val="1"/>
          <c:order val="1"/>
          <c:tx>
            <c:strRef>
              <c:f>Calculations!$B$141</c:f>
              <c:strCache>
                <c:ptCount val="1"/>
                <c:pt idx="0">
                  <c:v>select a vehicle category</c:v>
                </c:pt>
              </c:strCache>
            </c:strRef>
          </c:tx>
          <c:spPr>
            <a:ln w="12700" cap="rnd">
              <a:solidFill>
                <a:srgbClr val="FFC000"/>
              </a:solidFill>
              <a:prstDash val="sysDash"/>
              <a:round/>
            </a:ln>
            <a:effectLst/>
          </c:spPr>
          <c:marker>
            <c:symbol val="none"/>
          </c:marker>
          <c:xVal>
            <c:numRef>
              <c:f>Calculations!$E$121:$AI$121</c:f>
              <c:numCache>
                <c:formatCode>0</c:formatCode>
                <c:ptCount val="29"/>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pt idx="15">
                  <c:v>2037</c:v>
                </c:pt>
                <c:pt idx="16">
                  <c:v>2038</c:v>
                </c:pt>
                <c:pt idx="17">
                  <c:v>2039</c:v>
                </c:pt>
                <c:pt idx="18">
                  <c:v>2040</c:v>
                </c:pt>
                <c:pt idx="19">
                  <c:v>2041</c:v>
                </c:pt>
                <c:pt idx="20">
                  <c:v>2042</c:v>
                </c:pt>
                <c:pt idx="21">
                  <c:v>2043</c:v>
                </c:pt>
                <c:pt idx="22">
                  <c:v>2044</c:v>
                </c:pt>
                <c:pt idx="23">
                  <c:v>2045</c:v>
                </c:pt>
                <c:pt idx="24">
                  <c:v>2046</c:v>
                </c:pt>
                <c:pt idx="25">
                  <c:v>2047</c:v>
                </c:pt>
                <c:pt idx="26">
                  <c:v>2048</c:v>
                </c:pt>
                <c:pt idx="27">
                  <c:v>2049</c:v>
                </c:pt>
                <c:pt idx="28">
                  <c:v>2050</c:v>
                </c:pt>
              </c:numCache>
            </c:numRef>
          </c:xVal>
          <c:yVal>
            <c:numRef>
              <c:f>Calculations!$E$141:$AI$141</c:f>
              <c:numCache>
                <c:formatCode>#,##0</c:formatCode>
                <c:ptCount val="29"/>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numCache>
            </c:numRef>
          </c:yVal>
          <c:smooth val="1"/>
          <c:extLst>
            <c:ext xmlns:c16="http://schemas.microsoft.com/office/drawing/2014/chart" uri="{C3380CC4-5D6E-409C-BE32-E72D297353CC}">
              <c16:uniqueId val="{00000001-3B60-49AA-BE5B-3CF5CD52B7D9}"/>
            </c:ext>
          </c:extLst>
        </c:ser>
        <c:ser>
          <c:idx val="2"/>
          <c:order val="2"/>
          <c:tx>
            <c:strRef>
              <c:f>Calculations!$B$142</c:f>
              <c:strCache>
                <c:ptCount val="1"/>
                <c:pt idx="0">
                  <c:v>select a vehicle category</c:v>
                </c:pt>
              </c:strCache>
            </c:strRef>
          </c:tx>
          <c:spPr>
            <a:ln w="28575" cap="rnd">
              <a:solidFill>
                <a:schemeClr val="accent3"/>
              </a:solidFill>
              <a:round/>
            </a:ln>
            <a:effectLst/>
          </c:spPr>
          <c:marker>
            <c:symbol val="circle"/>
            <c:size val="5"/>
            <c:spPr>
              <a:solidFill>
                <a:srgbClr val="7030A0"/>
              </a:solidFill>
              <a:ln w="15875">
                <a:solidFill>
                  <a:srgbClr val="7030A0"/>
                </a:solidFill>
              </a:ln>
              <a:effectLst/>
            </c:spPr>
          </c:marker>
          <c:dLbls>
            <c:dLbl>
              <c:idx val="0"/>
              <c:layout>
                <c:manualLayout>
                  <c:x val="2.0140982915649128E-2"/>
                  <c:y val="-5.8708414872798494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2-3B60-49AA-BE5B-3CF5CD52B7D9}"/>
                </c:ext>
              </c:extLst>
            </c:dLbl>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n-US"/>
              </a:p>
            </c:txPr>
            <c:showLegendKey val="0"/>
            <c:showVal val="0"/>
            <c:showCatName val="0"/>
            <c:showSerName val="1"/>
            <c:showPercent val="0"/>
            <c:showBubbleSize val="0"/>
            <c:showLeaderLines val="0"/>
            <c:extLst>
              <c:ext xmlns:c15="http://schemas.microsoft.com/office/drawing/2012/chart" uri="{CE6537A1-D6FC-4f65-9D91-7224C49458BB}">
                <c15:spPr xmlns:c15="http://schemas.microsoft.com/office/drawing/2012/chart">
                  <a:prstGeom prst="wedgeRectCallout">
                    <a:avLst/>
                  </a:prstGeom>
                  <a:noFill/>
                  <a:ln>
                    <a:noFill/>
                  </a:ln>
                </c15:spPr>
                <c15:showLeaderLines val="0"/>
              </c:ext>
            </c:extLst>
          </c:dLbls>
          <c:xVal>
            <c:numRef>
              <c:f>AutomakersOLD!$D$114</c:f>
              <c:numCache>
                <c:formatCode>General</c:formatCode>
                <c:ptCount val="1"/>
                <c:pt idx="0">
                  <c:v>2033</c:v>
                </c:pt>
              </c:numCache>
            </c:numRef>
          </c:xVal>
          <c:yVal>
            <c:numRef>
              <c:f>Calculations!$D$142</c:f>
              <c:numCache>
                <c:formatCode>#,##0.00</c:formatCode>
                <c:ptCount val="1"/>
                <c:pt idx="0">
                  <c:v>#N/A</c:v>
                </c:pt>
              </c:numCache>
            </c:numRef>
          </c:yVal>
          <c:smooth val="1"/>
          <c:extLst>
            <c:ext xmlns:c16="http://schemas.microsoft.com/office/drawing/2014/chart" uri="{C3380CC4-5D6E-409C-BE32-E72D297353CC}">
              <c16:uniqueId val="{00000003-3B60-49AA-BE5B-3CF5CD52B7D9}"/>
            </c:ext>
          </c:extLst>
        </c:ser>
        <c:dLbls>
          <c:showLegendKey val="0"/>
          <c:showVal val="0"/>
          <c:showCatName val="0"/>
          <c:showSerName val="0"/>
          <c:showPercent val="0"/>
          <c:showBubbleSize val="0"/>
        </c:dLbls>
        <c:axId val="949570272"/>
        <c:axId val="949571904"/>
      </c:scatterChart>
      <c:valAx>
        <c:axId val="949570272"/>
        <c:scaling>
          <c:orientation val="minMax"/>
          <c:max val="2040"/>
          <c:min val="2020"/>
        </c:scaling>
        <c:delete val="0"/>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low"/>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49571904"/>
        <c:crossesAt val="0"/>
        <c:crossBetween val="midCat"/>
      </c:valAx>
      <c:valAx>
        <c:axId val="949571904"/>
        <c:scaling>
          <c:orientation val="minMax"/>
          <c:min val="0"/>
        </c:scaling>
        <c:delete val="0"/>
        <c:axPos val="l"/>
        <c:majorGridlines>
          <c:spPr>
            <a:ln w="9525" cap="flat" cmpd="sng" algn="ctr">
              <a:solidFill>
                <a:schemeClr val="tx1">
                  <a:lumMod val="15000"/>
                  <a:lumOff val="85000"/>
                </a:schemeClr>
              </a:solidFill>
              <a:round/>
            </a:ln>
            <a:effectLst/>
          </c:spPr>
        </c:majorGridlines>
        <c:title>
          <c:tx>
            <c:strRef>
              <c:f>AutomakersOLD!$F$75</c:f>
              <c:strCache>
                <c:ptCount val="1"/>
                <c:pt idx="0">
                  <c:v>gCO2e/vkm</c:v>
                </c:pt>
              </c:strCache>
            </c:strRef>
          </c:tx>
          <c:layout>
            <c:manualLayout>
              <c:xMode val="edge"/>
              <c:yMode val="edge"/>
              <c:x val="2.2722368037328671E-2"/>
              <c:y val="0.42630551695743912"/>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49570272"/>
        <c:crosses val="autoZero"/>
        <c:crossBetween val="midCat"/>
      </c:valAx>
      <c:spPr>
        <a:noFill/>
        <a:ln>
          <a:noFill/>
        </a:ln>
        <a:effectLst/>
      </c:spPr>
    </c:plotArea>
    <c:legend>
      <c:legendPos val="b"/>
      <c:layout>
        <c:manualLayout>
          <c:xMode val="edge"/>
          <c:yMode val="edge"/>
          <c:x val="0.1572620236811175"/>
          <c:y val="0.81288067097519123"/>
          <c:w val="0.73834603279134403"/>
          <c:h val="0.16675273024680468"/>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userShapes r:id="rId3"/>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207057451151936"/>
          <c:y val="5.2672790901137356E-2"/>
          <c:w val="0.69398075240594936"/>
          <c:h val="0.68895987706841166"/>
        </c:manualLayout>
      </c:layout>
      <c:scatterChart>
        <c:scatterStyle val="smoothMarker"/>
        <c:varyColors val="0"/>
        <c:ser>
          <c:idx val="0"/>
          <c:order val="0"/>
          <c:tx>
            <c:strRef>
              <c:f>Calculations!$B$145</c:f>
              <c:strCache>
                <c:ptCount val="1"/>
                <c:pt idx="0">
                  <c:v>select a vehicle category</c:v>
                </c:pt>
              </c:strCache>
            </c:strRef>
          </c:tx>
          <c:spPr>
            <a:ln w="28575" cap="rnd">
              <a:solidFill>
                <a:srgbClr val="00546E"/>
              </a:solidFill>
              <a:round/>
            </a:ln>
            <a:effectLst/>
          </c:spPr>
          <c:marker>
            <c:symbol val="none"/>
          </c:marker>
          <c:xVal>
            <c:numRef>
              <c:f>Calculations!$E$121:$AI$121</c:f>
              <c:numCache>
                <c:formatCode>0</c:formatCode>
                <c:ptCount val="29"/>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pt idx="15">
                  <c:v>2037</c:v>
                </c:pt>
                <c:pt idx="16">
                  <c:v>2038</c:v>
                </c:pt>
                <c:pt idx="17">
                  <c:v>2039</c:v>
                </c:pt>
                <c:pt idx="18">
                  <c:v>2040</c:v>
                </c:pt>
                <c:pt idx="19">
                  <c:v>2041</c:v>
                </c:pt>
                <c:pt idx="20">
                  <c:v>2042</c:v>
                </c:pt>
                <c:pt idx="21">
                  <c:v>2043</c:v>
                </c:pt>
                <c:pt idx="22">
                  <c:v>2044</c:v>
                </c:pt>
                <c:pt idx="23">
                  <c:v>2045</c:v>
                </c:pt>
                <c:pt idx="24">
                  <c:v>2046</c:v>
                </c:pt>
                <c:pt idx="25">
                  <c:v>2047</c:v>
                </c:pt>
                <c:pt idx="26">
                  <c:v>2048</c:v>
                </c:pt>
                <c:pt idx="27">
                  <c:v>2049</c:v>
                </c:pt>
                <c:pt idx="28">
                  <c:v>2050</c:v>
                </c:pt>
              </c:numCache>
            </c:numRef>
          </c:xVal>
          <c:yVal>
            <c:numRef>
              <c:f>Calculations!$E$145:$AI$145</c:f>
              <c:numCache>
                <c:formatCode>#,##0</c:formatCode>
                <c:ptCount val="29"/>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numCache>
            </c:numRef>
          </c:yVal>
          <c:smooth val="1"/>
          <c:extLst>
            <c:ext xmlns:c16="http://schemas.microsoft.com/office/drawing/2014/chart" uri="{C3380CC4-5D6E-409C-BE32-E72D297353CC}">
              <c16:uniqueId val="{00000000-DE1E-4B4B-A7D1-62AB2B8F401C}"/>
            </c:ext>
          </c:extLst>
        </c:ser>
        <c:ser>
          <c:idx val="1"/>
          <c:order val="1"/>
          <c:tx>
            <c:strRef>
              <c:f>Calculations!$B$146</c:f>
              <c:strCache>
                <c:ptCount val="1"/>
                <c:pt idx="0">
                  <c:v>select a vehicle category</c:v>
                </c:pt>
              </c:strCache>
            </c:strRef>
          </c:tx>
          <c:spPr>
            <a:ln w="12700" cap="rnd">
              <a:solidFill>
                <a:srgbClr val="FFC000"/>
              </a:solidFill>
              <a:prstDash val="sysDash"/>
              <a:round/>
            </a:ln>
            <a:effectLst/>
          </c:spPr>
          <c:marker>
            <c:symbol val="none"/>
          </c:marker>
          <c:xVal>
            <c:numRef>
              <c:f>Calculations!$E$121:$AI$121</c:f>
              <c:numCache>
                <c:formatCode>0</c:formatCode>
                <c:ptCount val="29"/>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pt idx="15">
                  <c:v>2037</c:v>
                </c:pt>
                <c:pt idx="16">
                  <c:v>2038</c:v>
                </c:pt>
                <c:pt idx="17">
                  <c:v>2039</c:v>
                </c:pt>
                <c:pt idx="18">
                  <c:v>2040</c:v>
                </c:pt>
                <c:pt idx="19">
                  <c:v>2041</c:v>
                </c:pt>
                <c:pt idx="20">
                  <c:v>2042</c:v>
                </c:pt>
                <c:pt idx="21">
                  <c:v>2043</c:v>
                </c:pt>
                <c:pt idx="22">
                  <c:v>2044</c:v>
                </c:pt>
                <c:pt idx="23">
                  <c:v>2045</c:v>
                </c:pt>
                <c:pt idx="24">
                  <c:v>2046</c:v>
                </c:pt>
                <c:pt idx="25">
                  <c:v>2047</c:v>
                </c:pt>
                <c:pt idx="26">
                  <c:v>2048</c:v>
                </c:pt>
                <c:pt idx="27">
                  <c:v>2049</c:v>
                </c:pt>
                <c:pt idx="28">
                  <c:v>2050</c:v>
                </c:pt>
              </c:numCache>
            </c:numRef>
          </c:xVal>
          <c:yVal>
            <c:numRef>
              <c:f>Calculations!$E$146:$AI$146</c:f>
              <c:numCache>
                <c:formatCode>#,##0</c:formatCode>
                <c:ptCount val="29"/>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numCache>
            </c:numRef>
          </c:yVal>
          <c:smooth val="1"/>
          <c:extLst>
            <c:ext xmlns:c16="http://schemas.microsoft.com/office/drawing/2014/chart" uri="{C3380CC4-5D6E-409C-BE32-E72D297353CC}">
              <c16:uniqueId val="{00000001-DE1E-4B4B-A7D1-62AB2B8F401C}"/>
            </c:ext>
          </c:extLst>
        </c:ser>
        <c:ser>
          <c:idx val="2"/>
          <c:order val="2"/>
          <c:tx>
            <c:strRef>
              <c:f>Calculations!$B$147</c:f>
              <c:strCache>
                <c:ptCount val="1"/>
                <c:pt idx="0">
                  <c:v>select a vehicle category</c:v>
                </c:pt>
              </c:strCache>
            </c:strRef>
          </c:tx>
          <c:spPr>
            <a:ln w="28575" cap="rnd">
              <a:solidFill>
                <a:schemeClr val="accent3"/>
              </a:solidFill>
              <a:round/>
            </a:ln>
            <a:effectLst/>
          </c:spPr>
          <c:marker>
            <c:symbol val="circle"/>
            <c:size val="5"/>
            <c:spPr>
              <a:solidFill>
                <a:srgbClr val="7030A0"/>
              </a:solidFill>
              <a:ln w="15875">
                <a:solidFill>
                  <a:srgbClr val="7030A0"/>
                </a:solidFill>
              </a:ln>
              <a:effectLst/>
            </c:spPr>
          </c:marker>
          <c:dLbls>
            <c:dLbl>
              <c:idx val="0"/>
              <c:layout>
                <c:manualLayout>
                  <c:x val="-1.7623360051193079E-2"/>
                  <c:y val="-0.17354289456450564"/>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2-DE1E-4B4B-A7D1-62AB2B8F401C}"/>
                </c:ext>
              </c:extLst>
            </c:dLbl>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n-US"/>
              </a:p>
            </c:txPr>
            <c:showLegendKey val="0"/>
            <c:showVal val="0"/>
            <c:showCatName val="0"/>
            <c:showSerName val="1"/>
            <c:showPercent val="0"/>
            <c:showBubbleSize val="0"/>
            <c:showLeaderLines val="0"/>
            <c:extLst>
              <c:ext xmlns:c15="http://schemas.microsoft.com/office/drawing/2012/chart" uri="{CE6537A1-D6FC-4f65-9D91-7224C49458BB}">
                <c15:spPr xmlns:c15="http://schemas.microsoft.com/office/drawing/2012/chart">
                  <a:prstGeom prst="wedgeRectCallout">
                    <a:avLst/>
                  </a:prstGeom>
                  <a:noFill/>
                  <a:ln>
                    <a:noFill/>
                  </a:ln>
                </c15:spPr>
                <c15:showLeaderLines val="0"/>
              </c:ext>
            </c:extLst>
          </c:dLbls>
          <c:xVal>
            <c:numRef>
              <c:f>AutomakersOLD!$D$114</c:f>
              <c:numCache>
                <c:formatCode>General</c:formatCode>
                <c:ptCount val="1"/>
                <c:pt idx="0">
                  <c:v>2033</c:v>
                </c:pt>
              </c:numCache>
            </c:numRef>
          </c:xVal>
          <c:yVal>
            <c:numRef>
              <c:f>Calculations!$D$147</c:f>
              <c:numCache>
                <c:formatCode>#,##0.00</c:formatCode>
                <c:ptCount val="1"/>
                <c:pt idx="0">
                  <c:v>#N/A</c:v>
                </c:pt>
              </c:numCache>
            </c:numRef>
          </c:yVal>
          <c:smooth val="1"/>
          <c:extLst>
            <c:ext xmlns:c16="http://schemas.microsoft.com/office/drawing/2014/chart" uri="{C3380CC4-5D6E-409C-BE32-E72D297353CC}">
              <c16:uniqueId val="{00000003-DE1E-4B4B-A7D1-62AB2B8F401C}"/>
            </c:ext>
          </c:extLst>
        </c:ser>
        <c:dLbls>
          <c:showLegendKey val="0"/>
          <c:showVal val="0"/>
          <c:showCatName val="0"/>
          <c:showSerName val="0"/>
          <c:showPercent val="0"/>
          <c:showBubbleSize val="0"/>
        </c:dLbls>
        <c:axId val="949570272"/>
        <c:axId val="949571904"/>
      </c:scatterChart>
      <c:valAx>
        <c:axId val="949570272"/>
        <c:scaling>
          <c:orientation val="minMax"/>
          <c:max val="2040"/>
          <c:min val="2020"/>
        </c:scaling>
        <c:delete val="0"/>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low"/>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49571904"/>
        <c:crosses val="autoZero"/>
        <c:crossBetween val="midCat"/>
      </c:valAx>
      <c:valAx>
        <c:axId val="949571904"/>
        <c:scaling>
          <c:orientation val="minMax"/>
          <c:min val="0"/>
        </c:scaling>
        <c:delete val="0"/>
        <c:axPos val="l"/>
        <c:majorGridlines>
          <c:spPr>
            <a:ln w="9525" cap="flat" cmpd="sng" algn="ctr">
              <a:solidFill>
                <a:schemeClr val="tx1">
                  <a:lumMod val="15000"/>
                  <a:lumOff val="85000"/>
                </a:schemeClr>
              </a:solidFill>
              <a:round/>
            </a:ln>
            <a:effectLst/>
          </c:spPr>
        </c:majorGridlines>
        <c:title>
          <c:tx>
            <c:strRef>
              <c:f>AutomakersOLD!$F$75</c:f>
              <c:strCache>
                <c:ptCount val="1"/>
                <c:pt idx="0">
                  <c:v>gCO2e/vkm</c:v>
                </c:pt>
              </c:strCache>
            </c:strRef>
          </c:tx>
          <c:layout>
            <c:manualLayout>
              <c:xMode val="edge"/>
              <c:yMode val="edge"/>
              <c:x val="2.2722368037328671E-2"/>
              <c:y val="0.42630551695743912"/>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49570272"/>
        <c:crosses val="autoZero"/>
        <c:crossBetween val="midCat"/>
      </c:valAx>
      <c:spPr>
        <a:noFill/>
        <a:ln>
          <a:noFill/>
        </a:ln>
        <a:effectLst/>
      </c:spPr>
    </c:plotArea>
    <c:legend>
      <c:legendPos val="r"/>
      <c:layout>
        <c:manualLayout>
          <c:xMode val="edge"/>
          <c:yMode val="edge"/>
          <c:x val="0.19863984929152706"/>
          <c:y val="0.80901979590468676"/>
          <c:w val="0.70065523613022729"/>
          <c:h val="0.16126623661236841"/>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userShapes r:id="rId3"/>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654161804855326"/>
          <c:y val="5.2672790901137356E-2"/>
          <c:w val="0.84466038766333029"/>
          <c:h val="0.77736850908342348"/>
        </c:manualLayout>
      </c:layout>
      <c:scatterChart>
        <c:scatterStyle val="smoothMarker"/>
        <c:varyColors val="0"/>
        <c:ser>
          <c:idx val="3"/>
          <c:order val="1"/>
          <c:tx>
            <c:strRef>
              <c:f>Calculations!$B$127</c:f>
              <c:strCache>
                <c:ptCount val="1"/>
                <c:pt idx="0">
                  <c:v>Scope 2 target</c:v>
                </c:pt>
              </c:strCache>
            </c:strRef>
          </c:tx>
          <c:spPr>
            <a:ln w="19050" cap="rnd">
              <a:solidFill>
                <a:schemeClr val="accent4"/>
              </a:solidFill>
              <a:round/>
            </a:ln>
            <a:effectLst/>
          </c:spPr>
          <c:marker>
            <c:symbol val="square"/>
            <c:size val="5"/>
            <c:spPr>
              <a:solidFill>
                <a:schemeClr val="accent4"/>
              </a:solidFill>
              <a:ln w="31750">
                <a:solidFill>
                  <a:srgbClr val="FFC000"/>
                </a:solidFill>
              </a:ln>
              <a:effectLst/>
            </c:spPr>
          </c:marker>
          <c:xVal>
            <c:numRef>
              <c:f>Automakers!$D$27</c:f>
            </c:numRef>
          </c:xVal>
          <c:yVal>
            <c:numRef>
              <c:f>Calculations!$D$127</c:f>
            </c:numRef>
          </c:yVal>
          <c:smooth val="1"/>
          <c:extLst>
            <c:ext xmlns:c16="http://schemas.microsoft.com/office/drawing/2014/chart" uri="{C3380CC4-5D6E-409C-BE32-E72D297353CC}">
              <c16:uniqueId val="{00000002-7860-4468-9D47-147623ECE803}"/>
            </c:ext>
          </c:extLst>
        </c:ser>
        <c:ser>
          <c:idx val="2"/>
          <c:order val="2"/>
          <c:tx>
            <c:strRef>
              <c:f>Calculations!$B$126</c:f>
              <c:strCache>
                <c:ptCount val="1"/>
                <c:pt idx="0">
                  <c:v>Scope 1 target</c:v>
                </c:pt>
              </c:strCache>
            </c:strRef>
          </c:tx>
          <c:spPr>
            <a:ln w="19050" cap="rnd">
              <a:solidFill>
                <a:schemeClr val="accent3"/>
              </a:solidFill>
              <a:round/>
            </a:ln>
            <a:effectLst/>
          </c:spPr>
          <c:marker>
            <c:symbol val="circle"/>
            <c:size val="5"/>
            <c:spPr>
              <a:solidFill>
                <a:srgbClr val="00546E"/>
              </a:solidFill>
              <a:ln w="31750">
                <a:solidFill>
                  <a:srgbClr val="00546E"/>
                </a:solidFill>
              </a:ln>
              <a:effectLst/>
            </c:spPr>
          </c:marker>
          <c:xVal>
            <c:numRef>
              <c:f>Automakers!$D$27</c:f>
            </c:numRef>
          </c:xVal>
          <c:yVal>
            <c:numRef>
              <c:f>Calculations!$D$126</c:f>
            </c:numRef>
          </c:yVal>
          <c:smooth val="1"/>
          <c:extLst>
            <c:ext xmlns:c16="http://schemas.microsoft.com/office/drawing/2014/chart" uri="{C3380CC4-5D6E-409C-BE32-E72D297353CC}">
              <c16:uniqueId val="{00000004-7860-4468-9D47-147623ECE803}"/>
            </c:ext>
          </c:extLst>
        </c:ser>
        <c:dLbls>
          <c:showLegendKey val="0"/>
          <c:showVal val="0"/>
          <c:showCatName val="0"/>
          <c:showSerName val="0"/>
          <c:showPercent val="0"/>
          <c:showBubbleSize val="0"/>
        </c:dLbls>
        <c:axId val="980015104"/>
        <c:axId val="980019456"/>
      </c:scatterChart>
      <c:scatterChart>
        <c:scatterStyle val="lineMarker"/>
        <c:varyColors val="0"/>
        <c:ser>
          <c:idx val="0"/>
          <c:order val="0"/>
          <c:tx>
            <c:strRef>
              <c:f>Calculations!$B$124</c:f>
              <c:strCache>
                <c:ptCount val="1"/>
                <c:pt idx="0">
                  <c:v>Company | Scope 1 emissions (tCO2e)</c:v>
                </c:pt>
              </c:strCache>
            </c:strRef>
          </c:tx>
          <c:spPr>
            <a:ln w="19050" cap="rnd">
              <a:solidFill>
                <a:schemeClr val="accent1"/>
              </a:solidFill>
              <a:round/>
            </a:ln>
            <a:effectLst/>
          </c:spPr>
          <c:marker>
            <c:symbol val="circle"/>
            <c:size val="5"/>
            <c:spPr>
              <a:solidFill>
                <a:schemeClr val="accent1"/>
              </a:solidFill>
              <a:ln w="9525">
                <a:solidFill>
                  <a:srgbClr val="00546E"/>
                </a:solidFill>
              </a:ln>
              <a:effectLst/>
            </c:spPr>
          </c:marker>
          <c:xVal>
            <c:numRef>
              <c:f>Calculations!$E$121:$AI$121</c:f>
              <c:numCache>
                <c:formatCode>0</c:formatCode>
                <c:ptCount val="29"/>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pt idx="15">
                  <c:v>2037</c:v>
                </c:pt>
                <c:pt idx="16">
                  <c:v>2038</c:v>
                </c:pt>
                <c:pt idx="17">
                  <c:v>2039</c:v>
                </c:pt>
                <c:pt idx="18">
                  <c:v>2040</c:v>
                </c:pt>
                <c:pt idx="19">
                  <c:v>2041</c:v>
                </c:pt>
                <c:pt idx="20">
                  <c:v>2042</c:v>
                </c:pt>
                <c:pt idx="21">
                  <c:v>2043</c:v>
                </c:pt>
                <c:pt idx="22">
                  <c:v>2044</c:v>
                </c:pt>
                <c:pt idx="23">
                  <c:v>2045</c:v>
                </c:pt>
                <c:pt idx="24">
                  <c:v>2046</c:v>
                </c:pt>
                <c:pt idx="25">
                  <c:v>2047</c:v>
                </c:pt>
                <c:pt idx="26">
                  <c:v>2048</c:v>
                </c:pt>
                <c:pt idx="27">
                  <c:v>2049</c:v>
                </c:pt>
                <c:pt idx="28">
                  <c:v>2050</c:v>
                </c:pt>
              </c:numCache>
            </c:numRef>
          </c:xVal>
          <c:yVal>
            <c:numRef>
              <c:f>Calculations!$E$124:$AI$124</c:f>
            </c:numRef>
          </c:yVal>
          <c:smooth val="0"/>
          <c:extLst>
            <c:ext xmlns:c16="http://schemas.microsoft.com/office/drawing/2014/chart" uri="{C3380CC4-5D6E-409C-BE32-E72D297353CC}">
              <c16:uniqueId val="{00000003-D0A5-40C9-A551-E595A2F775E6}"/>
            </c:ext>
          </c:extLst>
        </c:ser>
        <c:ser>
          <c:idx val="1"/>
          <c:order val="3"/>
          <c:tx>
            <c:strRef>
              <c:f>Calculations!$B$125</c:f>
              <c:strCache>
                <c:ptCount val="1"/>
                <c:pt idx="0">
                  <c:v>Company | Scope 2 emissions (tCO2e)</c:v>
                </c:pt>
              </c:strCache>
            </c:strRef>
          </c:tx>
          <c:spPr>
            <a:ln w="19050" cap="rnd">
              <a:solidFill>
                <a:schemeClr val="accent2"/>
              </a:solidFill>
              <a:round/>
            </a:ln>
            <a:effectLst/>
          </c:spPr>
          <c:marker>
            <c:symbol val="circle"/>
            <c:size val="5"/>
            <c:spPr>
              <a:solidFill>
                <a:srgbClr val="FFC000"/>
              </a:solidFill>
              <a:ln w="9525">
                <a:solidFill>
                  <a:srgbClr val="F6B540"/>
                </a:solidFill>
              </a:ln>
              <a:effectLst/>
            </c:spPr>
          </c:marker>
          <c:xVal>
            <c:numRef>
              <c:f>Calculations!$E$121:$AI$121</c:f>
              <c:numCache>
                <c:formatCode>0</c:formatCode>
                <c:ptCount val="29"/>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pt idx="15">
                  <c:v>2037</c:v>
                </c:pt>
                <c:pt idx="16">
                  <c:v>2038</c:v>
                </c:pt>
                <c:pt idx="17">
                  <c:v>2039</c:v>
                </c:pt>
                <c:pt idx="18">
                  <c:v>2040</c:v>
                </c:pt>
                <c:pt idx="19">
                  <c:v>2041</c:v>
                </c:pt>
                <c:pt idx="20">
                  <c:v>2042</c:v>
                </c:pt>
                <c:pt idx="21">
                  <c:v>2043</c:v>
                </c:pt>
                <c:pt idx="22">
                  <c:v>2044</c:v>
                </c:pt>
                <c:pt idx="23">
                  <c:v>2045</c:v>
                </c:pt>
                <c:pt idx="24">
                  <c:v>2046</c:v>
                </c:pt>
                <c:pt idx="25">
                  <c:v>2047</c:v>
                </c:pt>
                <c:pt idx="26">
                  <c:v>2048</c:v>
                </c:pt>
                <c:pt idx="27">
                  <c:v>2049</c:v>
                </c:pt>
                <c:pt idx="28">
                  <c:v>2050</c:v>
                </c:pt>
              </c:numCache>
            </c:numRef>
          </c:xVal>
          <c:yVal>
            <c:numRef>
              <c:f>Calculations!$E$125:$AI$125</c:f>
            </c:numRef>
          </c:yVal>
          <c:smooth val="0"/>
          <c:extLst>
            <c:ext xmlns:c16="http://schemas.microsoft.com/office/drawing/2014/chart" uri="{C3380CC4-5D6E-409C-BE32-E72D297353CC}">
              <c16:uniqueId val="{00000001-F541-455B-B539-46D6AD558DA4}"/>
            </c:ext>
          </c:extLst>
        </c:ser>
        <c:dLbls>
          <c:showLegendKey val="0"/>
          <c:showVal val="0"/>
          <c:showCatName val="0"/>
          <c:showSerName val="0"/>
          <c:showPercent val="0"/>
          <c:showBubbleSize val="0"/>
        </c:dLbls>
        <c:axId val="980015104"/>
        <c:axId val="980019456"/>
      </c:scatterChart>
      <c:valAx>
        <c:axId val="980015104"/>
        <c:scaling>
          <c:orientation val="minMax"/>
          <c:max val="2035"/>
          <c:min val="2020"/>
        </c:scaling>
        <c:delete val="0"/>
        <c:axPos val="b"/>
        <c:majorGridlines>
          <c:spPr>
            <a:ln w="9525" cap="flat" cmpd="sng" algn="ctr">
              <a:solidFill>
                <a:srgbClr val="EAEAEA"/>
              </a:solidFill>
              <a:round/>
            </a:ln>
            <a:effectLst/>
          </c:spPr>
        </c:majorGridlines>
        <c:numFmt formatCode="General" sourceLinked="1"/>
        <c:majorTickMark val="none"/>
        <c:minorTickMark val="none"/>
        <c:tickLblPos val="low"/>
        <c:spPr>
          <a:noFill/>
          <a:ln w="9525" cap="flat" cmpd="sng" algn="ctr">
            <a:solidFill>
              <a:schemeClr val="tx1"/>
            </a:solidFill>
            <a:round/>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980019456"/>
        <c:crossesAt val="0"/>
        <c:crossBetween val="midCat"/>
      </c:valAx>
      <c:valAx>
        <c:axId val="980019456"/>
        <c:scaling>
          <c:orientation val="minMax"/>
        </c:scaling>
        <c:delete val="0"/>
        <c:axPos val="l"/>
        <c:majorGridlines>
          <c:spPr>
            <a:ln w="9525" cap="flat" cmpd="sng" algn="ctr">
              <a:solidFill>
                <a:srgbClr val="EAEAEA"/>
              </a:solidFill>
              <a:round/>
            </a:ln>
            <a:effectLst/>
          </c:spPr>
        </c:majorGridlines>
        <c:title>
          <c:tx>
            <c:rich>
              <a:bodyPr rot="-540000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r>
                  <a:rPr lang="en-US"/>
                  <a:t>tCO2e</a:t>
                </a:r>
              </a:p>
            </c:rich>
          </c:tx>
          <c:layout>
            <c:manualLayout>
              <c:xMode val="edge"/>
              <c:yMode val="edge"/>
              <c:x val="2.2722368037328671E-2"/>
              <c:y val="0.42630551695743912"/>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title>
        <c:numFmt formatCode="#,##0" sourceLinked="0"/>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980015104"/>
        <c:crosses val="autoZero"/>
        <c:crossBetween val="midCat"/>
      </c:valAx>
      <c:spPr>
        <a:noFill/>
        <a:ln>
          <a:noFill/>
        </a:ln>
        <a:effectLst/>
      </c:spPr>
    </c:plotArea>
    <c:legend>
      <c:legendPos val="r"/>
      <c:layout>
        <c:manualLayout>
          <c:xMode val="edge"/>
          <c:yMode val="edge"/>
          <c:x val="0.10007815861740438"/>
          <c:y val="0.9200896177783805"/>
          <c:w val="0.84378628910654674"/>
          <c:h val="6.1422677246377101E-2"/>
        </c:manualLayout>
      </c:layout>
      <c:overlay val="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legend>
    <c:plotVisOnly val="1"/>
    <c:dispBlanksAs val="span"/>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sz="1000">
          <a:solidFill>
            <a:sysClr val="windowText" lastClr="000000"/>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userShapes r:id="rId4"/>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207057451151936"/>
          <c:y val="8.9266349191381017E-2"/>
          <c:w val="0.69398075240594936"/>
          <c:h val="0.6476281033733059"/>
        </c:manualLayout>
      </c:layout>
      <c:scatterChart>
        <c:scatterStyle val="smoothMarker"/>
        <c:varyColors val="0"/>
        <c:ser>
          <c:idx val="0"/>
          <c:order val="0"/>
          <c:tx>
            <c:strRef>
              <c:f>Calculations!$B$135</c:f>
              <c:strCache>
                <c:ptCount val="1"/>
                <c:pt idx="0">
                  <c:v>select a LDV category</c:v>
                </c:pt>
              </c:strCache>
            </c:strRef>
          </c:tx>
          <c:spPr>
            <a:ln w="28575" cap="rnd">
              <a:solidFill>
                <a:srgbClr val="00546E"/>
              </a:solidFill>
              <a:round/>
            </a:ln>
            <a:effectLst/>
          </c:spPr>
          <c:marker>
            <c:symbol val="none"/>
          </c:marker>
          <c:xVal>
            <c:numRef>
              <c:f>Calculations!$E$121:$AI$121</c:f>
              <c:numCache>
                <c:formatCode>0</c:formatCode>
                <c:ptCount val="29"/>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pt idx="15">
                  <c:v>2037</c:v>
                </c:pt>
                <c:pt idx="16">
                  <c:v>2038</c:v>
                </c:pt>
                <c:pt idx="17">
                  <c:v>2039</c:v>
                </c:pt>
                <c:pt idx="18">
                  <c:v>2040</c:v>
                </c:pt>
                <c:pt idx="19">
                  <c:v>2041</c:v>
                </c:pt>
                <c:pt idx="20">
                  <c:v>2042</c:v>
                </c:pt>
                <c:pt idx="21">
                  <c:v>2043</c:v>
                </c:pt>
                <c:pt idx="22">
                  <c:v>2044</c:v>
                </c:pt>
                <c:pt idx="23">
                  <c:v>2045</c:v>
                </c:pt>
                <c:pt idx="24">
                  <c:v>2046</c:v>
                </c:pt>
                <c:pt idx="25">
                  <c:v>2047</c:v>
                </c:pt>
                <c:pt idx="26">
                  <c:v>2048</c:v>
                </c:pt>
                <c:pt idx="27">
                  <c:v>2049</c:v>
                </c:pt>
                <c:pt idx="28">
                  <c:v>2050</c:v>
                </c:pt>
              </c:numCache>
            </c:numRef>
          </c:xVal>
          <c:yVal>
            <c:numRef>
              <c:f>Calculations!$E$135:$AI$135</c:f>
              <c:numCache>
                <c:formatCode>#,##0.00</c:formatCode>
                <c:ptCount val="29"/>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numCache>
            </c:numRef>
          </c:yVal>
          <c:smooth val="1"/>
          <c:extLst>
            <c:ext xmlns:c16="http://schemas.microsoft.com/office/drawing/2014/chart" uri="{C3380CC4-5D6E-409C-BE32-E72D297353CC}">
              <c16:uniqueId val="{00000000-50C8-45F5-B41A-755AF03CFECA}"/>
            </c:ext>
          </c:extLst>
        </c:ser>
        <c:ser>
          <c:idx val="1"/>
          <c:order val="1"/>
          <c:tx>
            <c:strRef>
              <c:f>Calculations!$B$136</c:f>
              <c:strCache>
                <c:ptCount val="1"/>
                <c:pt idx="0">
                  <c:v>select a LDV category</c:v>
                </c:pt>
              </c:strCache>
            </c:strRef>
          </c:tx>
          <c:spPr>
            <a:ln w="12700" cap="rnd">
              <a:solidFill>
                <a:srgbClr val="FFC000"/>
              </a:solidFill>
              <a:prstDash val="sysDash"/>
              <a:round/>
            </a:ln>
            <a:effectLst/>
          </c:spPr>
          <c:marker>
            <c:symbol val="none"/>
          </c:marker>
          <c:xVal>
            <c:numRef>
              <c:f>Calculations!$E$121:$AI$121</c:f>
              <c:numCache>
                <c:formatCode>0</c:formatCode>
                <c:ptCount val="29"/>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pt idx="15">
                  <c:v>2037</c:v>
                </c:pt>
                <c:pt idx="16">
                  <c:v>2038</c:v>
                </c:pt>
                <c:pt idx="17">
                  <c:v>2039</c:v>
                </c:pt>
                <c:pt idx="18">
                  <c:v>2040</c:v>
                </c:pt>
                <c:pt idx="19">
                  <c:v>2041</c:v>
                </c:pt>
                <c:pt idx="20">
                  <c:v>2042</c:v>
                </c:pt>
                <c:pt idx="21">
                  <c:v>2043</c:v>
                </c:pt>
                <c:pt idx="22">
                  <c:v>2044</c:v>
                </c:pt>
                <c:pt idx="23">
                  <c:v>2045</c:v>
                </c:pt>
                <c:pt idx="24">
                  <c:v>2046</c:v>
                </c:pt>
                <c:pt idx="25">
                  <c:v>2047</c:v>
                </c:pt>
                <c:pt idx="26">
                  <c:v>2048</c:v>
                </c:pt>
                <c:pt idx="27">
                  <c:v>2049</c:v>
                </c:pt>
                <c:pt idx="28">
                  <c:v>2050</c:v>
                </c:pt>
              </c:numCache>
            </c:numRef>
          </c:xVal>
          <c:yVal>
            <c:numRef>
              <c:f>Calculations!$E$136:$AI$136</c:f>
              <c:numCache>
                <c:formatCode>#,##0.00</c:formatCode>
                <c:ptCount val="29"/>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numCache>
            </c:numRef>
          </c:yVal>
          <c:smooth val="1"/>
          <c:extLst>
            <c:ext xmlns:c16="http://schemas.microsoft.com/office/drawing/2014/chart" uri="{C3380CC4-5D6E-409C-BE32-E72D297353CC}">
              <c16:uniqueId val="{00000001-50C8-45F5-B41A-755AF03CFECA}"/>
            </c:ext>
          </c:extLst>
        </c:ser>
        <c:ser>
          <c:idx val="2"/>
          <c:order val="2"/>
          <c:tx>
            <c:strRef>
              <c:f>Calculations!$B$137</c:f>
              <c:strCache>
                <c:ptCount val="1"/>
                <c:pt idx="0">
                  <c:v>select a LDV category</c:v>
                </c:pt>
              </c:strCache>
            </c:strRef>
          </c:tx>
          <c:spPr>
            <a:ln w="28575" cap="rnd">
              <a:noFill/>
              <a:round/>
            </a:ln>
            <a:effectLst/>
          </c:spPr>
          <c:marker>
            <c:symbol val="circle"/>
            <c:size val="5"/>
            <c:spPr>
              <a:solidFill>
                <a:srgbClr val="7030A0"/>
              </a:solidFill>
              <a:ln w="15875">
                <a:noFill/>
              </a:ln>
              <a:effectLst/>
            </c:spPr>
          </c:marker>
          <c:dLbls>
            <c:dLbl>
              <c:idx val="0"/>
              <c:layout>
                <c:manualLayout>
                  <c:x val="1.7623360051192985E-2"/>
                  <c:y val="4.4543429844097995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2-50C8-45F5-B41A-755AF03CFECA}"/>
                </c:ext>
              </c:extLst>
            </c:dLbl>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n-US"/>
              </a:p>
            </c:txPr>
            <c:showLegendKey val="0"/>
            <c:showVal val="1"/>
            <c:showCatName val="1"/>
            <c:showSerName val="0"/>
            <c:showPercent val="0"/>
            <c:showBubbleSize val="0"/>
            <c:showLeaderLines val="0"/>
            <c:extLst>
              <c:ext xmlns:c15="http://schemas.microsoft.com/office/drawing/2012/chart" uri="{CE6537A1-D6FC-4f65-9D91-7224C49458BB}">
                <c15:spPr xmlns:c15="http://schemas.microsoft.com/office/drawing/2012/chart">
                  <a:prstGeom prst="wedgeRectCallout">
                    <a:avLst/>
                  </a:prstGeom>
                  <a:noFill/>
                  <a:ln>
                    <a:noFill/>
                  </a:ln>
                </c15:spPr>
                <c15:showLeaderLines val="0"/>
              </c:ext>
            </c:extLst>
          </c:dLbls>
          <c:xVal>
            <c:numRef>
              <c:f>Automakers!$D$75</c:f>
              <c:numCache>
                <c:formatCode>General</c:formatCode>
                <c:ptCount val="1"/>
              </c:numCache>
            </c:numRef>
          </c:xVal>
          <c:yVal>
            <c:numRef>
              <c:f>Calculations!$D$137</c:f>
              <c:numCache>
                <c:formatCode>#,##0.00</c:formatCode>
                <c:ptCount val="1"/>
                <c:pt idx="0">
                  <c:v>#N/A</c:v>
                </c:pt>
              </c:numCache>
            </c:numRef>
          </c:yVal>
          <c:smooth val="1"/>
          <c:extLst>
            <c:ext xmlns:c16="http://schemas.microsoft.com/office/drawing/2014/chart" uri="{C3380CC4-5D6E-409C-BE32-E72D297353CC}">
              <c16:uniqueId val="{00000003-50C8-45F5-B41A-755AF03CFECA}"/>
            </c:ext>
          </c:extLst>
        </c:ser>
        <c:dLbls>
          <c:showLegendKey val="0"/>
          <c:showVal val="0"/>
          <c:showCatName val="0"/>
          <c:showSerName val="0"/>
          <c:showPercent val="0"/>
          <c:showBubbleSize val="0"/>
        </c:dLbls>
        <c:axId val="949570272"/>
        <c:axId val="949571904"/>
      </c:scatterChart>
      <c:valAx>
        <c:axId val="949570272"/>
        <c:scaling>
          <c:orientation val="minMax"/>
          <c:max val="2040"/>
          <c:min val="2025"/>
        </c:scaling>
        <c:delete val="0"/>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low"/>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49571904"/>
        <c:crossesAt val="0"/>
        <c:crossBetween val="midCat"/>
      </c:valAx>
      <c:valAx>
        <c:axId val="949571904"/>
        <c:scaling>
          <c:orientation val="minMax"/>
          <c:min val="0"/>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49570272"/>
        <c:crosses val="autoZero"/>
        <c:crossBetween val="midCat"/>
      </c:valAx>
      <c:spPr>
        <a:noFill/>
        <a:ln>
          <a:noFill/>
        </a:ln>
        <a:effectLst/>
      </c:spPr>
    </c:plotArea>
    <c:legend>
      <c:legendPos val="r"/>
      <c:layout>
        <c:manualLayout>
          <c:xMode val="edge"/>
          <c:yMode val="edge"/>
          <c:x val="0.1887580804295263"/>
          <c:y val="0.83391432358380357"/>
          <c:w val="0.70801938212777205"/>
          <c:h val="0.14055458636532706"/>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userShapes r:id="rId3"/>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207057451151936"/>
          <c:y val="8.8550061379313885E-2"/>
          <c:w val="0.69901600593603941"/>
          <c:h val="0.64690535258435167"/>
        </c:manualLayout>
      </c:layout>
      <c:scatterChart>
        <c:scatterStyle val="smoothMarker"/>
        <c:varyColors val="0"/>
        <c:ser>
          <c:idx val="0"/>
          <c:order val="0"/>
          <c:tx>
            <c:strRef>
              <c:f>Calculations!$B$140</c:f>
              <c:strCache>
                <c:ptCount val="1"/>
                <c:pt idx="0">
                  <c:v>select a vehicle category</c:v>
                </c:pt>
              </c:strCache>
            </c:strRef>
          </c:tx>
          <c:spPr>
            <a:ln w="28575" cap="rnd">
              <a:solidFill>
                <a:srgbClr val="00546E"/>
              </a:solidFill>
              <a:round/>
            </a:ln>
            <a:effectLst/>
          </c:spPr>
          <c:marker>
            <c:symbol val="none"/>
          </c:marker>
          <c:xVal>
            <c:numRef>
              <c:f>Calculations!$E$121:$AI$121</c:f>
              <c:numCache>
                <c:formatCode>0</c:formatCode>
                <c:ptCount val="29"/>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pt idx="15">
                  <c:v>2037</c:v>
                </c:pt>
                <c:pt idx="16">
                  <c:v>2038</c:v>
                </c:pt>
                <c:pt idx="17">
                  <c:v>2039</c:v>
                </c:pt>
                <c:pt idx="18">
                  <c:v>2040</c:v>
                </c:pt>
                <c:pt idx="19">
                  <c:v>2041</c:v>
                </c:pt>
                <c:pt idx="20">
                  <c:v>2042</c:v>
                </c:pt>
                <c:pt idx="21">
                  <c:v>2043</c:v>
                </c:pt>
                <c:pt idx="22">
                  <c:v>2044</c:v>
                </c:pt>
                <c:pt idx="23">
                  <c:v>2045</c:v>
                </c:pt>
                <c:pt idx="24">
                  <c:v>2046</c:v>
                </c:pt>
                <c:pt idx="25">
                  <c:v>2047</c:v>
                </c:pt>
                <c:pt idx="26">
                  <c:v>2048</c:v>
                </c:pt>
                <c:pt idx="27">
                  <c:v>2049</c:v>
                </c:pt>
                <c:pt idx="28">
                  <c:v>2050</c:v>
                </c:pt>
              </c:numCache>
            </c:numRef>
          </c:xVal>
          <c:yVal>
            <c:numRef>
              <c:f>Calculations!$E$140:$AI$140</c:f>
              <c:numCache>
                <c:formatCode>#,##0</c:formatCode>
                <c:ptCount val="29"/>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numCache>
            </c:numRef>
          </c:yVal>
          <c:smooth val="1"/>
          <c:extLst>
            <c:ext xmlns:c16="http://schemas.microsoft.com/office/drawing/2014/chart" uri="{C3380CC4-5D6E-409C-BE32-E72D297353CC}">
              <c16:uniqueId val="{00000000-8352-4DE8-A31F-D741FCFCAE15}"/>
            </c:ext>
          </c:extLst>
        </c:ser>
        <c:ser>
          <c:idx val="1"/>
          <c:order val="1"/>
          <c:tx>
            <c:strRef>
              <c:f>Calculations!$B$141</c:f>
              <c:strCache>
                <c:ptCount val="1"/>
                <c:pt idx="0">
                  <c:v>select a vehicle category</c:v>
                </c:pt>
              </c:strCache>
            </c:strRef>
          </c:tx>
          <c:spPr>
            <a:ln w="12700" cap="rnd">
              <a:solidFill>
                <a:srgbClr val="FFC000"/>
              </a:solidFill>
              <a:prstDash val="sysDash"/>
              <a:round/>
            </a:ln>
            <a:effectLst/>
          </c:spPr>
          <c:marker>
            <c:symbol val="none"/>
          </c:marker>
          <c:xVal>
            <c:numRef>
              <c:f>Calculations!$E$121:$AI$121</c:f>
              <c:numCache>
                <c:formatCode>0</c:formatCode>
                <c:ptCount val="29"/>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pt idx="15">
                  <c:v>2037</c:v>
                </c:pt>
                <c:pt idx="16">
                  <c:v>2038</c:v>
                </c:pt>
                <c:pt idx="17">
                  <c:v>2039</c:v>
                </c:pt>
                <c:pt idx="18">
                  <c:v>2040</c:v>
                </c:pt>
                <c:pt idx="19">
                  <c:v>2041</c:v>
                </c:pt>
                <c:pt idx="20">
                  <c:v>2042</c:v>
                </c:pt>
                <c:pt idx="21">
                  <c:v>2043</c:v>
                </c:pt>
                <c:pt idx="22">
                  <c:v>2044</c:v>
                </c:pt>
                <c:pt idx="23">
                  <c:v>2045</c:v>
                </c:pt>
                <c:pt idx="24">
                  <c:v>2046</c:v>
                </c:pt>
                <c:pt idx="25">
                  <c:v>2047</c:v>
                </c:pt>
                <c:pt idx="26">
                  <c:v>2048</c:v>
                </c:pt>
                <c:pt idx="27">
                  <c:v>2049</c:v>
                </c:pt>
                <c:pt idx="28">
                  <c:v>2050</c:v>
                </c:pt>
              </c:numCache>
            </c:numRef>
          </c:xVal>
          <c:yVal>
            <c:numRef>
              <c:f>Calculations!$E$141:$AI$141</c:f>
              <c:numCache>
                <c:formatCode>#,##0</c:formatCode>
                <c:ptCount val="29"/>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numCache>
            </c:numRef>
          </c:yVal>
          <c:smooth val="1"/>
          <c:extLst>
            <c:ext xmlns:c16="http://schemas.microsoft.com/office/drawing/2014/chart" uri="{C3380CC4-5D6E-409C-BE32-E72D297353CC}">
              <c16:uniqueId val="{00000001-8352-4DE8-A31F-D741FCFCAE15}"/>
            </c:ext>
          </c:extLst>
        </c:ser>
        <c:ser>
          <c:idx val="2"/>
          <c:order val="2"/>
          <c:tx>
            <c:strRef>
              <c:f>Calculations!$B$142</c:f>
              <c:strCache>
                <c:ptCount val="1"/>
                <c:pt idx="0">
                  <c:v>select a vehicle category</c:v>
                </c:pt>
              </c:strCache>
            </c:strRef>
          </c:tx>
          <c:spPr>
            <a:ln w="28575" cap="rnd">
              <a:noFill/>
              <a:round/>
            </a:ln>
            <a:effectLst/>
          </c:spPr>
          <c:marker>
            <c:symbol val="circle"/>
            <c:size val="5"/>
            <c:spPr>
              <a:solidFill>
                <a:srgbClr val="7030A0"/>
              </a:solidFill>
              <a:ln w="15875">
                <a:noFill/>
              </a:ln>
              <a:effectLst/>
            </c:spPr>
          </c:marker>
          <c:dLbls>
            <c:dLbl>
              <c:idx val="0"/>
              <c:layout>
                <c:manualLayout>
                  <c:x val="-6.3504907786375686E-2"/>
                  <c:y val="-0.1891715590345727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2-8352-4DE8-A31F-D741FCFCAE15}"/>
                </c:ext>
              </c:extLst>
            </c:dLbl>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n-US"/>
              </a:p>
            </c:txPr>
            <c:showLegendKey val="0"/>
            <c:showVal val="0"/>
            <c:showCatName val="0"/>
            <c:showSerName val="1"/>
            <c:showPercent val="0"/>
            <c:showBubbleSize val="0"/>
            <c:showLeaderLines val="0"/>
            <c:extLst>
              <c:ext xmlns:c15="http://schemas.microsoft.com/office/drawing/2012/chart" uri="{CE6537A1-D6FC-4f65-9D91-7224C49458BB}">
                <c15:spPr xmlns:c15="http://schemas.microsoft.com/office/drawing/2012/chart">
                  <a:prstGeom prst="wedgeRectCallout">
                    <a:avLst/>
                  </a:prstGeom>
                  <a:noFill/>
                  <a:ln>
                    <a:noFill/>
                  </a:ln>
                </c15:spPr>
                <c15:showLeaderLines val="0"/>
              </c:ext>
            </c:extLst>
          </c:dLbls>
          <c:xVal>
            <c:numRef>
              <c:f>Automakers!$D$115</c:f>
              <c:numCache>
                <c:formatCode>General</c:formatCode>
                <c:ptCount val="1"/>
              </c:numCache>
            </c:numRef>
          </c:xVal>
          <c:yVal>
            <c:numRef>
              <c:f>Calculations!$D$142</c:f>
              <c:numCache>
                <c:formatCode>#,##0.00</c:formatCode>
                <c:ptCount val="1"/>
                <c:pt idx="0">
                  <c:v>#N/A</c:v>
                </c:pt>
              </c:numCache>
            </c:numRef>
          </c:yVal>
          <c:smooth val="1"/>
          <c:extLst>
            <c:ext xmlns:c16="http://schemas.microsoft.com/office/drawing/2014/chart" uri="{C3380CC4-5D6E-409C-BE32-E72D297353CC}">
              <c16:uniqueId val="{00000003-8352-4DE8-A31F-D741FCFCAE15}"/>
            </c:ext>
          </c:extLst>
        </c:ser>
        <c:dLbls>
          <c:showLegendKey val="0"/>
          <c:showVal val="0"/>
          <c:showCatName val="0"/>
          <c:showSerName val="0"/>
          <c:showPercent val="0"/>
          <c:showBubbleSize val="0"/>
        </c:dLbls>
        <c:axId val="949570272"/>
        <c:axId val="949571904"/>
      </c:scatterChart>
      <c:valAx>
        <c:axId val="949570272"/>
        <c:scaling>
          <c:orientation val="minMax"/>
          <c:max val="2040"/>
          <c:min val="2020"/>
        </c:scaling>
        <c:delete val="0"/>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low"/>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49571904"/>
        <c:crossesAt val="0"/>
        <c:crossBetween val="midCat"/>
      </c:valAx>
      <c:valAx>
        <c:axId val="949571904"/>
        <c:scaling>
          <c:orientation val="minMax"/>
          <c:min val="0"/>
        </c:scaling>
        <c:delete val="0"/>
        <c:axPos val="l"/>
        <c:majorGridlines>
          <c:spPr>
            <a:ln w="9525" cap="flat" cmpd="sng" algn="ctr">
              <a:solidFill>
                <a:schemeClr val="tx1">
                  <a:lumMod val="15000"/>
                  <a:lumOff val="85000"/>
                </a:schemeClr>
              </a:solidFill>
              <a:round/>
            </a:ln>
            <a:effectLst/>
          </c:spPr>
        </c:majorGridlines>
        <c:title>
          <c:tx>
            <c:strRef>
              <c:f>Automakers!$F$76</c:f>
              <c:strCache>
                <c:ptCount val="1"/>
                <c:pt idx="0">
                  <c:v>gCO2e/vkm</c:v>
                </c:pt>
              </c:strCache>
            </c:strRef>
          </c:tx>
          <c:layout>
            <c:manualLayout>
              <c:xMode val="edge"/>
              <c:yMode val="edge"/>
              <c:x val="7.5531824474346324E-2"/>
              <c:y val="0.31867343636839918"/>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49570272"/>
        <c:crosses val="autoZero"/>
        <c:crossBetween val="midCat"/>
      </c:valAx>
      <c:spPr>
        <a:noFill/>
        <a:ln>
          <a:noFill/>
        </a:ln>
        <a:effectLst/>
      </c:spPr>
    </c:plotArea>
    <c:legend>
      <c:legendPos val="b"/>
      <c:layout>
        <c:manualLayout>
          <c:xMode val="edge"/>
          <c:yMode val="edge"/>
          <c:x val="0.1572620236811175"/>
          <c:y val="0.81288067097519123"/>
          <c:w val="0.73834603279134403"/>
          <c:h val="0.16675273024680468"/>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userShapes r:id="rId3"/>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207057451151936"/>
          <c:y val="9.5240010519313772E-2"/>
          <c:w val="0.69398075240594936"/>
          <c:h val="0.64639275198655177"/>
        </c:manualLayout>
      </c:layout>
      <c:scatterChart>
        <c:scatterStyle val="smoothMarker"/>
        <c:varyColors val="0"/>
        <c:ser>
          <c:idx val="0"/>
          <c:order val="0"/>
          <c:tx>
            <c:strRef>
              <c:f>Calculations!$B$145</c:f>
              <c:strCache>
                <c:ptCount val="1"/>
                <c:pt idx="0">
                  <c:v>select a vehicle category</c:v>
                </c:pt>
              </c:strCache>
            </c:strRef>
          </c:tx>
          <c:spPr>
            <a:ln w="28575" cap="rnd">
              <a:solidFill>
                <a:srgbClr val="00546E"/>
              </a:solidFill>
              <a:round/>
            </a:ln>
            <a:effectLst/>
          </c:spPr>
          <c:marker>
            <c:symbol val="none"/>
          </c:marker>
          <c:xVal>
            <c:numRef>
              <c:f>Calculations!$E$121:$AI$121</c:f>
              <c:numCache>
                <c:formatCode>0</c:formatCode>
                <c:ptCount val="29"/>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pt idx="15">
                  <c:v>2037</c:v>
                </c:pt>
                <c:pt idx="16">
                  <c:v>2038</c:v>
                </c:pt>
                <c:pt idx="17">
                  <c:v>2039</c:v>
                </c:pt>
                <c:pt idx="18">
                  <c:v>2040</c:v>
                </c:pt>
                <c:pt idx="19">
                  <c:v>2041</c:v>
                </c:pt>
                <c:pt idx="20">
                  <c:v>2042</c:v>
                </c:pt>
                <c:pt idx="21">
                  <c:v>2043</c:v>
                </c:pt>
                <c:pt idx="22">
                  <c:v>2044</c:v>
                </c:pt>
                <c:pt idx="23">
                  <c:v>2045</c:v>
                </c:pt>
                <c:pt idx="24">
                  <c:v>2046</c:v>
                </c:pt>
                <c:pt idx="25">
                  <c:v>2047</c:v>
                </c:pt>
                <c:pt idx="26">
                  <c:v>2048</c:v>
                </c:pt>
                <c:pt idx="27">
                  <c:v>2049</c:v>
                </c:pt>
                <c:pt idx="28">
                  <c:v>2050</c:v>
                </c:pt>
              </c:numCache>
            </c:numRef>
          </c:xVal>
          <c:yVal>
            <c:numRef>
              <c:f>Calculations!$E$145:$AI$145</c:f>
              <c:numCache>
                <c:formatCode>#,##0</c:formatCode>
                <c:ptCount val="29"/>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numCache>
            </c:numRef>
          </c:yVal>
          <c:smooth val="1"/>
          <c:extLst>
            <c:ext xmlns:c16="http://schemas.microsoft.com/office/drawing/2014/chart" uri="{C3380CC4-5D6E-409C-BE32-E72D297353CC}">
              <c16:uniqueId val="{00000000-FD1B-4344-995C-B832190F7581}"/>
            </c:ext>
          </c:extLst>
        </c:ser>
        <c:ser>
          <c:idx val="1"/>
          <c:order val="1"/>
          <c:tx>
            <c:strRef>
              <c:f>Calculations!$B$146</c:f>
              <c:strCache>
                <c:ptCount val="1"/>
                <c:pt idx="0">
                  <c:v>select a vehicle category</c:v>
                </c:pt>
              </c:strCache>
            </c:strRef>
          </c:tx>
          <c:spPr>
            <a:ln w="12700" cap="rnd">
              <a:solidFill>
                <a:srgbClr val="FFC000"/>
              </a:solidFill>
              <a:prstDash val="sysDash"/>
              <a:round/>
            </a:ln>
            <a:effectLst/>
          </c:spPr>
          <c:marker>
            <c:symbol val="none"/>
          </c:marker>
          <c:xVal>
            <c:numRef>
              <c:f>Calculations!$E$121:$AI$121</c:f>
              <c:numCache>
                <c:formatCode>0</c:formatCode>
                <c:ptCount val="29"/>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pt idx="15">
                  <c:v>2037</c:v>
                </c:pt>
                <c:pt idx="16">
                  <c:v>2038</c:v>
                </c:pt>
                <c:pt idx="17">
                  <c:v>2039</c:v>
                </c:pt>
                <c:pt idx="18">
                  <c:v>2040</c:v>
                </c:pt>
                <c:pt idx="19">
                  <c:v>2041</c:v>
                </c:pt>
                <c:pt idx="20">
                  <c:v>2042</c:v>
                </c:pt>
                <c:pt idx="21">
                  <c:v>2043</c:v>
                </c:pt>
                <c:pt idx="22">
                  <c:v>2044</c:v>
                </c:pt>
                <c:pt idx="23">
                  <c:v>2045</c:v>
                </c:pt>
                <c:pt idx="24">
                  <c:v>2046</c:v>
                </c:pt>
                <c:pt idx="25">
                  <c:v>2047</c:v>
                </c:pt>
                <c:pt idx="26">
                  <c:v>2048</c:v>
                </c:pt>
                <c:pt idx="27">
                  <c:v>2049</c:v>
                </c:pt>
                <c:pt idx="28">
                  <c:v>2050</c:v>
                </c:pt>
              </c:numCache>
            </c:numRef>
          </c:xVal>
          <c:yVal>
            <c:numRef>
              <c:f>Calculations!$E$146:$AI$146</c:f>
              <c:numCache>
                <c:formatCode>#,##0</c:formatCode>
                <c:ptCount val="29"/>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numCache>
            </c:numRef>
          </c:yVal>
          <c:smooth val="1"/>
          <c:extLst>
            <c:ext xmlns:c16="http://schemas.microsoft.com/office/drawing/2014/chart" uri="{C3380CC4-5D6E-409C-BE32-E72D297353CC}">
              <c16:uniqueId val="{00000001-FD1B-4344-995C-B832190F7581}"/>
            </c:ext>
          </c:extLst>
        </c:ser>
        <c:ser>
          <c:idx val="2"/>
          <c:order val="2"/>
          <c:tx>
            <c:strRef>
              <c:f>Calculations!$B$147</c:f>
              <c:strCache>
                <c:ptCount val="1"/>
                <c:pt idx="0">
                  <c:v>select a vehicle category</c:v>
                </c:pt>
              </c:strCache>
            </c:strRef>
          </c:tx>
          <c:spPr>
            <a:ln w="28575" cap="rnd">
              <a:noFill/>
              <a:round/>
            </a:ln>
            <a:effectLst/>
          </c:spPr>
          <c:marker>
            <c:symbol val="circle"/>
            <c:size val="5"/>
            <c:spPr>
              <a:solidFill>
                <a:srgbClr val="7030A0"/>
              </a:solidFill>
              <a:ln w="15875">
                <a:noFill/>
              </a:ln>
              <a:effectLst/>
            </c:spPr>
          </c:marker>
          <c:dLbls>
            <c:dLbl>
              <c:idx val="0"/>
              <c:layout>
                <c:manualLayout>
                  <c:x val="-0.23917417212333339"/>
                  <c:y val="-3.6038189234204272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2-FD1B-4344-995C-B832190F7581}"/>
                </c:ext>
              </c:extLst>
            </c:dLbl>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n-US"/>
              </a:p>
            </c:txPr>
            <c:showLegendKey val="0"/>
            <c:showVal val="0"/>
            <c:showCatName val="0"/>
            <c:showSerName val="1"/>
            <c:showPercent val="0"/>
            <c:showBubbleSize val="0"/>
            <c:showLeaderLines val="0"/>
            <c:extLst>
              <c:ext xmlns:c15="http://schemas.microsoft.com/office/drawing/2012/chart" uri="{CE6537A1-D6FC-4f65-9D91-7224C49458BB}">
                <c15:spPr xmlns:c15="http://schemas.microsoft.com/office/drawing/2012/chart">
                  <a:prstGeom prst="wedgeRectCallout">
                    <a:avLst/>
                  </a:prstGeom>
                  <a:noFill/>
                  <a:ln>
                    <a:noFill/>
                  </a:ln>
                </c15:spPr>
                <c15:showLeaderLines val="0"/>
              </c:ext>
            </c:extLst>
          </c:dLbls>
          <c:xVal>
            <c:numRef>
              <c:f>Automakers!$D$115</c:f>
              <c:numCache>
                <c:formatCode>General</c:formatCode>
                <c:ptCount val="1"/>
              </c:numCache>
            </c:numRef>
          </c:xVal>
          <c:yVal>
            <c:numRef>
              <c:f>Calculations!$D$147</c:f>
              <c:numCache>
                <c:formatCode>#,##0.00</c:formatCode>
                <c:ptCount val="1"/>
                <c:pt idx="0">
                  <c:v>#N/A</c:v>
                </c:pt>
              </c:numCache>
            </c:numRef>
          </c:yVal>
          <c:smooth val="1"/>
          <c:extLst>
            <c:ext xmlns:c16="http://schemas.microsoft.com/office/drawing/2014/chart" uri="{C3380CC4-5D6E-409C-BE32-E72D297353CC}">
              <c16:uniqueId val="{00000003-FD1B-4344-995C-B832190F7581}"/>
            </c:ext>
          </c:extLst>
        </c:ser>
        <c:dLbls>
          <c:showLegendKey val="0"/>
          <c:showVal val="0"/>
          <c:showCatName val="0"/>
          <c:showSerName val="0"/>
          <c:showPercent val="0"/>
          <c:showBubbleSize val="0"/>
        </c:dLbls>
        <c:axId val="949570272"/>
        <c:axId val="949571904"/>
      </c:scatterChart>
      <c:valAx>
        <c:axId val="949570272"/>
        <c:scaling>
          <c:orientation val="minMax"/>
          <c:max val="2040"/>
          <c:min val="2025"/>
        </c:scaling>
        <c:delete val="0"/>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low"/>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49571904"/>
        <c:crosses val="autoZero"/>
        <c:crossBetween val="midCat"/>
      </c:valAx>
      <c:valAx>
        <c:axId val="949571904"/>
        <c:scaling>
          <c:orientation val="minMax"/>
          <c:min val="0"/>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49570272"/>
        <c:crosses val="autoZero"/>
        <c:crossBetween val="midCat"/>
      </c:valAx>
      <c:spPr>
        <a:noFill/>
        <a:ln>
          <a:noFill/>
        </a:ln>
        <a:effectLst/>
      </c:spPr>
    </c:plotArea>
    <c:legend>
      <c:legendPos val="r"/>
      <c:layout>
        <c:manualLayout>
          <c:xMode val="edge"/>
          <c:yMode val="edge"/>
          <c:x val="0.19108698069815863"/>
          <c:y val="0.82211737285295139"/>
          <c:w val="0.75100769341935025"/>
          <c:h val="0.16151065596171799"/>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userShapes r:id="rId3"/>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207057451151936"/>
          <c:y val="8.8976377952755911E-2"/>
          <c:w val="0.69901600593603941"/>
          <c:h val="0.64647904160494785"/>
        </c:manualLayout>
      </c:layout>
      <c:scatterChart>
        <c:scatterStyle val="smoothMarker"/>
        <c:varyColors val="0"/>
        <c:ser>
          <c:idx val="0"/>
          <c:order val="0"/>
          <c:tx>
            <c:strRef>
              <c:f>Calculations!$B$150</c:f>
              <c:strCache>
                <c:ptCount val="1"/>
                <c:pt idx="0">
                  <c:v>enter base year data</c:v>
                </c:pt>
              </c:strCache>
            </c:strRef>
          </c:tx>
          <c:spPr>
            <a:ln w="28575" cap="rnd">
              <a:solidFill>
                <a:srgbClr val="00546E"/>
              </a:solidFill>
              <a:round/>
            </a:ln>
            <a:effectLst/>
          </c:spPr>
          <c:marker>
            <c:symbol val="none"/>
          </c:marker>
          <c:xVal>
            <c:numRef>
              <c:f>Calculations!$E$121:$AI$121</c:f>
              <c:numCache>
                <c:formatCode>0</c:formatCode>
                <c:ptCount val="29"/>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pt idx="15">
                  <c:v>2037</c:v>
                </c:pt>
                <c:pt idx="16">
                  <c:v>2038</c:v>
                </c:pt>
                <c:pt idx="17">
                  <c:v>2039</c:v>
                </c:pt>
                <c:pt idx="18">
                  <c:v>2040</c:v>
                </c:pt>
                <c:pt idx="19">
                  <c:v>2041</c:v>
                </c:pt>
                <c:pt idx="20">
                  <c:v>2042</c:v>
                </c:pt>
                <c:pt idx="21">
                  <c:v>2043</c:v>
                </c:pt>
                <c:pt idx="22">
                  <c:v>2044</c:v>
                </c:pt>
                <c:pt idx="23">
                  <c:v>2045</c:v>
                </c:pt>
                <c:pt idx="24">
                  <c:v>2046</c:v>
                </c:pt>
                <c:pt idx="25">
                  <c:v>2047</c:v>
                </c:pt>
                <c:pt idx="26">
                  <c:v>2048</c:v>
                </c:pt>
                <c:pt idx="27">
                  <c:v>2049</c:v>
                </c:pt>
                <c:pt idx="28">
                  <c:v>2050</c:v>
                </c:pt>
              </c:numCache>
            </c:numRef>
          </c:xVal>
          <c:yVal>
            <c:numRef>
              <c:f>Calculations!$E$150:$AI$150</c:f>
              <c:numCache>
                <c:formatCode>#,##0</c:formatCode>
                <c:ptCount val="29"/>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numCache>
            </c:numRef>
          </c:yVal>
          <c:smooth val="1"/>
          <c:extLst>
            <c:ext xmlns:c16="http://schemas.microsoft.com/office/drawing/2014/chart" uri="{C3380CC4-5D6E-409C-BE32-E72D297353CC}">
              <c16:uniqueId val="{00000000-E896-4EB8-B96C-943AA926469C}"/>
            </c:ext>
          </c:extLst>
        </c:ser>
        <c:ser>
          <c:idx val="2"/>
          <c:order val="2"/>
          <c:tx>
            <c:strRef>
              <c:f>Calculations!$B$152</c:f>
              <c:strCache>
                <c:ptCount val="1"/>
                <c:pt idx="0">
                  <c:v>Scope 3 category 1 intensity target</c:v>
                </c:pt>
              </c:strCache>
            </c:strRef>
          </c:tx>
          <c:spPr>
            <a:ln w="28575" cap="rnd">
              <a:noFill/>
              <a:round/>
            </a:ln>
            <a:effectLst/>
          </c:spPr>
          <c:marker>
            <c:symbol val="circle"/>
            <c:size val="6"/>
            <c:spPr>
              <a:solidFill>
                <a:srgbClr val="7030A0"/>
              </a:solidFill>
              <a:ln w="9525">
                <a:solidFill>
                  <a:schemeClr val="accent3"/>
                </a:solidFill>
              </a:ln>
              <a:effectLst/>
            </c:spPr>
          </c:marker>
          <c:dLbls>
            <c:dLbl>
              <c:idx val="0"/>
              <c:layout>
                <c:manualLayout>
                  <c:x val="-5.7034211045874958E-2"/>
                  <c:y val="-0.13861386138613863"/>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2-E896-4EB8-B96C-943AA926469C}"/>
                </c:ext>
              </c:extLst>
            </c:dLbl>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n-US"/>
              </a:p>
            </c:txPr>
            <c:showLegendKey val="0"/>
            <c:showVal val="0"/>
            <c:showCatName val="0"/>
            <c:showSerName val="1"/>
            <c:showPercent val="0"/>
            <c:showBubbleSize val="0"/>
            <c:showLeaderLines val="0"/>
            <c:extLst>
              <c:ext xmlns:c15="http://schemas.microsoft.com/office/drawing/2012/chart" uri="{CE6537A1-D6FC-4f65-9D91-7224C49458BB}">
                <c15:spPr xmlns:c15="http://schemas.microsoft.com/office/drawing/2012/chart">
                  <a:prstGeom prst="wedgeRectCallout">
                    <a:avLst/>
                  </a:prstGeom>
                  <a:noFill/>
                  <a:ln>
                    <a:noFill/>
                  </a:ln>
                </c15:spPr>
                <c15:showLeaderLines val="0"/>
              </c:ext>
            </c:extLst>
          </c:dLbls>
          <c:xVal>
            <c:numRef>
              <c:f>Automakers!$D$152</c:f>
              <c:numCache>
                <c:formatCode>General</c:formatCode>
                <c:ptCount val="1"/>
              </c:numCache>
            </c:numRef>
          </c:xVal>
          <c:yVal>
            <c:numRef>
              <c:f>Calculations!$D$152</c:f>
              <c:numCache>
                <c:formatCode>#,##0.00</c:formatCode>
                <c:ptCount val="1"/>
                <c:pt idx="0">
                  <c:v>#N/A</c:v>
                </c:pt>
              </c:numCache>
            </c:numRef>
          </c:yVal>
          <c:smooth val="1"/>
          <c:extLst>
            <c:ext xmlns:c16="http://schemas.microsoft.com/office/drawing/2014/chart" uri="{C3380CC4-5D6E-409C-BE32-E72D297353CC}">
              <c16:uniqueId val="{00000003-E896-4EB8-B96C-943AA926469C}"/>
            </c:ext>
          </c:extLst>
        </c:ser>
        <c:dLbls>
          <c:showLegendKey val="0"/>
          <c:showVal val="0"/>
          <c:showCatName val="0"/>
          <c:showSerName val="0"/>
          <c:showPercent val="0"/>
          <c:showBubbleSize val="0"/>
        </c:dLbls>
        <c:axId val="949570272"/>
        <c:axId val="949571904"/>
      </c:scatterChart>
      <c:scatterChart>
        <c:scatterStyle val="smoothMarker"/>
        <c:varyColors val="0"/>
        <c:ser>
          <c:idx val="1"/>
          <c:order val="1"/>
          <c:tx>
            <c:strRef>
              <c:f>Calculations!$B$151</c:f>
              <c:strCache>
                <c:ptCount val="1"/>
                <c:pt idx="0">
                  <c:v>enter base year data</c:v>
                </c:pt>
              </c:strCache>
            </c:strRef>
          </c:tx>
          <c:spPr>
            <a:ln w="12700" cap="rnd">
              <a:solidFill>
                <a:srgbClr val="FFC000"/>
              </a:solidFill>
              <a:prstDash val="sysDash"/>
              <a:round/>
            </a:ln>
            <a:effectLst/>
          </c:spPr>
          <c:marker>
            <c:symbol val="none"/>
          </c:marker>
          <c:xVal>
            <c:numRef>
              <c:f>Calculations!$E$121:$AI$121</c:f>
              <c:numCache>
                <c:formatCode>0</c:formatCode>
                <c:ptCount val="29"/>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pt idx="15">
                  <c:v>2037</c:v>
                </c:pt>
                <c:pt idx="16">
                  <c:v>2038</c:v>
                </c:pt>
                <c:pt idx="17">
                  <c:v>2039</c:v>
                </c:pt>
                <c:pt idx="18">
                  <c:v>2040</c:v>
                </c:pt>
                <c:pt idx="19">
                  <c:v>2041</c:v>
                </c:pt>
                <c:pt idx="20">
                  <c:v>2042</c:v>
                </c:pt>
                <c:pt idx="21">
                  <c:v>2043</c:v>
                </c:pt>
                <c:pt idx="22">
                  <c:v>2044</c:v>
                </c:pt>
                <c:pt idx="23">
                  <c:v>2045</c:v>
                </c:pt>
                <c:pt idx="24">
                  <c:v>2046</c:v>
                </c:pt>
                <c:pt idx="25">
                  <c:v>2047</c:v>
                </c:pt>
                <c:pt idx="26">
                  <c:v>2048</c:v>
                </c:pt>
                <c:pt idx="27">
                  <c:v>2049</c:v>
                </c:pt>
                <c:pt idx="28">
                  <c:v>2050</c:v>
                </c:pt>
              </c:numCache>
            </c:numRef>
          </c:xVal>
          <c:yVal>
            <c:numRef>
              <c:f>Calculations!$E$151:$AI$151</c:f>
              <c:numCache>
                <c:formatCode>#,##0</c:formatCode>
                <c:ptCount val="29"/>
                <c:pt idx="0">
                  <c:v>#N/A</c:v>
                </c:pt>
                <c:pt idx="1">
                  <c:v>1</c:v>
                </c:pt>
                <c:pt idx="2">
                  <c:v>0.96576747072674518</c:v>
                </c:pt>
                <c:pt idx="3">
                  <c:v>0.93153494145349003</c:v>
                </c:pt>
                <c:pt idx="4">
                  <c:v>0.89730241218023521</c:v>
                </c:pt>
                <c:pt idx="5">
                  <c:v>0.86306988290698017</c:v>
                </c:pt>
                <c:pt idx="6">
                  <c:v>0.82883735363372524</c:v>
                </c:pt>
                <c:pt idx="7">
                  <c:v>0.79460482436047042</c:v>
                </c:pt>
                <c:pt idx="8">
                  <c:v>0.76037229508721538</c:v>
                </c:pt>
                <c:pt idx="9">
                  <c:v>0.7161825737268781</c:v>
                </c:pt>
                <c:pt idx="10">
                  <c:v>0.67199285236654105</c:v>
                </c:pt>
                <c:pt idx="11">
                  <c:v>0.62780313100620389</c:v>
                </c:pt>
                <c:pt idx="12">
                  <c:v>0.58361340964586683</c:v>
                </c:pt>
                <c:pt idx="13">
                  <c:v>0.53942368828552978</c:v>
                </c:pt>
                <c:pt idx="14">
                  <c:v>0.49693665164059386</c:v>
                </c:pt>
                <c:pt idx="15">
                  <c:v>0.454449614995658</c:v>
                </c:pt>
                <c:pt idx="16">
                  <c:v>0.41196257835072209</c:v>
                </c:pt>
                <c:pt idx="17">
                  <c:v>0.36947554170578634</c:v>
                </c:pt>
                <c:pt idx="18">
                  <c:v>0.32698850506085048</c:v>
                </c:pt>
                <c:pt idx="19">
                  <c:v>0.29883823918863928</c:v>
                </c:pt>
                <c:pt idx="20">
                  <c:v>0.27068797331642813</c:v>
                </c:pt>
                <c:pt idx="21">
                  <c:v>0.2425377074442169</c:v>
                </c:pt>
                <c:pt idx="22">
                  <c:v>0.21438744157200568</c:v>
                </c:pt>
                <c:pt idx="23">
                  <c:v>0.1862371756997945</c:v>
                </c:pt>
                <c:pt idx="24">
                  <c:v>0.15808690982758328</c:v>
                </c:pt>
                <c:pt idx="25">
                  <c:v>0.12993664395537211</c:v>
                </c:pt>
                <c:pt idx="26">
                  <c:v>0.10178637808316089</c:v>
                </c:pt>
                <c:pt idx="27">
                  <c:v>7.3636112210949692E-2</c:v>
                </c:pt>
                <c:pt idx="28">
                  <c:v>4.5485846338738409E-2</c:v>
                </c:pt>
              </c:numCache>
            </c:numRef>
          </c:yVal>
          <c:smooth val="1"/>
          <c:extLst>
            <c:ext xmlns:c16="http://schemas.microsoft.com/office/drawing/2014/chart" uri="{C3380CC4-5D6E-409C-BE32-E72D297353CC}">
              <c16:uniqueId val="{00000001-E896-4EB8-B96C-943AA926469C}"/>
            </c:ext>
          </c:extLst>
        </c:ser>
        <c:dLbls>
          <c:showLegendKey val="0"/>
          <c:showVal val="0"/>
          <c:showCatName val="0"/>
          <c:showSerName val="0"/>
          <c:showPercent val="0"/>
          <c:showBubbleSize val="0"/>
        </c:dLbls>
        <c:axId val="1613731327"/>
        <c:axId val="1613730847"/>
      </c:scatterChart>
      <c:valAx>
        <c:axId val="949570272"/>
        <c:scaling>
          <c:orientation val="minMax"/>
          <c:max val="2040"/>
          <c:min val="2020"/>
        </c:scaling>
        <c:delete val="0"/>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low"/>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49571904"/>
        <c:crossesAt val="0"/>
        <c:crossBetween val="midCat"/>
      </c:valAx>
      <c:valAx>
        <c:axId val="949571904"/>
        <c:scaling>
          <c:orientation val="minMax"/>
          <c:min val="0"/>
        </c:scaling>
        <c:delete val="0"/>
        <c:axPos val="l"/>
        <c:majorGridlines>
          <c:spPr>
            <a:ln w="9525" cap="flat" cmpd="sng" algn="ctr">
              <a:solidFill>
                <a:schemeClr val="tx1">
                  <a:lumMod val="15000"/>
                  <a:lumOff val="85000"/>
                </a:schemeClr>
              </a:solidFill>
              <a:round/>
            </a:ln>
            <a:effectLst/>
          </c:spPr>
        </c:majorGridlines>
        <c:title>
          <c:tx>
            <c:strRef>
              <c:f>Automakers!$F$76</c:f>
              <c:strCache>
                <c:ptCount val="1"/>
                <c:pt idx="0">
                  <c:v>gCO2e/vkm</c:v>
                </c:pt>
              </c:strCache>
            </c:strRef>
          </c:tx>
          <c:layout>
            <c:manualLayout>
              <c:xMode val="edge"/>
              <c:yMode val="edge"/>
              <c:x val="8.1868959034999106E-2"/>
              <c:y val="0.36359917881551934"/>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49570272"/>
        <c:crosses val="autoZero"/>
        <c:crossBetween val="midCat"/>
      </c:valAx>
      <c:valAx>
        <c:axId val="1613730847"/>
        <c:scaling>
          <c:orientation val="minMax"/>
        </c:scaling>
        <c:delete val="0"/>
        <c:axPos val="r"/>
        <c:numFmt formatCode="#,##0.00" sourceLinked="0"/>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613731327"/>
        <c:crosses val="max"/>
        <c:crossBetween val="midCat"/>
      </c:valAx>
      <c:valAx>
        <c:axId val="1613731327"/>
        <c:scaling>
          <c:orientation val="minMax"/>
        </c:scaling>
        <c:delete val="1"/>
        <c:axPos val="b"/>
        <c:numFmt formatCode="0" sourceLinked="1"/>
        <c:majorTickMark val="out"/>
        <c:minorTickMark val="none"/>
        <c:tickLblPos val="nextTo"/>
        <c:crossAx val="1613730847"/>
        <c:crosses val="autoZero"/>
        <c:crossBetween val="midCat"/>
      </c:valAx>
      <c:spPr>
        <a:noFill/>
        <a:ln>
          <a:noFill/>
        </a:ln>
        <a:effectLst/>
      </c:spPr>
    </c:plotArea>
    <c:legend>
      <c:legendPos val="b"/>
      <c:layout>
        <c:manualLayout>
          <c:xMode val="edge"/>
          <c:yMode val="edge"/>
          <c:x val="0.1572620236811175"/>
          <c:y val="0.81288067097519123"/>
          <c:w val="0.73834603279134403"/>
          <c:h val="0.16675273024680468"/>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userShapes r:id="rId3"/>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207057451151936"/>
          <c:y val="9.2833538879929164E-2"/>
          <c:w val="0.68395562055618953"/>
          <c:h val="0.66023332173839699"/>
        </c:manualLayout>
      </c:layout>
      <c:scatterChart>
        <c:scatterStyle val="smoothMarker"/>
        <c:varyColors val="0"/>
        <c:ser>
          <c:idx val="0"/>
          <c:order val="0"/>
          <c:tx>
            <c:strRef>
              <c:f>Calculations!$B$155</c:f>
              <c:strCache>
                <c:ptCount val="1"/>
                <c:pt idx="0">
                  <c:v>select a vehicle category</c:v>
                </c:pt>
              </c:strCache>
            </c:strRef>
          </c:tx>
          <c:spPr>
            <a:ln w="28575" cap="rnd">
              <a:solidFill>
                <a:srgbClr val="00546E"/>
              </a:solidFill>
              <a:round/>
            </a:ln>
            <a:effectLst/>
          </c:spPr>
          <c:marker>
            <c:symbol val="none"/>
          </c:marker>
          <c:xVal>
            <c:numRef>
              <c:f>Calculations!$E$121:$AI$121</c:f>
              <c:numCache>
                <c:formatCode>0</c:formatCode>
                <c:ptCount val="29"/>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pt idx="15">
                  <c:v>2037</c:v>
                </c:pt>
                <c:pt idx="16">
                  <c:v>2038</c:v>
                </c:pt>
                <c:pt idx="17">
                  <c:v>2039</c:v>
                </c:pt>
                <c:pt idx="18">
                  <c:v>2040</c:v>
                </c:pt>
                <c:pt idx="19">
                  <c:v>2041</c:v>
                </c:pt>
                <c:pt idx="20">
                  <c:v>2042</c:v>
                </c:pt>
                <c:pt idx="21">
                  <c:v>2043</c:v>
                </c:pt>
                <c:pt idx="22">
                  <c:v>2044</c:v>
                </c:pt>
                <c:pt idx="23">
                  <c:v>2045</c:v>
                </c:pt>
                <c:pt idx="24">
                  <c:v>2046</c:v>
                </c:pt>
                <c:pt idx="25">
                  <c:v>2047</c:v>
                </c:pt>
                <c:pt idx="26">
                  <c:v>2048</c:v>
                </c:pt>
                <c:pt idx="27">
                  <c:v>2049</c:v>
                </c:pt>
                <c:pt idx="28">
                  <c:v>2050</c:v>
                </c:pt>
              </c:numCache>
            </c:numRef>
          </c:xVal>
          <c:yVal>
            <c:numRef>
              <c:f>Calculations!$E$155:$AI$155</c:f>
              <c:numCache>
                <c:formatCode>#,##0</c:formatCode>
                <c:ptCount val="29"/>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numCache>
            </c:numRef>
          </c:yVal>
          <c:smooth val="1"/>
          <c:extLst>
            <c:ext xmlns:c16="http://schemas.microsoft.com/office/drawing/2014/chart" uri="{C3380CC4-5D6E-409C-BE32-E72D297353CC}">
              <c16:uniqueId val="{00000000-10F1-4726-8058-D7139A765015}"/>
            </c:ext>
          </c:extLst>
        </c:ser>
        <c:ser>
          <c:idx val="1"/>
          <c:order val="1"/>
          <c:tx>
            <c:strRef>
              <c:f>Calculations!$B$156</c:f>
              <c:strCache>
                <c:ptCount val="1"/>
                <c:pt idx="0">
                  <c:v>select a vehicle category</c:v>
                </c:pt>
              </c:strCache>
            </c:strRef>
          </c:tx>
          <c:spPr>
            <a:ln w="12700" cap="rnd">
              <a:solidFill>
                <a:srgbClr val="FFC000"/>
              </a:solidFill>
              <a:prstDash val="sysDash"/>
              <a:round/>
            </a:ln>
            <a:effectLst/>
          </c:spPr>
          <c:marker>
            <c:symbol val="none"/>
          </c:marker>
          <c:xVal>
            <c:numRef>
              <c:f>Calculations!$E$121:$AI$121</c:f>
              <c:numCache>
                <c:formatCode>0</c:formatCode>
                <c:ptCount val="29"/>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pt idx="15">
                  <c:v>2037</c:v>
                </c:pt>
                <c:pt idx="16">
                  <c:v>2038</c:v>
                </c:pt>
                <c:pt idx="17">
                  <c:v>2039</c:v>
                </c:pt>
                <c:pt idx="18">
                  <c:v>2040</c:v>
                </c:pt>
                <c:pt idx="19">
                  <c:v>2041</c:v>
                </c:pt>
                <c:pt idx="20">
                  <c:v>2042</c:v>
                </c:pt>
                <c:pt idx="21">
                  <c:v>2043</c:v>
                </c:pt>
                <c:pt idx="22">
                  <c:v>2044</c:v>
                </c:pt>
                <c:pt idx="23">
                  <c:v>2045</c:v>
                </c:pt>
                <c:pt idx="24">
                  <c:v>2046</c:v>
                </c:pt>
                <c:pt idx="25">
                  <c:v>2047</c:v>
                </c:pt>
                <c:pt idx="26">
                  <c:v>2048</c:v>
                </c:pt>
                <c:pt idx="27">
                  <c:v>2049</c:v>
                </c:pt>
                <c:pt idx="28">
                  <c:v>2050</c:v>
                </c:pt>
              </c:numCache>
            </c:numRef>
          </c:xVal>
          <c:yVal>
            <c:numRef>
              <c:f>Calculations!$E$156:$AI$156</c:f>
              <c:numCache>
                <c:formatCode>#,##0</c:formatCode>
                <c:ptCount val="29"/>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numCache>
            </c:numRef>
          </c:yVal>
          <c:smooth val="1"/>
          <c:extLst>
            <c:ext xmlns:c16="http://schemas.microsoft.com/office/drawing/2014/chart" uri="{C3380CC4-5D6E-409C-BE32-E72D297353CC}">
              <c16:uniqueId val="{00000001-10F1-4726-8058-D7139A765015}"/>
            </c:ext>
          </c:extLst>
        </c:ser>
        <c:ser>
          <c:idx val="2"/>
          <c:order val="2"/>
          <c:tx>
            <c:strRef>
              <c:f>Calculations!$B$157</c:f>
              <c:strCache>
                <c:ptCount val="1"/>
                <c:pt idx="0">
                  <c:v>select a vehicle category</c:v>
                </c:pt>
              </c:strCache>
            </c:strRef>
          </c:tx>
          <c:spPr>
            <a:ln w="28575" cap="rnd">
              <a:noFill/>
              <a:round/>
            </a:ln>
            <a:effectLst/>
          </c:spPr>
          <c:marker>
            <c:symbol val="circle"/>
            <c:size val="6"/>
            <c:spPr>
              <a:solidFill>
                <a:srgbClr val="7030A0"/>
              </a:solidFill>
              <a:ln w="9525">
                <a:noFill/>
              </a:ln>
              <a:effectLst/>
            </c:spPr>
          </c:marker>
          <c:dLbls>
            <c:dLbl>
              <c:idx val="0"/>
              <c:layout>
                <c:manualLayout>
                  <c:x val="9.02391842852872E-3"/>
                  <c:y val="-7.8622890512179952E-2"/>
                </c:manualLayout>
              </c:layout>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n-US"/>
                </a:p>
              </c:txPr>
              <c:dLblPos val="r"/>
              <c:showLegendKey val="0"/>
              <c:showVal val="0"/>
              <c:showCatName val="0"/>
              <c:showSerName val="1"/>
              <c:showPercent val="0"/>
              <c:showBubbleSize val="0"/>
              <c:extLst>
                <c:ext xmlns:c15="http://schemas.microsoft.com/office/drawing/2012/chart" uri="{CE6537A1-D6FC-4f65-9D91-7224C49458BB}">
                  <c15:spPr xmlns:c15="http://schemas.microsoft.com/office/drawing/2012/chart">
                    <a:prstGeom prst="wedgeRectCallout">
                      <a:avLst/>
                    </a:prstGeom>
                    <a:noFill/>
                    <a:ln>
                      <a:noFill/>
                    </a:ln>
                  </c15:spPr>
                </c:ext>
                <c:ext xmlns:c16="http://schemas.microsoft.com/office/drawing/2014/chart" uri="{C3380CC4-5D6E-409C-BE32-E72D297353CC}">
                  <c16:uniqueId val="{00000002-10F1-4726-8058-D7139A765015}"/>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Autoparts!$D$27</c:f>
              <c:numCache>
                <c:formatCode>General</c:formatCode>
                <c:ptCount val="1"/>
              </c:numCache>
            </c:numRef>
          </c:xVal>
          <c:yVal>
            <c:numRef>
              <c:f>Calculations!$D$157</c:f>
              <c:numCache>
                <c:formatCode>#,##0.00</c:formatCode>
                <c:ptCount val="1"/>
                <c:pt idx="0">
                  <c:v>#N/A</c:v>
                </c:pt>
              </c:numCache>
            </c:numRef>
          </c:yVal>
          <c:smooth val="1"/>
          <c:extLst>
            <c:ext xmlns:c16="http://schemas.microsoft.com/office/drawing/2014/chart" uri="{C3380CC4-5D6E-409C-BE32-E72D297353CC}">
              <c16:uniqueId val="{00000003-10F1-4726-8058-D7139A765015}"/>
            </c:ext>
          </c:extLst>
        </c:ser>
        <c:dLbls>
          <c:showLegendKey val="0"/>
          <c:showVal val="0"/>
          <c:showCatName val="0"/>
          <c:showSerName val="0"/>
          <c:showPercent val="0"/>
          <c:showBubbleSize val="0"/>
        </c:dLbls>
        <c:axId val="949570272"/>
        <c:axId val="949571904"/>
      </c:scatterChart>
      <c:valAx>
        <c:axId val="949570272"/>
        <c:scaling>
          <c:orientation val="minMax"/>
          <c:max val="2040"/>
          <c:min val="2020"/>
        </c:scaling>
        <c:delete val="0"/>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low"/>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49571904"/>
        <c:crossesAt val="0"/>
        <c:crossBetween val="midCat"/>
      </c:valAx>
      <c:valAx>
        <c:axId val="949571904"/>
        <c:scaling>
          <c:orientation val="minMax"/>
          <c:min val="0"/>
        </c:scaling>
        <c:delete val="0"/>
        <c:axPos val="l"/>
        <c:majorGridlines>
          <c:spPr>
            <a:ln w="9525" cap="flat" cmpd="sng" algn="ctr">
              <a:solidFill>
                <a:schemeClr val="tx1">
                  <a:lumMod val="15000"/>
                  <a:lumOff val="85000"/>
                </a:schemeClr>
              </a:solidFill>
              <a:round/>
            </a:ln>
            <a:effectLst/>
          </c:spPr>
        </c:majorGridlines>
        <c:title>
          <c:tx>
            <c:strRef>
              <c:f>Autoparts!$F$28</c:f>
              <c:strCache>
                <c:ptCount val="1"/>
                <c:pt idx="0">
                  <c:v>gCO2e/vkm</c:v>
                </c:pt>
              </c:strCache>
            </c:strRef>
          </c:tx>
          <c:layout>
            <c:manualLayout>
              <c:xMode val="edge"/>
              <c:yMode val="edge"/>
              <c:x val="7.9065439472913293E-2"/>
              <c:y val="0.32590387797910803"/>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49570272"/>
        <c:crosses val="autoZero"/>
        <c:crossBetween val="midCat"/>
      </c:valAx>
      <c:spPr>
        <a:noFill/>
        <a:ln>
          <a:noFill/>
        </a:ln>
        <a:effectLst/>
      </c:spPr>
    </c:plotArea>
    <c:legend>
      <c:legendPos val="r"/>
      <c:layout>
        <c:manualLayout>
          <c:xMode val="edge"/>
          <c:yMode val="edge"/>
          <c:x val="0.18576299296213111"/>
          <c:y val="0.83592585565358546"/>
          <c:w val="0.69894880923789593"/>
          <c:h val="0.13805458052683173"/>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userShapes r:id="rId3"/>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207057451151936"/>
          <c:y val="0.12295402080763999"/>
          <c:w val="0.68395562055618953"/>
          <c:h val="0.63011283981068622"/>
        </c:manualLayout>
      </c:layout>
      <c:scatterChart>
        <c:scatterStyle val="smoothMarker"/>
        <c:varyColors val="0"/>
        <c:ser>
          <c:idx val="0"/>
          <c:order val="0"/>
          <c:tx>
            <c:strRef>
              <c:f>Calculations!$B$165</c:f>
              <c:strCache>
                <c:ptCount val="1"/>
                <c:pt idx="0">
                  <c:v>select a vehicle category</c:v>
                </c:pt>
              </c:strCache>
            </c:strRef>
          </c:tx>
          <c:spPr>
            <a:ln w="28575" cap="rnd">
              <a:solidFill>
                <a:srgbClr val="00546E"/>
              </a:solidFill>
              <a:round/>
            </a:ln>
            <a:effectLst/>
          </c:spPr>
          <c:marker>
            <c:symbol val="none"/>
          </c:marker>
          <c:xVal>
            <c:numRef>
              <c:f>Calculations!$E$121:$AI$121</c:f>
              <c:numCache>
                <c:formatCode>0</c:formatCode>
                <c:ptCount val="29"/>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pt idx="15">
                  <c:v>2037</c:v>
                </c:pt>
                <c:pt idx="16">
                  <c:v>2038</c:v>
                </c:pt>
                <c:pt idx="17">
                  <c:v>2039</c:v>
                </c:pt>
                <c:pt idx="18">
                  <c:v>2040</c:v>
                </c:pt>
                <c:pt idx="19">
                  <c:v>2041</c:v>
                </c:pt>
                <c:pt idx="20">
                  <c:v>2042</c:v>
                </c:pt>
                <c:pt idx="21">
                  <c:v>2043</c:v>
                </c:pt>
                <c:pt idx="22">
                  <c:v>2044</c:v>
                </c:pt>
                <c:pt idx="23">
                  <c:v>2045</c:v>
                </c:pt>
                <c:pt idx="24">
                  <c:v>2046</c:v>
                </c:pt>
                <c:pt idx="25">
                  <c:v>2047</c:v>
                </c:pt>
                <c:pt idx="26">
                  <c:v>2048</c:v>
                </c:pt>
                <c:pt idx="27">
                  <c:v>2049</c:v>
                </c:pt>
                <c:pt idx="28">
                  <c:v>2050</c:v>
                </c:pt>
              </c:numCache>
            </c:numRef>
          </c:xVal>
          <c:yVal>
            <c:numRef>
              <c:f>Calculations!$E$165:$AI$165</c:f>
              <c:numCache>
                <c:formatCode>#,##0</c:formatCode>
                <c:ptCount val="29"/>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numCache>
            </c:numRef>
          </c:yVal>
          <c:smooth val="1"/>
          <c:extLst>
            <c:ext xmlns:c16="http://schemas.microsoft.com/office/drawing/2014/chart" uri="{C3380CC4-5D6E-409C-BE32-E72D297353CC}">
              <c16:uniqueId val="{00000000-2B2E-4B75-A09D-A86F69FEEF8D}"/>
            </c:ext>
          </c:extLst>
        </c:ser>
        <c:ser>
          <c:idx val="1"/>
          <c:order val="1"/>
          <c:tx>
            <c:strRef>
              <c:f>Calculations!$B$166</c:f>
              <c:strCache>
                <c:ptCount val="1"/>
                <c:pt idx="0">
                  <c:v>select a vehicle category</c:v>
                </c:pt>
              </c:strCache>
            </c:strRef>
          </c:tx>
          <c:spPr>
            <a:ln w="12700" cap="rnd">
              <a:solidFill>
                <a:srgbClr val="F6B540"/>
              </a:solidFill>
              <a:prstDash val="sysDash"/>
              <a:round/>
            </a:ln>
            <a:effectLst/>
          </c:spPr>
          <c:marker>
            <c:symbol val="none"/>
          </c:marker>
          <c:xVal>
            <c:numRef>
              <c:f>Calculations!$E$121:$AI$121</c:f>
              <c:numCache>
                <c:formatCode>0</c:formatCode>
                <c:ptCount val="29"/>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pt idx="15">
                  <c:v>2037</c:v>
                </c:pt>
                <c:pt idx="16">
                  <c:v>2038</c:v>
                </c:pt>
                <c:pt idx="17">
                  <c:v>2039</c:v>
                </c:pt>
                <c:pt idx="18">
                  <c:v>2040</c:v>
                </c:pt>
                <c:pt idx="19">
                  <c:v>2041</c:v>
                </c:pt>
                <c:pt idx="20">
                  <c:v>2042</c:v>
                </c:pt>
                <c:pt idx="21">
                  <c:v>2043</c:v>
                </c:pt>
                <c:pt idx="22">
                  <c:v>2044</c:v>
                </c:pt>
                <c:pt idx="23">
                  <c:v>2045</c:v>
                </c:pt>
                <c:pt idx="24">
                  <c:v>2046</c:v>
                </c:pt>
                <c:pt idx="25">
                  <c:v>2047</c:v>
                </c:pt>
                <c:pt idx="26">
                  <c:v>2048</c:v>
                </c:pt>
                <c:pt idx="27">
                  <c:v>2049</c:v>
                </c:pt>
                <c:pt idx="28">
                  <c:v>2050</c:v>
                </c:pt>
              </c:numCache>
            </c:numRef>
          </c:xVal>
          <c:yVal>
            <c:numRef>
              <c:f>Calculations!$E$166:$AI$166</c:f>
              <c:numCache>
                <c:formatCode>#,##0</c:formatCode>
                <c:ptCount val="29"/>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numCache>
            </c:numRef>
          </c:yVal>
          <c:smooth val="1"/>
          <c:extLst>
            <c:ext xmlns:c16="http://schemas.microsoft.com/office/drawing/2014/chart" uri="{C3380CC4-5D6E-409C-BE32-E72D297353CC}">
              <c16:uniqueId val="{00000001-2B2E-4B75-A09D-A86F69FEEF8D}"/>
            </c:ext>
          </c:extLst>
        </c:ser>
        <c:ser>
          <c:idx val="2"/>
          <c:order val="2"/>
          <c:tx>
            <c:strRef>
              <c:f>Calculations!$B$167</c:f>
              <c:strCache>
                <c:ptCount val="1"/>
                <c:pt idx="0">
                  <c:v>Scope 3 category 11 intensity target</c:v>
                </c:pt>
              </c:strCache>
            </c:strRef>
          </c:tx>
          <c:spPr>
            <a:ln w="28575" cap="rnd">
              <a:noFill/>
              <a:round/>
            </a:ln>
            <a:effectLst/>
          </c:spPr>
          <c:marker>
            <c:symbol val="circle"/>
            <c:size val="6"/>
            <c:spPr>
              <a:solidFill>
                <a:srgbClr val="7030A0"/>
              </a:solidFill>
              <a:ln w="9525">
                <a:noFill/>
              </a:ln>
              <a:effectLst/>
            </c:spPr>
          </c:marker>
          <c:dLbls>
            <c:dLbl>
              <c:idx val="0"/>
              <c:layout>
                <c:manualLayout>
                  <c:x val="-2.7262809620723513E-2"/>
                  <c:y val="-0.11713520749665328"/>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2-2B2E-4B75-A09D-A86F69FEEF8D}"/>
                </c:ext>
              </c:extLst>
            </c:dLbl>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n-US"/>
              </a:p>
            </c:txPr>
            <c:showLegendKey val="0"/>
            <c:showVal val="0"/>
            <c:showCatName val="0"/>
            <c:showSerName val="1"/>
            <c:showPercent val="0"/>
            <c:showBubbleSize val="0"/>
            <c:showLeaderLines val="0"/>
            <c:extLst>
              <c:ext xmlns:c15="http://schemas.microsoft.com/office/drawing/2012/chart" uri="{CE6537A1-D6FC-4f65-9D91-7224C49458BB}">
                <c15:spPr xmlns:c15="http://schemas.microsoft.com/office/drawing/2012/chart">
                  <a:prstGeom prst="wedgeRectCallout">
                    <a:avLst/>
                  </a:prstGeom>
                  <a:noFill/>
                  <a:ln>
                    <a:noFill/>
                  </a:ln>
                </c15:spPr>
                <c15:showLeaderLines val="0"/>
              </c:ext>
            </c:extLst>
          </c:dLbls>
          <c:xVal>
            <c:numRef>
              <c:f>Autoparts!$D$27</c:f>
              <c:numCache>
                <c:formatCode>General</c:formatCode>
                <c:ptCount val="1"/>
              </c:numCache>
            </c:numRef>
          </c:xVal>
          <c:yVal>
            <c:numRef>
              <c:f>Calculations!$D$167</c:f>
              <c:numCache>
                <c:formatCode>#,##0.00</c:formatCode>
                <c:ptCount val="1"/>
                <c:pt idx="0">
                  <c:v>#N/A</c:v>
                </c:pt>
              </c:numCache>
            </c:numRef>
          </c:yVal>
          <c:smooth val="1"/>
          <c:extLst>
            <c:ext xmlns:c16="http://schemas.microsoft.com/office/drawing/2014/chart" uri="{C3380CC4-5D6E-409C-BE32-E72D297353CC}">
              <c16:uniqueId val="{00000003-2B2E-4B75-A09D-A86F69FEEF8D}"/>
            </c:ext>
          </c:extLst>
        </c:ser>
        <c:dLbls>
          <c:showLegendKey val="0"/>
          <c:showVal val="0"/>
          <c:showCatName val="0"/>
          <c:showSerName val="0"/>
          <c:showPercent val="0"/>
          <c:showBubbleSize val="0"/>
        </c:dLbls>
        <c:axId val="949570272"/>
        <c:axId val="949571904"/>
      </c:scatterChart>
      <c:valAx>
        <c:axId val="949570272"/>
        <c:scaling>
          <c:orientation val="minMax"/>
          <c:max val="2040"/>
          <c:min val="2020"/>
        </c:scaling>
        <c:delete val="0"/>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low"/>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49571904"/>
        <c:crossesAt val="0"/>
        <c:crossBetween val="midCat"/>
      </c:valAx>
      <c:valAx>
        <c:axId val="949571904"/>
        <c:scaling>
          <c:orientation val="minMax"/>
          <c:min val="0"/>
        </c:scaling>
        <c:delete val="0"/>
        <c:axPos val="l"/>
        <c:majorGridlines>
          <c:spPr>
            <a:ln w="9525" cap="flat" cmpd="sng" algn="ctr">
              <a:solidFill>
                <a:schemeClr val="tx1">
                  <a:lumMod val="15000"/>
                  <a:lumOff val="85000"/>
                </a:schemeClr>
              </a:solidFill>
              <a:round/>
            </a:ln>
            <a:effectLst/>
          </c:spPr>
        </c:majorGridlines>
        <c:title>
          <c:tx>
            <c:strRef>
              <c:f>Autoparts!$F$28</c:f>
              <c:strCache>
                <c:ptCount val="1"/>
                <c:pt idx="0">
                  <c:v>gCO2e/vkm</c:v>
                </c:pt>
              </c:strCache>
            </c:strRef>
          </c:tx>
          <c:layout>
            <c:manualLayout>
              <c:xMode val="edge"/>
              <c:yMode val="edge"/>
              <c:x val="6.9977836266005455E-2"/>
              <c:y val="0.35937108012100899"/>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49570272"/>
        <c:crosses val="autoZero"/>
        <c:crossBetween val="midCat"/>
      </c:valAx>
      <c:spPr>
        <a:noFill/>
        <a:ln>
          <a:noFill/>
        </a:ln>
        <a:effectLst/>
      </c:spPr>
    </c:plotArea>
    <c:legend>
      <c:legendPos val="r"/>
      <c:layout>
        <c:manualLayout>
          <c:xMode val="edge"/>
          <c:yMode val="edge"/>
          <c:x val="0.18576299296213111"/>
          <c:y val="0.83592585565358546"/>
          <c:w val="0.69894880923789593"/>
          <c:h val="0.13805458052683173"/>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userShapes r:id="rId3"/>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207057451151936"/>
          <c:y val="9.2276707985759224E-2"/>
          <c:w val="0.69901600593603941"/>
          <c:h val="0.64317871157194462"/>
        </c:manualLayout>
      </c:layout>
      <c:scatterChart>
        <c:scatterStyle val="smoothMarker"/>
        <c:varyColors val="0"/>
        <c:ser>
          <c:idx val="0"/>
          <c:order val="0"/>
          <c:tx>
            <c:strRef>
              <c:f>Calculations!$B$160</c:f>
              <c:strCache>
                <c:ptCount val="1"/>
                <c:pt idx="0">
                  <c:v>enter base year data</c:v>
                </c:pt>
              </c:strCache>
            </c:strRef>
          </c:tx>
          <c:spPr>
            <a:ln w="28575" cap="rnd">
              <a:solidFill>
                <a:srgbClr val="00546E"/>
              </a:solidFill>
              <a:round/>
            </a:ln>
            <a:effectLst/>
          </c:spPr>
          <c:marker>
            <c:symbol val="none"/>
          </c:marker>
          <c:xVal>
            <c:numRef>
              <c:f>Calculations!$E$121:$AI$121</c:f>
              <c:numCache>
                <c:formatCode>0</c:formatCode>
                <c:ptCount val="29"/>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pt idx="15">
                  <c:v>2037</c:v>
                </c:pt>
                <c:pt idx="16">
                  <c:v>2038</c:v>
                </c:pt>
                <c:pt idx="17">
                  <c:v>2039</c:v>
                </c:pt>
                <c:pt idx="18">
                  <c:v>2040</c:v>
                </c:pt>
                <c:pt idx="19">
                  <c:v>2041</c:v>
                </c:pt>
                <c:pt idx="20">
                  <c:v>2042</c:v>
                </c:pt>
                <c:pt idx="21">
                  <c:v>2043</c:v>
                </c:pt>
                <c:pt idx="22">
                  <c:v>2044</c:v>
                </c:pt>
                <c:pt idx="23">
                  <c:v>2045</c:v>
                </c:pt>
                <c:pt idx="24">
                  <c:v>2046</c:v>
                </c:pt>
                <c:pt idx="25">
                  <c:v>2047</c:v>
                </c:pt>
                <c:pt idx="26">
                  <c:v>2048</c:v>
                </c:pt>
                <c:pt idx="27">
                  <c:v>2049</c:v>
                </c:pt>
                <c:pt idx="28">
                  <c:v>2050</c:v>
                </c:pt>
              </c:numCache>
            </c:numRef>
          </c:xVal>
          <c:yVal>
            <c:numRef>
              <c:f>Calculations!$E$160:$AI$160</c:f>
              <c:numCache>
                <c:formatCode>#,##0</c:formatCode>
                <c:ptCount val="29"/>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numCache>
            </c:numRef>
          </c:yVal>
          <c:smooth val="1"/>
          <c:extLst>
            <c:ext xmlns:c16="http://schemas.microsoft.com/office/drawing/2014/chart" uri="{C3380CC4-5D6E-409C-BE32-E72D297353CC}">
              <c16:uniqueId val="{00000000-B7B0-4B8E-AAB5-A5F559E12F25}"/>
            </c:ext>
          </c:extLst>
        </c:ser>
        <c:ser>
          <c:idx val="2"/>
          <c:order val="2"/>
          <c:tx>
            <c:strRef>
              <c:f>Calculations!$B$162</c:f>
              <c:strCache>
                <c:ptCount val="1"/>
                <c:pt idx="0">
                  <c:v>Scope 3 category 1 intensity target</c:v>
                </c:pt>
              </c:strCache>
            </c:strRef>
          </c:tx>
          <c:spPr>
            <a:ln w="28575" cap="rnd">
              <a:noFill/>
              <a:round/>
            </a:ln>
            <a:effectLst/>
          </c:spPr>
          <c:marker>
            <c:symbol val="circle"/>
            <c:size val="6"/>
            <c:spPr>
              <a:solidFill>
                <a:srgbClr val="7030A0"/>
              </a:solidFill>
              <a:ln w="9525">
                <a:noFill/>
              </a:ln>
              <a:effectLst/>
            </c:spPr>
          </c:marker>
          <c:dLbls>
            <c:dLbl>
              <c:idx val="0"/>
              <c:layout>
                <c:manualLayout>
                  <c:x val="4.2247563737684438E-3"/>
                  <c:y val="-0.10231023102310231"/>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1-B7B0-4B8E-AAB5-A5F559E12F25}"/>
                </c:ext>
              </c:extLst>
            </c:dLbl>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n-US"/>
              </a:p>
            </c:txPr>
            <c:showLegendKey val="0"/>
            <c:showVal val="0"/>
            <c:showCatName val="0"/>
            <c:showSerName val="1"/>
            <c:showPercent val="0"/>
            <c:showBubbleSize val="0"/>
            <c:showLeaderLines val="0"/>
            <c:extLst>
              <c:ext xmlns:c15="http://schemas.microsoft.com/office/drawing/2012/chart" uri="{CE6537A1-D6FC-4f65-9D91-7224C49458BB}">
                <c15:spPr xmlns:c15="http://schemas.microsoft.com/office/drawing/2012/chart">
                  <a:prstGeom prst="wedgeRectCallout">
                    <a:avLst/>
                  </a:prstGeom>
                  <a:noFill/>
                  <a:ln>
                    <a:noFill/>
                  </a:ln>
                </c15:spPr>
                <c15:showLeaderLines val="0"/>
              </c:ext>
            </c:extLst>
          </c:dLbls>
          <c:xVal>
            <c:numRef>
              <c:f>Autoparts!$D$27</c:f>
              <c:numCache>
                <c:formatCode>General</c:formatCode>
                <c:ptCount val="1"/>
              </c:numCache>
            </c:numRef>
          </c:xVal>
          <c:yVal>
            <c:numRef>
              <c:f>Calculations!$D$162</c:f>
              <c:numCache>
                <c:formatCode>#,##0.00</c:formatCode>
                <c:ptCount val="1"/>
                <c:pt idx="0">
                  <c:v>#N/A</c:v>
                </c:pt>
              </c:numCache>
            </c:numRef>
          </c:yVal>
          <c:smooth val="1"/>
          <c:extLst>
            <c:ext xmlns:c16="http://schemas.microsoft.com/office/drawing/2014/chart" uri="{C3380CC4-5D6E-409C-BE32-E72D297353CC}">
              <c16:uniqueId val="{00000002-B7B0-4B8E-AAB5-A5F559E12F25}"/>
            </c:ext>
          </c:extLst>
        </c:ser>
        <c:dLbls>
          <c:showLegendKey val="0"/>
          <c:showVal val="0"/>
          <c:showCatName val="0"/>
          <c:showSerName val="0"/>
          <c:showPercent val="0"/>
          <c:showBubbleSize val="0"/>
        </c:dLbls>
        <c:axId val="949570272"/>
        <c:axId val="949571904"/>
      </c:scatterChart>
      <c:scatterChart>
        <c:scatterStyle val="smoothMarker"/>
        <c:varyColors val="0"/>
        <c:ser>
          <c:idx val="1"/>
          <c:order val="1"/>
          <c:tx>
            <c:strRef>
              <c:f>Calculations!$B$161</c:f>
              <c:strCache>
                <c:ptCount val="1"/>
                <c:pt idx="0">
                  <c:v>enter base year data</c:v>
                </c:pt>
              </c:strCache>
            </c:strRef>
          </c:tx>
          <c:spPr>
            <a:ln w="12700" cap="rnd">
              <a:solidFill>
                <a:srgbClr val="FFC000"/>
              </a:solidFill>
              <a:prstDash val="sysDash"/>
              <a:round/>
            </a:ln>
            <a:effectLst/>
          </c:spPr>
          <c:marker>
            <c:symbol val="none"/>
          </c:marker>
          <c:xVal>
            <c:numRef>
              <c:f>Calculations!$E$121:$AI$121</c:f>
              <c:numCache>
                <c:formatCode>0</c:formatCode>
                <c:ptCount val="29"/>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pt idx="15">
                  <c:v>2037</c:v>
                </c:pt>
                <c:pt idx="16">
                  <c:v>2038</c:v>
                </c:pt>
                <c:pt idx="17">
                  <c:v>2039</c:v>
                </c:pt>
                <c:pt idx="18">
                  <c:v>2040</c:v>
                </c:pt>
                <c:pt idx="19">
                  <c:v>2041</c:v>
                </c:pt>
                <c:pt idx="20">
                  <c:v>2042</c:v>
                </c:pt>
                <c:pt idx="21">
                  <c:v>2043</c:v>
                </c:pt>
                <c:pt idx="22">
                  <c:v>2044</c:v>
                </c:pt>
                <c:pt idx="23">
                  <c:v>2045</c:v>
                </c:pt>
                <c:pt idx="24">
                  <c:v>2046</c:v>
                </c:pt>
                <c:pt idx="25">
                  <c:v>2047</c:v>
                </c:pt>
                <c:pt idx="26">
                  <c:v>2048</c:v>
                </c:pt>
                <c:pt idx="27">
                  <c:v>2049</c:v>
                </c:pt>
                <c:pt idx="28">
                  <c:v>2050</c:v>
                </c:pt>
              </c:numCache>
            </c:numRef>
          </c:xVal>
          <c:yVal>
            <c:numRef>
              <c:f>Calculations!$E$161:$AI$161</c:f>
              <c:numCache>
                <c:formatCode>#,##0</c:formatCode>
                <c:ptCount val="29"/>
                <c:pt idx="0">
                  <c:v>#N/A</c:v>
                </c:pt>
                <c:pt idx="1">
                  <c:v>1</c:v>
                </c:pt>
                <c:pt idx="2">
                  <c:v>0.96576747072674518</c:v>
                </c:pt>
                <c:pt idx="3">
                  <c:v>0.93153494145349003</c:v>
                </c:pt>
                <c:pt idx="4">
                  <c:v>0.89730241218023521</c:v>
                </c:pt>
                <c:pt idx="5">
                  <c:v>0.86306988290698017</c:v>
                </c:pt>
                <c:pt idx="6">
                  <c:v>0.82883735363372524</c:v>
                </c:pt>
                <c:pt idx="7">
                  <c:v>0.79460482436047042</c:v>
                </c:pt>
                <c:pt idx="8">
                  <c:v>0.76037229508721538</c:v>
                </c:pt>
                <c:pt idx="9">
                  <c:v>0.7161825737268781</c:v>
                </c:pt>
                <c:pt idx="10">
                  <c:v>0.67199285236654105</c:v>
                </c:pt>
                <c:pt idx="11">
                  <c:v>0.62780313100620389</c:v>
                </c:pt>
                <c:pt idx="12">
                  <c:v>0.58361340964586683</c:v>
                </c:pt>
                <c:pt idx="13">
                  <c:v>0.53942368828552978</c:v>
                </c:pt>
                <c:pt idx="14">
                  <c:v>0.49693665164059386</c:v>
                </c:pt>
                <c:pt idx="15">
                  <c:v>0.454449614995658</c:v>
                </c:pt>
                <c:pt idx="16">
                  <c:v>0.41196257835072209</c:v>
                </c:pt>
                <c:pt idx="17">
                  <c:v>0.36947554170578634</c:v>
                </c:pt>
                <c:pt idx="18">
                  <c:v>0.32698850506085048</c:v>
                </c:pt>
                <c:pt idx="19">
                  <c:v>0.29883823918863928</c:v>
                </c:pt>
                <c:pt idx="20">
                  <c:v>0.27068797331642813</c:v>
                </c:pt>
                <c:pt idx="21">
                  <c:v>0.2425377074442169</c:v>
                </c:pt>
                <c:pt idx="22">
                  <c:v>0.21438744157200568</c:v>
                </c:pt>
                <c:pt idx="23">
                  <c:v>0.1862371756997945</c:v>
                </c:pt>
                <c:pt idx="24">
                  <c:v>0.15808690982758328</c:v>
                </c:pt>
                <c:pt idx="25">
                  <c:v>0.12993664395537211</c:v>
                </c:pt>
                <c:pt idx="26">
                  <c:v>0.10178637808316089</c:v>
                </c:pt>
                <c:pt idx="27">
                  <c:v>7.3636112210949692E-2</c:v>
                </c:pt>
                <c:pt idx="28">
                  <c:v>4.5485846338738409E-2</c:v>
                </c:pt>
              </c:numCache>
            </c:numRef>
          </c:yVal>
          <c:smooth val="1"/>
          <c:extLst>
            <c:ext xmlns:c16="http://schemas.microsoft.com/office/drawing/2014/chart" uri="{C3380CC4-5D6E-409C-BE32-E72D297353CC}">
              <c16:uniqueId val="{00000003-B7B0-4B8E-AAB5-A5F559E12F25}"/>
            </c:ext>
          </c:extLst>
        </c:ser>
        <c:dLbls>
          <c:showLegendKey val="0"/>
          <c:showVal val="0"/>
          <c:showCatName val="0"/>
          <c:showSerName val="0"/>
          <c:showPercent val="0"/>
          <c:showBubbleSize val="0"/>
        </c:dLbls>
        <c:axId val="1613731327"/>
        <c:axId val="1613730847"/>
      </c:scatterChart>
      <c:valAx>
        <c:axId val="949570272"/>
        <c:scaling>
          <c:orientation val="minMax"/>
          <c:max val="2040"/>
          <c:min val="2020"/>
        </c:scaling>
        <c:delete val="0"/>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low"/>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49571904"/>
        <c:crossesAt val="0"/>
        <c:crossBetween val="midCat"/>
      </c:valAx>
      <c:valAx>
        <c:axId val="949571904"/>
        <c:scaling>
          <c:orientation val="minMax"/>
          <c:min val="0"/>
        </c:scaling>
        <c:delete val="0"/>
        <c:axPos val="l"/>
        <c:majorGridlines>
          <c:spPr>
            <a:ln w="9525" cap="flat" cmpd="sng" algn="ctr">
              <a:solidFill>
                <a:schemeClr val="tx1">
                  <a:lumMod val="15000"/>
                  <a:lumOff val="85000"/>
                </a:schemeClr>
              </a:solidFill>
              <a:round/>
            </a:ln>
            <a:effectLst/>
          </c:spPr>
        </c:majorGridlines>
        <c:title>
          <c:tx>
            <c:strRef>
              <c:f>Autoparts!$F$29</c:f>
              <c:strCache>
                <c:ptCount val="1"/>
                <c:pt idx="0">
                  <c:v>gCO2e/part</c:v>
                </c:pt>
              </c:strCache>
            </c:strRef>
          </c:tx>
          <c:layout>
            <c:manualLayout>
              <c:xMode val="edge"/>
              <c:yMode val="edge"/>
              <c:x val="7.9756580848114836E-2"/>
              <c:y val="0.33059587848548633"/>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49570272"/>
        <c:crosses val="autoZero"/>
        <c:crossBetween val="midCat"/>
      </c:valAx>
      <c:valAx>
        <c:axId val="1613730847"/>
        <c:scaling>
          <c:orientation val="minMax"/>
        </c:scaling>
        <c:delete val="0"/>
        <c:axPos val="r"/>
        <c:numFmt formatCode="#,##0.00" sourceLinked="0"/>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613731327"/>
        <c:crosses val="max"/>
        <c:crossBetween val="midCat"/>
      </c:valAx>
      <c:valAx>
        <c:axId val="1613731327"/>
        <c:scaling>
          <c:orientation val="minMax"/>
        </c:scaling>
        <c:delete val="1"/>
        <c:axPos val="b"/>
        <c:numFmt formatCode="0" sourceLinked="1"/>
        <c:majorTickMark val="out"/>
        <c:minorTickMark val="none"/>
        <c:tickLblPos val="nextTo"/>
        <c:crossAx val="1613730847"/>
        <c:crosses val="autoZero"/>
        <c:crossBetween val="midCat"/>
      </c:valAx>
      <c:spPr>
        <a:noFill/>
        <a:ln>
          <a:noFill/>
        </a:ln>
        <a:effectLst/>
      </c:spPr>
    </c:plotArea>
    <c:legend>
      <c:legendPos val="b"/>
      <c:layout>
        <c:manualLayout>
          <c:xMode val="edge"/>
          <c:yMode val="edge"/>
          <c:x val="0.1572620236811175"/>
          <c:y val="0.81288067097519123"/>
          <c:w val="0.73834603279134403"/>
          <c:h val="0.16675273024680468"/>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userShapes r:id="rId3"/>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2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32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32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32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32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32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32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32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32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32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32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32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32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3" Type="http://schemas.openxmlformats.org/officeDocument/2006/relationships/chart" Target="../charts/chart8.xml"/><Relationship Id="rId2" Type="http://schemas.openxmlformats.org/officeDocument/2006/relationships/image" Target="../media/image1.gif"/><Relationship Id="rId1" Type="http://schemas.openxmlformats.org/officeDocument/2006/relationships/chart" Target="../charts/chart7.xml"/><Relationship Id="rId5" Type="http://schemas.openxmlformats.org/officeDocument/2006/relationships/chart" Target="../charts/chart10.xml"/><Relationship Id="rId4" Type="http://schemas.openxmlformats.org/officeDocument/2006/relationships/chart" Target="../charts/chart9.xml"/></Relationships>
</file>

<file path=xl/drawings/_rels/drawing15.xml.rels><?xml version="1.0" encoding="UTF-8" standalone="yes"?>
<Relationships xmlns="http://schemas.openxmlformats.org/package/2006/relationships"><Relationship Id="rId1" Type="http://schemas.openxmlformats.org/officeDocument/2006/relationships/image" Target="../media/image2.jpg"/></Relationships>
</file>

<file path=xl/drawings/_rels/drawing16.xml.rels><?xml version="1.0" encoding="UTF-8" standalone="yes"?>
<Relationships xmlns="http://schemas.openxmlformats.org/package/2006/relationships"><Relationship Id="rId2" Type="http://schemas.openxmlformats.org/officeDocument/2006/relationships/chart" Target="../charts/chart12.xml"/><Relationship Id="rId1" Type="http://schemas.openxmlformats.org/officeDocument/2006/relationships/chart" Target="../charts/chart11.xml"/></Relationships>
</file>

<file path=xl/drawings/_rels/drawing17.xml.rels><?xml version="1.0" encoding="UTF-8" standalone="yes"?>
<Relationships xmlns="http://schemas.openxmlformats.org/package/2006/relationships"><Relationship Id="rId2" Type="http://schemas.openxmlformats.org/officeDocument/2006/relationships/chart" Target="../charts/chart14.xml"/><Relationship Id="rId1" Type="http://schemas.openxmlformats.org/officeDocument/2006/relationships/chart" Target="../charts/chart13.xml"/></Relationships>
</file>

<file path=xl/drawings/_rels/drawing18.xml.rels><?xml version="1.0" encoding="UTF-8" standalone="yes"?>
<Relationships xmlns="http://schemas.openxmlformats.org/package/2006/relationships"><Relationship Id="rId3" Type="http://schemas.openxmlformats.org/officeDocument/2006/relationships/chart" Target="../charts/chart16.xml"/><Relationship Id="rId2" Type="http://schemas.openxmlformats.org/officeDocument/2006/relationships/image" Target="../media/image1.gif"/><Relationship Id="rId1" Type="http://schemas.openxmlformats.org/officeDocument/2006/relationships/chart" Target="../charts/chart15.xml"/><Relationship Id="rId6" Type="http://schemas.openxmlformats.org/officeDocument/2006/relationships/chart" Target="../charts/chart19.xml"/><Relationship Id="rId5" Type="http://schemas.openxmlformats.org/officeDocument/2006/relationships/chart" Target="../charts/chart18.xml"/><Relationship Id="rId4" Type="http://schemas.openxmlformats.org/officeDocument/2006/relationships/chart" Target="../charts/chart17.xml"/></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3" Type="http://schemas.openxmlformats.org/officeDocument/2006/relationships/chart" Target="../charts/chart2.xml"/><Relationship Id="rId7" Type="http://schemas.openxmlformats.org/officeDocument/2006/relationships/chart" Target="../charts/chart6.xml"/><Relationship Id="rId2" Type="http://schemas.openxmlformats.org/officeDocument/2006/relationships/image" Target="../media/image1.gif"/><Relationship Id="rId1" Type="http://schemas.openxmlformats.org/officeDocument/2006/relationships/chart" Target="../charts/chart1.xml"/><Relationship Id="rId6" Type="http://schemas.openxmlformats.org/officeDocument/2006/relationships/chart" Target="../charts/chart5.xml"/><Relationship Id="rId5" Type="http://schemas.openxmlformats.org/officeDocument/2006/relationships/chart" Target="../charts/chart4.xml"/><Relationship Id="rId4"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editAs="oneCell">
    <xdr:from>
      <xdr:col>1</xdr:col>
      <xdr:colOff>180975</xdr:colOff>
      <xdr:row>1</xdr:row>
      <xdr:rowOff>0</xdr:rowOff>
    </xdr:from>
    <xdr:to>
      <xdr:col>4</xdr:col>
      <xdr:colOff>225800</xdr:colOff>
      <xdr:row>4</xdr:row>
      <xdr:rowOff>221841</xdr:rowOff>
    </xdr:to>
    <xdr:pic>
      <xdr:nvPicPr>
        <xdr:cNvPr id="3" name="Imagen 2" descr="C:\Users\Fernando Rangel\Google Drive\SBTi\SBTi - Core team\Communication Team\Branding\Logos and templates\SBTi logos_\Logos_\SBT copy.gif">
          <a:extLst>
            <a:ext uri="{FF2B5EF4-FFF2-40B4-BE49-F238E27FC236}">
              <a16:creationId xmlns:a16="http://schemas.microsoft.com/office/drawing/2014/main" id="{00000000-0008-0000-0000-000003000000}"/>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b="18622"/>
        <a:stretch/>
      </xdr:blipFill>
      <xdr:spPr bwMode="auto">
        <a:xfrm>
          <a:off x="419100" y="247650"/>
          <a:ext cx="2454089" cy="1145766"/>
        </a:xfrm>
        <a:prstGeom prst="rect">
          <a:avLst/>
        </a:prstGeom>
        <a:noFill/>
        <a:ln>
          <a:noFill/>
        </a:ln>
        <a:extLst>
          <a:ext uri="{53640926-AAD7-44D8-BBD7-CCE9431645EC}">
            <a14:shadowObscured xmlns:a14="http://schemas.microsoft.com/office/drawing/2010/main"/>
          </a:ext>
        </a:extLst>
      </xdr:spPr>
    </xdr:pic>
    <xdr:clientData/>
  </xdr:twoCellAnchor>
</xdr:wsDr>
</file>

<file path=xl/drawings/drawing10.xml><?xml version="1.0" encoding="utf-8"?>
<xdr:wsDr xmlns:xdr="http://schemas.openxmlformats.org/drawingml/2006/spreadsheetDrawing" xmlns:a="http://schemas.openxmlformats.org/drawingml/2006/main">
  <xdr:twoCellAnchor>
    <xdr:from>
      <xdr:col>1</xdr:col>
      <xdr:colOff>76199</xdr:colOff>
      <xdr:row>39</xdr:row>
      <xdr:rowOff>22860</xdr:rowOff>
    </xdr:from>
    <xdr:to>
      <xdr:col>5</xdr:col>
      <xdr:colOff>723900</xdr:colOff>
      <xdr:row>54</xdr:row>
      <xdr:rowOff>45720</xdr:rowOff>
    </xdr:to>
    <xdr:graphicFrame macro="">
      <xdr:nvGraphicFramePr>
        <xdr:cNvPr id="2" name="Chart 1">
          <a:extLst>
            <a:ext uri="{FF2B5EF4-FFF2-40B4-BE49-F238E27FC236}">
              <a16:creationId xmlns:a16="http://schemas.microsoft.com/office/drawing/2014/main" id="{3734EAC4-FB07-4148-8ED2-03373C5E4D5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xdr:col>
      <xdr:colOff>236828</xdr:colOff>
      <xdr:row>0</xdr:row>
      <xdr:rowOff>66517</xdr:rowOff>
    </xdr:from>
    <xdr:to>
      <xdr:col>1</xdr:col>
      <xdr:colOff>2694092</xdr:colOff>
      <xdr:row>4</xdr:row>
      <xdr:rowOff>134598</xdr:rowOff>
    </xdr:to>
    <xdr:pic>
      <xdr:nvPicPr>
        <xdr:cNvPr id="3" name="Imagen 4" descr="C:\Users\Fernando Rangel\Google Drive\SBTi\SBTi - Core team\Communication Team\Branding\Logos and templates\SBTi logos_\Logos_\SBT copy.gif">
          <a:extLst>
            <a:ext uri="{FF2B5EF4-FFF2-40B4-BE49-F238E27FC236}">
              <a16:creationId xmlns:a16="http://schemas.microsoft.com/office/drawing/2014/main" id="{F367E2F6-6D1E-48C5-9B91-EB94BC8C2C69}"/>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b="18622"/>
        <a:stretch/>
      </xdr:blipFill>
      <xdr:spPr bwMode="auto">
        <a:xfrm>
          <a:off x="404468" y="66517"/>
          <a:ext cx="2457264" cy="1165361"/>
        </a:xfrm>
        <a:prstGeom prst="rect">
          <a:avLst/>
        </a:prstGeom>
        <a:noFill/>
        <a:ln>
          <a:noFill/>
        </a:ln>
        <a:extLst>
          <a:ext uri="{53640926-AAD7-44D8-BBD7-CCE9431645EC}">
            <a14:shadowObscured xmlns:a14="http://schemas.microsoft.com/office/drawing/2010/main"/>
          </a:ext>
        </a:extLst>
      </xdr:spPr>
    </xdr:pic>
    <xdr:clientData/>
  </xdr:twoCellAnchor>
  <xdr:twoCellAnchor>
    <xdr:from>
      <xdr:col>1</xdr:col>
      <xdr:colOff>457200</xdr:colOff>
      <xdr:row>75</xdr:row>
      <xdr:rowOff>38100</xdr:rowOff>
    </xdr:from>
    <xdr:to>
      <xdr:col>5</xdr:col>
      <xdr:colOff>1104901</xdr:colOff>
      <xdr:row>91</xdr:row>
      <xdr:rowOff>175260</xdr:rowOff>
    </xdr:to>
    <xdr:graphicFrame macro="">
      <xdr:nvGraphicFramePr>
        <xdr:cNvPr id="4" name="Chart 3">
          <a:extLst>
            <a:ext uri="{FF2B5EF4-FFF2-40B4-BE49-F238E27FC236}">
              <a16:creationId xmlns:a16="http://schemas.microsoft.com/office/drawing/2014/main" id="{65027219-A3CC-4911-A315-A722D11D3BA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5</xdr:col>
      <xdr:colOff>1051560</xdr:colOff>
      <xdr:row>39</xdr:row>
      <xdr:rowOff>7620</xdr:rowOff>
    </xdr:from>
    <xdr:to>
      <xdr:col>11</xdr:col>
      <xdr:colOff>434341</xdr:colOff>
      <xdr:row>54</xdr:row>
      <xdr:rowOff>83820</xdr:rowOff>
    </xdr:to>
    <xdr:graphicFrame macro="">
      <xdr:nvGraphicFramePr>
        <xdr:cNvPr id="5" name="Chart 4">
          <a:extLst>
            <a:ext uri="{FF2B5EF4-FFF2-40B4-BE49-F238E27FC236}">
              <a16:creationId xmlns:a16="http://schemas.microsoft.com/office/drawing/2014/main" id="{AD333CA4-CF54-46B2-9A44-B4752CF65D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525780</xdr:colOff>
      <xdr:row>112</xdr:row>
      <xdr:rowOff>152400</xdr:rowOff>
    </xdr:from>
    <xdr:to>
      <xdr:col>5</xdr:col>
      <xdr:colOff>1173481</xdr:colOff>
      <xdr:row>129</xdr:row>
      <xdr:rowOff>160020</xdr:rowOff>
    </xdr:to>
    <xdr:graphicFrame macro="">
      <xdr:nvGraphicFramePr>
        <xdr:cNvPr id="6" name="Chart 5">
          <a:extLst>
            <a:ext uri="{FF2B5EF4-FFF2-40B4-BE49-F238E27FC236}">
              <a16:creationId xmlns:a16="http://schemas.microsoft.com/office/drawing/2014/main" id="{7C1444A5-788E-4829-A9A6-62F5B254F52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11.xml><?xml version="1.0" encoding="utf-8"?>
<c:userShapes xmlns:c="http://schemas.openxmlformats.org/drawingml/2006/chart">
  <cdr:relSizeAnchor xmlns:cdr="http://schemas.openxmlformats.org/drawingml/2006/chartDrawing">
    <cdr:from>
      <cdr:x>0.04636</cdr:x>
      <cdr:y>2.63521E-7</cdr:y>
    </cdr:from>
    <cdr:to>
      <cdr:x>0.88855</cdr:x>
      <cdr:y>0.09036</cdr:y>
    </cdr:to>
    <cdr:sp macro="" textlink="Calculations!$A$79">
      <cdr:nvSpPr>
        <cdr:cNvPr id="2" name="TextBox 1">
          <a:extLst xmlns:a="http://schemas.openxmlformats.org/drawingml/2006/main">
            <a:ext uri="{FF2B5EF4-FFF2-40B4-BE49-F238E27FC236}">
              <a16:creationId xmlns:a16="http://schemas.microsoft.com/office/drawing/2014/main" id="{AC2FE00C-8C13-4A96-83F7-966D9362777D}"/>
            </a:ext>
          </a:extLst>
        </cdr:cNvPr>
        <cdr:cNvSpPr txBox="1"/>
      </cdr:nvSpPr>
      <cdr:spPr>
        <a:xfrm xmlns:a="http://schemas.openxmlformats.org/drawingml/2006/main">
          <a:off x="348671" y="1"/>
          <a:ext cx="6334070" cy="34290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lgn="r"/>
          <a:fld id="{DA0D7B0F-D3A8-430D-9365-1420F9A8ECD0}" type="TxLink">
            <a:rPr lang="en-US" sz="1000" b="1" i="0" u="none" strike="noStrike">
              <a:solidFill>
                <a:srgbClr val="000000"/>
              </a:solidFill>
              <a:latin typeface="Arial"/>
              <a:cs typeface="Arial"/>
            </a:rPr>
            <a:pPr algn="r"/>
            <a:t>Aggregated auto parts manufacture emission intensity | convergence method</a:t>
          </a:fld>
          <a:endParaRPr lang="en-US" sz="1800" b="1">
            <a:solidFill>
              <a:srgbClr val="00546E"/>
            </a:solidFill>
            <a:latin typeface="Arial" panose="020B0604020202020204" pitchFamily="34" charset="0"/>
            <a:cs typeface="Arial" panose="020B0604020202020204" pitchFamily="34" charset="0"/>
          </a:endParaRPr>
        </a:p>
      </cdr:txBody>
    </cdr:sp>
  </cdr:relSizeAnchor>
</c:userShapes>
</file>

<file path=xl/drawings/drawing12.xml><?xml version="1.0" encoding="utf-8"?>
<c:userShapes xmlns:c="http://schemas.openxmlformats.org/drawingml/2006/chart">
  <cdr:relSizeAnchor xmlns:cdr="http://schemas.openxmlformats.org/drawingml/2006/chartDrawing">
    <cdr:from>
      <cdr:x>0.11778</cdr:x>
      <cdr:y>0.03414</cdr:y>
    </cdr:from>
    <cdr:to>
      <cdr:x>0.89579</cdr:x>
      <cdr:y>0.1004</cdr:y>
    </cdr:to>
    <cdr:sp macro="" textlink="Calculations!$A$92">
      <cdr:nvSpPr>
        <cdr:cNvPr id="2" name="TextBox 1">
          <a:extLst xmlns:a="http://schemas.openxmlformats.org/drawingml/2006/main">
            <a:ext uri="{FF2B5EF4-FFF2-40B4-BE49-F238E27FC236}">
              <a16:creationId xmlns:a16="http://schemas.microsoft.com/office/drawing/2014/main" id="{AC2FE00C-8C13-4A96-83F7-966D9362777D}"/>
            </a:ext>
          </a:extLst>
        </cdr:cNvPr>
        <cdr:cNvSpPr txBox="1"/>
      </cdr:nvSpPr>
      <cdr:spPr>
        <a:xfrm xmlns:a="http://schemas.openxmlformats.org/drawingml/2006/main">
          <a:off x="885816" y="129539"/>
          <a:ext cx="5851368" cy="251461"/>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lgn="r"/>
          <a:fld id="{3AFB1A75-C99D-466D-ABCB-0F4AB2AFCE02}" type="TxLink">
            <a:rPr lang="en-US" sz="1000" b="1" i="0" u="none" strike="noStrike">
              <a:solidFill>
                <a:srgbClr val="000000"/>
              </a:solidFill>
              <a:latin typeface="Arial"/>
              <a:cs typeface="Arial"/>
            </a:rPr>
            <a:pPr algn="r"/>
            <a:t>Scope 3  category 11 fuel-cycle intensity for LDV powertrains | convergence method</a:t>
          </a:fld>
          <a:endParaRPr lang="en-US" sz="1800" b="1">
            <a:solidFill>
              <a:srgbClr val="00546E"/>
            </a:solidFill>
            <a:latin typeface="Arial" panose="020B0604020202020204" pitchFamily="34" charset="0"/>
            <a:cs typeface="Arial" panose="020B0604020202020204" pitchFamily="34" charset="0"/>
          </a:endParaRPr>
        </a:p>
      </cdr:txBody>
    </cdr:sp>
  </cdr:relSizeAnchor>
</c:userShapes>
</file>

<file path=xl/drawings/drawing13.xml><?xml version="1.0" encoding="utf-8"?>
<c:userShapes xmlns:c="http://schemas.openxmlformats.org/drawingml/2006/chart">
  <cdr:relSizeAnchor xmlns:cdr="http://schemas.openxmlformats.org/drawingml/2006/chartDrawing">
    <cdr:from>
      <cdr:x>0.03169</cdr:x>
      <cdr:y>2.59869E-7</cdr:y>
    </cdr:from>
    <cdr:to>
      <cdr:x>0.90368</cdr:x>
      <cdr:y>0.08911</cdr:y>
    </cdr:to>
    <cdr:sp macro="" textlink="Calculations!$A$68">
      <cdr:nvSpPr>
        <cdr:cNvPr id="2" name="TextBox 1">
          <a:extLst xmlns:a="http://schemas.openxmlformats.org/drawingml/2006/main">
            <a:ext uri="{FF2B5EF4-FFF2-40B4-BE49-F238E27FC236}">
              <a16:creationId xmlns:a16="http://schemas.microsoft.com/office/drawing/2014/main" id="{AC2FE00C-8C13-4A96-83F7-966D9362777D}"/>
            </a:ext>
          </a:extLst>
        </cdr:cNvPr>
        <cdr:cNvSpPr txBox="1"/>
      </cdr:nvSpPr>
      <cdr:spPr>
        <a:xfrm xmlns:a="http://schemas.openxmlformats.org/drawingml/2006/main">
          <a:off x="190501" y="1"/>
          <a:ext cx="5242560" cy="34290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lgn="r"/>
          <a:fld id="{CE60A4A7-2EF2-4714-9BD1-BADC118FDB7C}" type="TxLink">
            <a:rPr lang="en-US" sz="1000" b="1" i="0" u="none" strike="noStrike">
              <a:solidFill>
                <a:srgbClr val="000000"/>
              </a:solidFill>
              <a:latin typeface="Arial"/>
              <a:cs typeface="Arial"/>
            </a:rPr>
            <a:pPr algn="r"/>
            <a:t>Scope 3 category 1 emissions | percent improvement method</a:t>
          </a:fld>
          <a:endParaRPr lang="en-US" sz="1800" b="1">
            <a:solidFill>
              <a:srgbClr val="00546E"/>
            </a:solidFill>
            <a:latin typeface="Arial" panose="020B0604020202020204" pitchFamily="34" charset="0"/>
            <a:cs typeface="Arial" panose="020B0604020202020204" pitchFamily="34" charset="0"/>
          </a:endParaRPr>
        </a:p>
      </cdr:txBody>
    </cdr:sp>
  </cdr:relSizeAnchor>
</c:userShapes>
</file>

<file path=xl/drawings/drawing14.xml><?xml version="1.0" encoding="utf-8"?>
<c:userShapes xmlns:c="http://schemas.openxmlformats.org/drawingml/2006/chart">
  <cdr:relSizeAnchor xmlns:cdr="http://schemas.openxmlformats.org/drawingml/2006/chartDrawing">
    <cdr:from>
      <cdr:x>0.06586</cdr:x>
      <cdr:y>0.02348</cdr:y>
    </cdr:from>
    <cdr:to>
      <cdr:x>0.95846</cdr:x>
      <cdr:y>0.09393</cdr:y>
    </cdr:to>
    <cdr:sp macro="" textlink="Calculations!$A$99">
      <cdr:nvSpPr>
        <cdr:cNvPr id="2" name="TextBox 1">
          <a:extLst xmlns:a="http://schemas.openxmlformats.org/drawingml/2006/main">
            <a:ext uri="{FF2B5EF4-FFF2-40B4-BE49-F238E27FC236}">
              <a16:creationId xmlns:a16="http://schemas.microsoft.com/office/drawing/2014/main" id="{AC2FE00C-8C13-4A96-83F7-966D9362777D}"/>
            </a:ext>
          </a:extLst>
        </cdr:cNvPr>
        <cdr:cNvSpPr txBox="1"/>
      </cdr:nvSpPr>
      <cdr:spPr>
        <a:xfrm xmlns:a="http://schemas.openxmlformats.org/drawingml/2006/main">
          <a:off x="495301" y="91439"/>
          <a:ext cx="6713220" cy="274321"/>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lgn="r"/>
          <a:fld id="{4615318E-6092-490E-9889-2CD4D651B936}" type="TxLink">
            <a:rPr lang="en-US" sz="1000" b="1" i="0" u="none" strike="noStrike">
              <a:solidFill>
                <a:srgbClr val="000000"/>
              </a:solidFill>
              <a:latin typeface="Arial"/>
              <a:cs typeface="Arial"/>
            </a:rPr>
            <a:pPr algn="r"/>
            <a:t>Scope 3 category 11 fuel-cycle intensity for non LDV powertrains | percent improvement method</a:t>
          </a:fld>
          <a:endParaRPr lang="en-US" sz="1800" b="1">
            <a:solidFill>
              <a:srgbClr val="00546E"/>
            </a:solidFill>
            <a:latin typeface="Arial" panose="020B0604020202020204" pitchFamily="34" charset="0"/>
            <a:cs typeface="Arial" panose="020B0604020202020204" pitchFamily="34" charset="0"/>
          </a:endParaRPr>
        </a:p>
      </cdr:txBody>
    </cdr:sp>
  </cdr:relSizeAnchor>
</c:userShapes>
</file>

<file path=xl/drawings/drawing15.xml><?xml version="1.0" encoding="utf-8"?>
<xdr:wsDr xmlns:xdr="http://schemas.openxmlformats.org/drawingml/2006/spreadsheetDrawing" xmlns:a="http://schemas.openxmlformats.org/drawingml/2006/main">
  <xdr:oneCellAnchor>
    <xdr:from>
      <xdr:col>0</xdr:col>
      <xdr:colOff>214313</xdr:colOff>
      <xdr:row>2</xdr:row>
      <xdr:rowOff>47625</xdr:rowOff>
    </xdr:from>
    <xdr:ext cx="2381250" cy="1070639"/>
    <xdr:pic>
      <xdr:nvPicPr>
        <xdr:cNvPr id="3" name="image2.jpg" descr="Science_Based_Targets_-_Logo_Colour.jpg">
          <a:extLst>
            <a:ext uri="{FF2B5EF4-FFF2-40B4-BE49-F238E27FC236}">
              <a16:creationId xmlns:a16="http://schemas.microsoft.com/office/drawing/2014/main" id="{16DF21FC-50DD-41F6-98D1-652CD1BED5B3}"/>
            </a:ext>
          </a:extLst>
        </xdr:cNvPr>
        <xdr:cNvPicPr preferRelativeResize="0">
          <a:picLocks noChangeAspect="1"/>
        </xdr:cNvPicPr>
      </xdr:nvPicPr>
      <xdr:blipFill>
        <a:blip xmlns:r="http://schemas.openxmlformats.org/officeDocument/2006/relationships" r:embed="rId1" cstate="print"/>
        <a:stretch>
          <a:fillRect/>
        </a:stretch>
      </xdr:blipFill>
      <xdr:spPr>
        <a:xfrm>
          <a:off x="214313" y="321945"/>
          <a:ext cx="2381250" cy="1070639"/>
        </a:xfrm>
        <a:prstGeom prst="rect">
          <a:avLst/>
        </a:prstGeom>
        <a:noFill/>
      </xdr:spPr>
    </xdr:pic>
    <xdr:clientData fLocksWithSheet="0"/>
  </xdr:oneCellAnchor>
</xdr:wsDr>
</file>

<file path=xl/drawings/drawing16.xml><?xml version="1.0" encoding="utf-8"?>
<xdr:wsDr xmlns:xdr="http://schemas.openxmlformats.org/drawingml/2006/spreadsheetDrawing" xmlns:a="http://schemas.openxmlformats.org/drawingml/2006/main">
  <xdr:twoCellAnchor>
    <xdr:from>
      <xdr:col>6</xdr:col>
      <xdr:colOff>312420</xdr:colOff>
      <xdr:row>53</xdr:row>
      <xdr:rowOff>163830</xdr:rowOff>
    </xdr:from>
    <xdr:to>
      <xdr:col>7</xdr:col>
      <xdr:colOff>1150620</xdr:colOff>
      <xdr:row>70</xdr:row>
      <xdr:rowOff>57150</xdr:rowOff>
    </xdr:to>
    <xdr:graphicFrame macro="">
      <xdr:nvGraphicFramePr>
        <xdr:cNvPr id="5" name="Chart 4">
          <a:extLst>
            <a:ext uri="{FF2B5EF4-FFF2-40B4-BE49-F238E27FC236}">
              <a16:creationId xmlns:a16="http://schemas.microsoft.com/office/drawing/2014/main" id="{5F6FD4BF-9F56-243C-50FD-ED40F5B73EE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20</xdr:col>
      <xdr:colOff>0</xdr:colOff>
      <xdr:row>54</xdr:row>
      <xdr:rowOff>0</xdr:rowOff>
    </xdr:from>
    <xdr:to>
      <xdr:col>27</xdr:col>
      <xdr:colOff>358140</xdr:colOff>
      <xdr:row>70</xdr:row>
      <xdr:rowOff>60960</xdr:rowOff>
    </xdr:to>
    <xdr:graphicFrame macro="">
      <xdr:nvGraphicFramePr>
        <xdr:cNvPr id="6" name="Chart 5">
          <a:extLst>
            <a:ext uri="{FF2B5EF4-FFF2-40B4-BE49-F238E27FC236}">
              <a16:creationId xmlns:a16="http://schemas.microsoft.com/office/drawing/2014/main" id="{886F8CD9-734F-4CC0-A64C-0BF2679B122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7.xml><?xml version="1.0" encoding="utf-8"?>
<xdr:wsDr xmlns:xdr="http://schemas.openxmlformats.org/drawingml/2006/spreadsheetDrawing" xmlns:a="http://schemas.openxmlformats.org/drawingml/2006/main">
  <xdr:twoCellAnchor>
    <xdr:from>
      <xdr:col>6</xdr:col>
      <xdr:colOff>480060</xdr:colOff>
      <xdr:row>12</xdr:row>
      <xdr:rowOff>76200</xdr:rowOff>
    </xdr:from>
    <xdr:to>
      <xdr:col>17</xdr:col>
      <xdr:colOff>281940</xdr:colOff>
      <xdr:row>33</xdr:row>
      <xdr:rowOff>15240</xdr:rowOff>
    </xdr:to>
    <xdr:graphicFrame macro="">
      <xdr:nvGraphicFramePr>
        <xdr:cNvPr id="2" name="Chart 1">
          <a:extLst>
            <a:ext uri="{FF2B5EF4-FFF2-40B4-BE49-F238E27FC236}">
              <a16:creationId xmlns:a16="http://schemas.microsoft.com/office/drawing/2014/main" id="{27C57C64-C3BD-9870-8CE3-80F9B259814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20002</xdr:colOff>
      <xdr:row>46</xdr:row>
      <xdr:rowOff>2223</xdr:rowOff>
    </xdr:from>
    <xdr:to>
      <xdr:col>17</xdr:col>
      <xdr:colOff>433069</xdr:colOff>
      <xdr:row>66</xdr:row>
      <xdr:rowOff>107950</xdr:rowOff>
    </xdr:to>
    <xdr:graphicFrame macro="">
      <xdr:nvGraphicFramePr>
        <xdr:cNvPr id="7" name="Chart 6">
          <a:extLst>
            <a:ext uri="{FF2B5EF4-FFF2-40B4-BE49-F238E27FC236}">
              <a16:creationId xmlns:a16="http://schemas.microsoft.com/office/drawing/2014/main" id="{E60AA477-826D-43B9-935D-017B33EC26E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8.xml><?xml version="1.0" encoding="utf-8"?>
<xdr:wsDr xmlns:xdr="http://schemas.openxmlformats.org/drawingml/2006/spreadsheetDrawing" xmlns:a="http://schemas.openxmlformats.org/drawingml/2006/main">
  <xdr:twoCellAnchor>
    <xdr:from>
      <xdr:col>1</xdr:col>
      <xdr:colOff>716279</xdr:colOff>
      <xdr:row>86</xdr:row>
      <xdr:rowOff>53340</xdr:rowOff>
    </xdr:from>
    <xdr:to>
      <xdr:col>4</xdr:col>
      <xdr:colOff>68580</xdr:colOff>
      <xdr:row>101</xdr:row>
      <xdr:rowOff>76200</xdr:rowOff>
    </xdr:to>
    <xdr:graphicFrame macro="">
      <xdr:nvGraphicFramePr>
        <xdr:cNvPr id="2" name="Chart 1">
          <a:extLst>
            <a:ext uri="{FF2B5EF4-FFF2-40B4-BE49-F238E27FC236}">
              <a16:creationId xmlns:a16="http://schemas.microsoft.com/office/drawing/2014/main" id="{8073BB7D-AEDA-4BB0-8634-9BDAA4A06A7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xdr:col>
      <xdr:colOff>236828</xdr:colOff>
      <xdr:row>0</xdr:row>
      <xdr:rowOff>66517</xdr:rowOff>
    </xdr:from>
    <xdr:to>
      <xdr:col>1</xdr:col>
      <xdr:colOff>2694092</xdr:colOff>
      <xdr:row>5</xdr:row>
      <xdr:rowOff>58398</xdr:rowOff>
    </xdr:to>
    <xdr:pic>
      <xdr:nvPicPr>
        <xdr:cNvPr id="3" name="Imagen 4" descr="C:\Users\Fernando Rangel\Google Drive\SBTi\SBTi - Core team\Communication Team\Branding\Logos and templates\SBTi logos_\Logos_\SBT copy.gif">
          <a:extLst>
            <a:ext uri="{FF2B5EF4-FFF2-40B4-BE49-F238E27FC236}">
              <a16:creationId xmlns:a16="http://schemas.microsoft.com/office/drawing/2014/main" id="{095E3B2D-89E3-4A54-BE46-C1BA08EEF9AD}"/>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b="18622"/>
        <a:stretch/>
      </xdr:blipFill>
      <xdr:spPr bwMode="auto">
        <a:xfrm>
          <a:off x="404468" y="66517"/>
          <a:ext cx="2457264" cy="1165361"/>
        </a:xfrm>
        <a:prstGeom prst="rect">
          <a:avLst/>
        </a:prstGeom>
        <a:noFill/>
        <a:ln>
          <a:noFill/>
        </a:ln>
        <a:extLst>
          <a:ext uri="{53640926-AAD7-44D8-BBD7-CCE9431645EC}">
            <a14:shadowObscured xmlns:a14="http://schemas.microsoft.com/office/drawing/2010/main"/>
          </a:ext>
        </a:extLst>
      </xdr:spPr>
    </xdr:pic>
    <xdr:clientData/>
  </xdr:twoCellAnchor>
  <xdr:twoCellAnchor>
    <xdr:from>
      <xdr:col>1</xdr:col>
      <xdr:colOff>316965</xdr:colOff>
      <xdr:row>44</xdr:row>
      <xdr:rowOff>190500</xdr:rowOff>
    </xdr:from>
    <xdr:to>
      <xdr:col>5</xdr:col>
      <xdr:colOff>1615440</xdr:colOff>
      <xdr:row>60</xdr:row>
      <xdr:rowOff>175259</xdr:rowOff>
    </xdr:to>
    <xdr:graphicFrame macro="">
      <xdr:nvGraphicFramePr>
        <xdr:cNvPr id="4" name="Chart 3">
          <a:extLst>
            <a:ext uri="{FF2B5EF4-FFF2-40B4-BE49-F238E27FC236}">
              <a16:creationId xmlns:a16="http://schemas.microsoft.com/office/drawing/2014/main" id="{27A01212-16B3-40D8-8CCD-211FA702C9F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5</xdr:col>
      <xdr:colOff>7620</xdr:colOff>
      <xdr:row>86</xdr:row>
      <xdr:rowOff>53340</xdr:rowOff>
    </xdr:from>
    <xdr:to>
      <xdr:col>9</xdr:col>
      <xdr:colOff>403861</xdr:colOff>
      <xdr:row>101</xdr:row>
      <xdr:rowOff>99060</xdr:rowOff>
    </xdr:to>
    <xdr:graphicFrame macro="">
      <xdr:nvGraphicFramePr>
        <xdr:cNvPr id="5" name="Chart 4">
          <a:extLst>
            <a:ext uri="{FF2B5EF4-FFF2-40B4-BE49-F238E27FC236}">
              <a16:creationId xmlns:a16="http://schemas.microsoft.com/office/drawing/2014/main" id="{C3F78C2C-E19C-4FFF-AD02-FC3D1882EA6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579120</xdr:colOff>
      <xdr:row>126</xdr:row>
      <xdr:rowOff>53340</xdr:rowOff>
    </xdr:from>
    <xdr:to>
      <xdr:col>3</xdr:col>
      <xdr:colOff>2042161</xdr:colOff>
      <xdr:row>141</xdr:row>
      <xdr:rowOff>175260</xdr:rowOff>
    </xdr:to>
    <xdr:graphicFrame macro="">
      <xdr:nvGraphicFramePr>
        <xdr:cNvPr id="6" name="Chart 5">
          <a:extLst>
            <a:ext uri="{FF2B5EF4-FFF2-40B4-BE49-F238E27FC236}">
              <a16:creationId xmlns:a16="http://schemas.microsoft.com/office/drawing/2014/main" id="{9A2C78D6-8853-4F35-8F85-AA3735F7703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60961</xdr:colOff>
      <xdr:row>126</xdr:row>
      <xdr:rowOff>53340</xdr:rowOff>
    </xdr:from>
    <xdr:to>
      <xdr:col>9</xdr:col>
      <xdr:colOff>266702</xdr:colOff>
      <xdr:row>141</xdr:row>
      <xdr:rowOff>160020</xdr:rowOff>
    </xdr:to>
    <xdr:graphicFrame macro="">
      <xdr:nvGraphicFramePr>
        <xdr:cNvPr id="7" name="Chart 6">
          <a:extLst>
            <a:ext uri="{FF2B5EF4-FFF2-40B4-BE49-F238E27FC236}">
              <a16:creationId xmlns:a16="http://schemas.microsoft.com/office/drawing/2014/main" id="{442B42A6-44BC-439E-B0C9-F068B155803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19.xml><?xml version="1.0" encoding="utf-8"?>
<c:userShapes xmlns:c="http://schemas.openxmlformats.org/drawingml/2006/chart">
  <cdr:relSizeAnchor xmlns:cdr="http://schemas.openxmlformats.org/drawingml/2006/chartDrawing">
    <cdr:from>
      <cdr:x>0.26446</cdr:x>
      <cdr:y>0.01301</cdr:y>
    </cdr:from>
    <cdr:to>
      <cdr:x>0.97976</cdr:x>
      <cdr:y>0.15412</cdr:y>
    </cdr:to>
    <cdr:sp macro="" textlink="Calculations!$A$33">
      <cdr:nvSpPr>
        <cdr:cNvPr id="2" name="TextBox 1">
          <a:extLst xmlns:a="http://schemas.openxmlformats.org/drawingml/2006/main">
            <a:ext uri="{FF2B5EF4-FFF2-40B4-BE49-F238E27FC236}">
              <a16:creationId xmlns:a16="http://schemas.microsoft.com/office/drawing/2014/main" id="{AC2FE00C-8C13-4A96-83F7-966D9362777D}"/>
            </a:ext>
          </a:extLst>
        </cdr:cNvPr>
        <cdr:cNvSpPr txBox="1"/>
      </cdr:nvSpPr>
      <cdr:spPr>
        <a:xfrm xmlns:a="http://schemas.openxmlformats.org/drawingml/2006/main">
          <a:off x="1493630" y="106716"/>
          <a:ext cx="4039876" cy="1157119"/>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lgn="r"/>
          <a:fld id="{74DB3E74-59D2-475E-9E93-E1FE43BE9EE6}" type="TxLink">
            <a:rPr lang="en-US" sz="1000" b="1" i="0" u="none" strike="noStrike">
              <a:solidFill>
                <a:srgbClr val="000000"/>
              </a:solidFill>
              <a:latin typeface="Arial"/>
              <a:cs typeface="Arial"/>
            </a:rPr>
            <a:pPr algn="r"/>
            <a:t>Aggregated emissions intensity | convergence method</a:t>
          </a:fld>
          <a:endParaRPr lang="en-US" sz="1800" b="1">
            <a:solidFill>
              <a:srgbClr val="00546E"/>
            </a:solidFill>
            <a:latin typeface="Arial" panose="020B0604020202020204" pitchFamily="34" charset="0"/>
            <a:cs typeface="Arial" panose="020B0604020202020204" pitchFamily="34" charset="0"/>
          </a:endParaRPr>
        </a:p>
      </cdr:txBody>
    </cdr:sp>
  </cdr:relSizeAnchor>
</c:userShapes>
</file>

<file path=xl/drawings/drawing2.xml><?xml version="1.0" encoding="utf-8"?>
<xdr:wsDr xmlns:xdr="http://schemas.openxmlformats.org/drawingml/2006/spreadsheetDrawing" xmlns:a="http://schemas.openxmlformats.org/drawingml/2006/main">
  <xdr:twoCellAnchor editAs="oneCell">
    <xdr:from>
      <xdr:col>1</xdr:col>
      <xdr:colOff>180975</xdr:colOff>
      <xdr:row>1</xdr:row>
      <xdr:rowOff>0</xdr:rowOff>
    </xdr:from>
    <xdr:to>
      <xdr:col>4</xdr:col>
      <xdr:colOff>326652</xdr:colOff>
      <xdr:row>4</xdr:row>
      <xdr:rowOff>221841</xdr:rowOff>
    </xdr:to>
    <xdr:pic>
      <xdr:nvPicPr>
        <xdr:cNvPr id="3" name="Imagen 2" descr="C:\Users\Fernando Rangel\Google Drive\SBTi\SBTi - Core team\Communication Team\Branding\Logos and templates\SBTi logos_\Logos_\SBT copy.gif">
          <a:extLst>
            <a:ext uri="{FF2B5EF4-FFF2-40B4-BE49-F238E27FC236}">
              <a16:creationId xmlns:a16="http://schemas.microsoft.com/office/drawing/2014/main" id="{00000000-0008-0000-0100-000003000000}"/>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b="18622"/>
        <a:stretch/>
      </xdr:blipFill>
      <xdr:spPr bwMode="auto">
        <a:xfrm>
          <a:off x="419100" y="247650"/>
          <a:ext cx="2454089" cy="1145766"/>
        </a:xfrm>
        <a:prstGeom prst="rect">
          <a:avLst/>
        </a:prstGeom>
        <a:noFill/>
        <a:ln>
          <a:noFill/>
        </a:ln>
        <a:extLst>
          <a:ext uri="{53640926-AAD7-44D8-BBD7-CCE9431645EC}">
            <a14:shadowObscured xmlns:a14="http://schemas.microsoft.com/office/drawing/2010/main"/>
          </a:ext>
        </a:extLst>
      </xdr:spPr>
    </xdr:pic>
    <xdr:clientData/>
  </xdr:twoCellAnchor>
</xdr:wsDr>
</file>

<file path=xl/drawings/drawing20.xml><?xml version="1.0" encoding="utf-8"?>
<c:userShapes xmlns:c="http://schemas.openxmlformats.org/drawingml/2006/chart">
  <cdr:relSizeAnchor xmlns:cdr="http://schemas.openxmlformats.org/drawingml/2006/chartDrawing">
    <cdr:from>
      <cdr:x>0.17933</cdr:x>
      <cdr:y>0.05946</cdr:y>
    </cdr:from>
    <cdr:to>
      <cdr:x>0.89463</cdr:x>
      <cdr:y>0.20057</cdr:y>
    </cdr:to>
    <cdr:sp macro="" textlink="">
      <cdr:nvSpPr>
        <cdr:cNvPr id="2" name="TextBox 1">
          <a:extLst xmlns:a="http://schemas.openxmlformats.org/drawingml/2006/main">
            <a:ext uri="{FF2B5EF4-FFF2-40B4-BE49-F238E27FC236}">
              <a16:creationId xmlns:a16="http://schemas.microsoft.com/office/drawing/2014/main" id="{AC2FE00C-8C13-4A96-83F7-966D9362777D}"/>
            </a:ext>
          </a:extLst>
        </cdr:cNvPr>
        <cdr:cNvSpPr txBox="1"/>
      </cdr:nvSpPr>
      <cdr:spPr>
        <a:xfrm xmlns:a="http://schemas.openxmlformats.org/drawingml/2006/main">
          <a:off x="983876" y="462184"/>
          <a:ext cx="3924445" cy="1096764"/>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lgn="r"/>
          <a:r>
            <a:rPr lang="en-US" sz="1200" b="1">
              <a:solidFill>
                <a:srgbClr val="00546E"/>
              </a:solidFill>
              <a:latin typeface="Arial" panose="020B0604020202020204" pitchFamily="34" charset="0"/>
              <a:cs typeface="Arial" panose="020B0604020202020204" pitchFamily="34" charset="0"/>
            </a:rPr>
            <a:t>Absolute</a:t>
          </a:r>
          <a:r>
            <a:rPr lang="en-US" sz="1200" b="1" baseline="0">
              <a:solidFill>
                <a:srgbClr val="00546E"/>
              </a:solidFill>
              <a:latin typeface="Arial" panose="020B0604020202020204" pitchFamily="34" charset="0"/>
              <a:cs typeface="Arial" panose="020B0604020202020204" pitchFamily="34" charset="0"/>
            </a:rPr>
            <a:t> emissions targets | 1.5C</a:t>
          </a:r>
          <a:endParaRPr lang="en-US" sz="1200" b="1">
            <a:solidFill>
              <a:srgbClr val="00546E"/>
            </a:solidFill>
            <a:latin typeface="Arial" panose="020B0604020202020204" pitchFamily="34" charset="0"/>
            <a:cs typeface="Arial" panose="020B0604020202020204" pitchFamily="34" charset="0"/>
          </a:endParaRPr>
        </a:p>
      </cdr:txBody>
    </cdr:sp>
  </cdr:relSizeAnchor>
</c:userShapes>
</file>

<file path=xl/drawings/drawing21.xml><?xml version="1.0" encoding="utf-8"?>
<c:userShapes xmlns:c="http://schemas.openxmlformats.org/drawingml/2006/chart">
  <cdr:relSizeAnchor xmlns:cdr="http://schemas.openxmlformats.org/drawingml/2006/chartDrawing">
    <cdr:from>
      <cdr:x>0.26446</cdr:x>
      <cdr:y>0.01301</cdr:y>
    </cdr:from>
    <cdr:to>
      <cdr:x>0.97976</cdr:x>
      <cdr:y>0.15412</cdr:y>
    </cdr:to>
    <cdr:sp macro="" textlink="Calculations!$A$40">
      <cdr:nvSpPr>
        <cdr:cNvPr id="2" name="TextBox 1">
          <a:extLst xmlns:a="http://schemas.openxmlformats.org/drawingml/2006/main">
            <a:ext uri="{FF2B5EF4-FFF2-40B4-BE49-F238E27FC236}">
              <a16:creationId xmlns:a16="http://schemas.microsoft.com/office/drawing/2014/main" id="{AC2FE00C-8C13-4A96-83F7-966D9362777D}"/>
            </a:ext>
          </a:extLst>
        </cdr:cNvPr>
        <cdr:cNvSpPr txBox="1"/>
      </cdr:nvSpPr>
      <cdr:spPr>
        <a:xfrm xmlns:a="http://schemas.openxmlformats.org/drawingml/2006/main">
          <a:off x="1493630" y="106716"/>
          <a:ext cx="4039876" cy="1157119"/>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lgn="r"/>
          <a:fld id="{03893ABE-6505-4AB7-8AFA-82E74EE79C0C}" type="TxLink">
            <a:rPr lang="en-US" sz="1000" b="1" i="0" u="none" strike="noStrike">
              <a:solidFill>
                <a:srgbClr val="000000"/>
              </a:solidFill>
              <a:latin typeface="Arial"/>
              <a:cs typeface="Arial"/>
            </a:rPr>
            <a:pPr algn="r"/>
            <a:t>Low-emissions vehicle sales share | convergence method</a:t>
          </a:fld>
          <a:endParaRPr lang="en-US" sz="1800" b="1">
            <a:solidFill>
              <a:srgbClr val="00546E"/>
            </a:solidFill>
            <a:latin typeface="Arial" panose="020B0604020202020204" pitchFamily="34" charset="0"/>
            <a:cs typeface="Arial" panose="020B0604020202020204" pitchFamily="34" charset="0"/>
          </a:endParaRPr>
        </a:p>
      </cdr:txBody>
    </cdr:sp>
  </cdr:relSizeAnchor>
</c:userShapes>
</file>

<file path=xl/drawings/drawing22.xml><?xml version="1.0" encoding="utf-8"?>
<c:userShapes xmlns:c="http://schemas.openxmlformats.org/drawingml/2006/chart">
  <cdr:relSizeAnchor xmlns:cdr="http://schemas.openxmlformats.org/drawingml/2006/chartDrawing">
    <cdr:from>
      <cdr:x>0.26446</cdr:x>
      <cdr:y>0.01301</cdr:y>
    </cdr:from>
    <cdr:to>
      <cdr:x>0.97976</cdr:x>
      <cdr:y>0.15412</cdr:y>
    </cdr:to>
    <cdr:sp macro="" textlink="Calculations!$A$52">
      <cdr:nvSpPr>
        <cdr:cNvPr id="2" name="TextBox 1">
          <a:extLst xmlns:a="http://schemas.openxmlformats.org/drawingml/2006/main">
            <a:ext uri="{FF2B5EF4-FFF2-40B4-BE49-F238E27FC236}">
              <a16:creationId xmlns:a16="http://schemas.microsoft.com/office/drawing/2014/main" id="{AC2FE00C-8C13-4A96-83F7-966D9362777D}"/>
            </a:ext>
          </a:extLst>
        </cdr:cNvPr>
        <cdr:cNvSpPr txBox="1"/>
      </cdr:nvSpPr>
      <cdr:spPr>
        <a:xfrm xmlns:a="http://schemas.openxmlformats.org/drawingml/2006/main">
          <a:off x="1493630" y="106716"/>
          <a:ext cx="4039876" cy="1157119"/>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lgn="r"/>
          <a:fld id="{DC0510D9-FC86-4085-BC98-14EEDAB95142}" type="TxLink">
            <a:rPr lang="en-US" sz="1000" b="1" i="0" u="none" strike="noStrike">
              <a:solidFill>
                <a:srgbClr val="000000"/>
              </a:solidFill>
              <a:latin typeface="Arial"/>
              <a:cs typeface="Arial"/>
            </a:rPr>
            <a:pPr algn="r"/>
            <a:t>Aggregated emissions intensity | percent improvement method</a:t>
          </a:fld>
          <a:endParaRPr lang="en-US" sz="1800" b="1">
            <a:solidFill>
              <a:srgbClr val="00546E"/>
            </a:solidFill>
            <a:latin typeface="Arial" panose="020B0604020202020204" pitchFamily="34" charset="0"/>
            <a:cs typeface="Arial" panose="020B0604020202020204" pitchFamily="34" charset="0"/>
          </a:endParaRPr>
        </a:p>
      </cdr:txBody>
    </cdr:sp>
  </cdr:relSizeAnchor>
</c:userShapes>
</file>

<file path=xl/drawings/drawing23.xml><?xml version="1.0" encoding="utf-8"?>
<c:userShapes xmlns:c="http://schemas.openxmlformats.org/drawingml/2006/chart">
  <cdr:relSizeAnchor xmlns:cdr="http://schemas.openxmlformats.org/drawingml/2006/chartDrawing">
    <cdr:from>
      <cdr:x>0.26446</cdr:x>
      <cdr:y>0.01301</cdr:y>
    </cdr:from>
    <cdr:to>
      <cdr:x>0.97976</cdr:x>
      <cdr:y>0.15412</cdr:y>
    </cdr:to>
    <cdr:sp macro="" textlink="Calculations!$A$59">
      <cdr:nvSpPr>
        <cdr:cNvPr id="2" name="TextBox 1">
          <a:extLst xmlns:a="http://schemas.openxmlformats.org/drawingml/2006/main">
            <a:ext uri="{FF2B5EF4-FFF2-40B4-BE49-F238E27FC236}">
              <a16:creationId xmlns:a16="http://schemas.microsoft.com/office/drawing/2014/main" id="{AC2FE00C-8C13-4A96-83F7-966D9362777D}"/>
            </a:ext>
          </a:extLst>
        </cdr:cNvPr>
        <cdr:cNvSpPr txBox="1"/>
      </cdr:nvSpPr>
      <cdr:spPr>
        <a:xfrm xmlns:a="http://schemas.openxmlformats.org/drawingml/2006/main">
          <a:off x="1493630" y="106716"/>
          <a:ext cx="4039876" cy="1157119"/>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lgn="r"/>
          <a:fld id="{8D9682B5-7195-4E59-AB92-5CCDAE4514BE}" type="TxLink">
            <a:rPr lang="en-US" sz="1000" b="1" i="0" u="none" strike="noStrike">
              <a:solidFill>
                <a:srgbClr val="000000"/>
              </a:solidFill>
              <a:latin typeface="Arial"/>
              <a:cs typeface="Arial"/>
            </a:rPr>
            <a:pPr algn="r"/>
            <a:t>Low-emissions vehicle sales share convergence method</a:t>
          </a:fld>
          <a:endParaRPr lang="en-US" sz="1800" b="1">
            <a:solidFill>
              <a:srgbClr val="00546E"/>
            </a:solidFill>
            <a:latin typeface="Arial" panose="020B0604020202020204" pitchFamily="34" charset="0"/>
            <a:cs typeface="Arial" panose="020B0604020202020204" pitchFamily="34" charset="0"/>
          </a:endParaRPr>
        </a:p>
      </cdr:txBody>
    </cdr:sp>
  </cdr:relSizeAnchor>
</c:userShapes>
</file>

<file path=xl/drawings/drawing3.xml><?xml version="1.0" encoding="utf-8"?>
<xdr:wsDr xmlns:xdr="http://schemas.openxmlformats.org/drawingml/2006/spreadsheetDrawing" xmlns:a="http://schemas.openxmlformats.org/drawingml/2006/main">
  <xdr:twoCellAnchor>
    <xdr:from>
      <xdr:col>1</xdr:col>
      <xdr:colOff>716279</xdr:colOff>
      <xdr:row>87</xdr:row>
      <xdr:rowOff>53340</xdr:rowOff>
    </xdr:from>
    <xdr:to>
      <xdr:col>4</xdr:col>
      <xdr:colOff>68580</xdr:colOff>
      <xdr:row>102</xdr:row>
      <xdr:rowOff>76200</xdr:rowOff>
    </xdr:to>
    <xdr:graphicFrame macro="">
      <xdr:nvGraphicFramePr>
        <xdr:cNvPr id="4" name="Chart 3">
          <a:extLst>
            <a:ext uri="{FF2B5EF4-FFF2-40B4-BE49-F238E27FC236}">
              <a16:creationId xmlns:a16="http://schemas.microsoft.com/office/drawing/2014/main" id="{00000000-0008-0000-02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xdr:col>
      <xdr:colOff>236828</xdr:colOff>
      <xdr:row>0</xdr:row>
      <xdr:rowOff>66517</xdr:rowOff>
    </xdr:from>
    <xdr:to>
      <xdr:col>1</xdr:col>
      <xdr:colOff>2694092</xdr:colOff>
      <xdr:row>4</xdr:row>
      <xdr:rowOff>134598</xdr:rowOff>
    </xdr:to>
    <xdr:pic>
      <xdr:nvPicPr>
        <xdr:cNvPr id="5" name="Imagen 4" descr="C:\Users\Fernando Rangel\Google Drive\SBTi\SBTi - Core team\Communication Team\Branding\Logos and templates\SBTi logos_\Logos_\SBT copy.gif">
          <a:extLst>
            <a:ext uri="{FF2B5EF4-FFF2-40B4-BE49-F238E27FC236}">
              <a16:creationId xmlns:a16="http://schemas.microsoft.com/office/drawing/2014/main" id="{00000000-0008-0000-0200-000005000000}"/>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b="18622"/>
        <a:stretch/>
      </xdr:blipFill>
      <xdr:spPr bwMode="auto">
        <a:xfrm>
          <a:off x="404468" y="66517"/>
          <a:ext cx="2457264" cy="1165361"/>
        </a:xfrm>
        <a:prstGeom prst="rect">
          <a:avLst/>
        </a:prstGeom>
        <a:noFill/>
        <a:ln>
          <a:noFill/>
        </a:ln>
        <a:extLst>
          <a:ext uri="{53640926-AAD7-44D8-BBD7-CCE9431645EC}">
            <a14:shadowObscured xmlns:a14="http://schemas.microsoft.com/office/drawing/2010/main"/>
          </a:ext>
        </a:extLst>
      </xdr:spPr>
    </xdr:pic>
    <xdr:clientData/>
  </xdr:twoCellAnchor>
  <xdr:twoCellAnchor>
    <xdr:from>
      <xdr:col>1</xdr:col>
      <xdr:colOff>316965</xdr:colOff>
      <xdr:row>45</xdr:row>
      <xdr:rowOff>190500</xdr:rowOff>
    </xdr:from>
    <xdr:to>
      <xdr:col>5</xdr:col>
      <xdr:colOff>1615440</xdr:colOff>
      <xdr:row>61</xdr:row>
      <xdr:rowOff>175259</xdr:rowOff>
    </xdr:to>
    <xdr:graphicFrame macro="">
      <xdr:nvGraphicFramePr>
        <xdr:cNvPr id="6" name="Chart 3">
          <a:extLst>
            <a:ext uri="{FF2B5EF4-FFF2-40B4-BE49-F238E27FC236}">
              <a16:creationId xmlns:a16="http://schemas.microsoft.com/office/drawing/2014/main" id="{00000000-0008-0000-02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5</xdr:col>
      <xdr:colOff>7620</xdr:colOff>
      <xdr:row>87</xdr:row>
      <xdr:rowOff>53340</xdr:rowOff>
    </xdr:from>
    <xdr:to>
      <xdr:col>9</xdr:col>
      <xdr:colOff>403861</xdr:colOff>
      <xdr:row>102</xdr:row>
      <xdr:rowOff>99060</xdr:rowOff>
    </xdr:to>
    <xdr:graphicFrame macro="">
      <xdr:nvGraphicFramePr>
        <xdr:cNvPr id="2" name="Chart 1">
          <a:extLst>
            <a:ext uri="{FF2B5EF4-FFF2-40B4-BE49-F238E27FC236}">
              <a16:creationId xmlns:a16="http://schemas.microsoft.com/office/drawing/2014/main" id="{E65A03E6-9FA1-4AB5-BAAF-C2BC8AA62CB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579120</xdr:colOff>
      <xdr:row>127</xdr:row>
      <xdr:rowOff>53340</xdr:rowOff>
    </xdr:from>
    <xdr:to>
      <xdr:col>3</xdr:col>
      <xdr:colOff>2042161</xdr:colOff>
      <xdr:row>142</xdr:row>
      <xdr:rowOff>175260</xdr:rowOff>
    </xdr:to>
    <xdr:graphicFrame macro="">
      <xdr:nvGraphicFramePr>
        <xdr:cNvPr id="3" name="Chart 2">
          <a:extLst>
            <a:ext uri="{FF2B5EF4-FFF2-40B4-BE49-F238E27FC236}">
              <a16:creationId xmlns:a16="http://schemas.microsoft.com/office/drawing/2014/main" id="{CEB17057-1198-4020-A26F-2CF7AB4FAD8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60961</xdr:colOff>
      <xdr:row>127</xdr:row>
      <xdr:rowOff>53340</xdr:rowOff>
    </xdr:from>
    <xdr:to>
      <xdr:col>9</xdr:col>
      <xdr:colOff>266702</xdr:colOff>
      <xdr:row>142</xdr:row>
      <xdr:rowOff>160020</xdr:rowOff>
    </xdr:to>
    <xdr:graphicFrame macro="">
      <xdr:nvGraphicFramePr>
        <xdr:cNvPr id="10" name="Chart 9">
          <a:extLst>
            <a:ext uri="{FF2B5EF4-FFF2-40B4-BE49-F238E27FC236}">
              <a16:creationId xmlns:a16="http://schemas.microsoft.com/office/drawing/2014/main" id="{CEE64321-99DF-4B5A-B0B2-E66A10929F8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xdr:col>
      <xdr:colOff>495300</xdr:colOff>
      <xdr:row>161</xdr:row>
      <xdr:rowOff>7620</xdr:rowOff>
    </xdr:from>
    <xdr:to>
      <xdr:col>3</xdr:col>
      <xdr:colOff>1958341</xdr:colOff>
      <xdr:row>176</xdr:row>
      <xdr:rowOff>83820</xdr:rowOff>
    </xdr:to>
    <xdr:graphicFrame macro="">
      <xdr:nvGraphicFramePr>
        <xdr:cNvPr id="8" name="Chart 7">
          <a:extLst>
            <a:ext uri="{FF2B5EF4-FFF2-40B4-BE49-F238E27FC236}">
              <a16:creationId xmlns:a16="http://schemas.microsoft.com/office/drawing/2014/main" id="{C220FD73-D94F-42D2-9655-60900524D04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wsDr>
</file>

<file path=xl/drawings/drawing4.xml><?xml version="1.0" encoding="utf-8"?>
<c:userShapes xmlns:c="http://schemas.openxmlformats.org/drawingml/2006/chart">
  <cdr:relSizeAnchor xmlns:cdr="http://schemas.openxmlformats.org/drawingml/2006/chartDrawing">
    <cdr:from>
      <cdr:x>0.10354</cdr:x>
      <cdr:y>2.63521E-7</cdr:y>
    </cdr:from>
    <cdr:to>
      <cdr:x>0.89015</cdr:x>
      <cdr:y>0.09839</cdr:y>
    </cdr:to>
    <cdr:sp macro="" textlink="Calculations!$A$33">
      <cdr:nvSpPr>
        <cdr:cNvPr id="2" name="TextBox 1">
          <a:extLst xmlns:a="http://schemas.openxmlformats.org/drawingml/2006/main">
            <a:ext uri="{FF2B5EF4-FFF2-40B4-BE49-F238E27FC236}">
              <a16:creationId xmlns:a16="http://schemas.microsoft.com/office/drawing/2014/main" id="{AC2FE00C-8C13-4A96-83F7-966D9362777D}"/>
            </a:ext>
          </a:extLst>
        </cdr:cNvPr>
        <cdr:cNvSpPr txBox="1"/>
      </cdr:nvSpPr>
      <cdr:spPr>
        <a:xfrm xmlns:a="http://schemas.openxmlformats.org/drawingml/2006/main">
          <a:off x="624842" y="1"/>
          <a:ext cx="4747259" cy="37338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lgn="r"/>
          <a:fld id="{74DB3E74-59D2-475E-9E93-E1FE43BE9EE6}" type="TxLink">
            <a:rPr lang="en-US" sz="1000" b="1" i="0" u="none" strike="noStrike">
              <a:solidFill>
                <a:srgbClr val="000000"/>
              </a:solidFill>
              <a:latin typeface="Arial"/>
              <a:cs typeface="Arial"/>
            </a:rPr>
            <a:pPr algn="r"/>
            <a:t>Aggregated emissions intensity | convergence method</a:t>
          </a:fld>
          <a:endParaRPr lang="en-US" sz="1800" b="1">
            <a:solidFill>
              <a:srgbClr val="00546E"/>
            </a:solidFill>
            <a:latin typeface="Arial" panose="020B0604020202020204" pitchFamily="34" charset="0"/>
            <a:cs typeface="Arial" panose="020B0604020202020204" pitchFamily="34" charset="0"/>
          </a:endParaRPr>
        </a:p>
      </cdr:txBody>
    </cdr:sp>
  </cdr:relSizeAnchor>
</c:userShapes>
</file>

<file path=xl/drawings/drawing5.xml><?xml version="1.0" encoding="utf-8"?>
<c:userShapes xmlns:c="http://schemas.openxmlformats.org/drawingml/2006/chart">
  <cdr:relSizeAnchor xmlns:cdr="http://schemas.openxmlformats.org/drawingml/2006/chartDrawing">
    <cdr:from>
      <cdr:x>0.17933</cdr:x>
      <cdr:y>0.05946</cdr:y>
    </cdr:from>
    <cdr:to>
      <cdr:x>0.89463</cdr:x>
      <cdr:y>0.20057</cdr:y>
    </cdr:to>
    <cdr:sp macro="" textlink="">
      <cdr:nvSpPr>
        <cdr:cNvPr id="2" name="TextBox 1">
          <a:extLst xmlns:a="http://schemas.openxmlformats.org/drawingml/2006/main">
            <a:ext uri="{FF2B5EF4-FFF2-40B4-BE49-F238E27FC236}">
              <a16:creationId xmlns:a16="http://schemas.microsoft.com/office/drawing/2014/main" id="{AC2FE00C-8C13-4A96-83F7-966D9362777D}"/>
            </a:ext>
          </a:extLst>
        </cdr:cNvPr>
        <cdr:cNvSpPr txBox="1"/>
      </cdr:nvSpPr>
      <cdr:spPr>
        <a:xfrm xmlns:a="http://schemas.openxmlformats.org/drawingml/2006/main">
          <a:off x="983876" y="462184"/>
          <a:ext cx="3924445" cy="1096764"/>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lgn="r"/>
          <a:r>
            <a:rPr lang="en-US" sz="1200" b="1">
              <a:solidFill>
                <a:srgbClr val="00546E"/>
              </a:solidFill>
              <a:latin typeface="Arial" panose="020B0604020202020204" pitchFamily="34" charset="0"/>
              <a:cs typeface="Arial" panose="020B0604020202020204" pitchFamily="34" charset="0"/>
            </a:rPr>
            <a:t>Absolute</a:t>
          </a:r>
          <a:r>
            <a:rPr lang="en-US" sz="1200" b="1" baseline="0">
              <a:solidFill>
                <a:srgbClr val="00546E"/>
              </a:solidFill>
              <a:latin typeface="Arial" panose="020B0604020202020204" pitchFamily="34" charset="0"/>
              <a:cs typeface="Arial" panose="020B0604020202020204" pitchFamily="34" charset="0"/>
            </a:rPr>
            <a:t> emissions targets | 1.5C</a:t>
          </a:r>
          <a:endParaRPr lang="en-US" sz="1200" b="1">
            <a:solidFill>
              <a:srgbClr val="00546E"/>
            </a:solidFill>
            <a:latin typeface="Arial" panose="020B0604020202020204" pitchFamily="34" charset="0"/>
            <a:cs typeface="Arial" panose="020B0604020202020204" pitchFamily="34" charset="0"/>
          </a:endParaRPr>
        </a:p>
      </cdr:txBody>
    </cdr:sp>
  </cdr:relSizeAnchor>
</c:userShapes>
</file>

<file path=xl/drawings/drawing6.xml><?xml version="1.0" encoding="utf-8"?>
<c:userShapes xmlns:c="http://schemas.openxmlformats.org/drawingml/2006/chart">
  <cdr:relSizeAnchor xmlns:cdr="http://schemas.openxmlformats.org/drawingml/2006/chartDrawing">
    <cdr:from>
      <cdr:x>0.08006</cdr:x>
      <cdr:y>0.00103</cdr:y>
    </cdr:from>
    <cdr:to>
      <cdr:x>0.91783</cdr:x>
      <cdr:y>0.14214</cdr:y>
    </cdr:to>
    <cdr:sp macro="" textlink="Calculations!$A$40">
      <cdr:nvSpPr>
        <cdr:cNvPr id="2" name="TextBox 1">
          <a:extLst xmlns:a="http://schemas.openxmlformats.org/drawingml/2006/main">
            <a:ext uri="{FF2B5EF4-FFF2-40B4-BE49-F238E27FC236}">
              <a16:creationId xmlns:a16="http://schemas.microsoft.com/office/drawing/2014/main" id="{AC2FE00C-8C13-4A96-83F7-966D9362777D}"/>
            </a:ext>
          </a:extLst>
        </cdr:cNvPr>
        <cdr:cNvSpPr txBox="1"/>
      </cdr:nvSpPr>
      <cdr:spPr>
        <a:xfrm xmlns:a="http://schemas.openxmlformats.org/drawingml/2006/main">
          <a:off x="403860" y="3932"/>
          <a:ext cx="4226079" cy="53870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lgn="r"/>
          <a:fld id="{03893ABE-6505-4AB7-8AFA-82E74EE79C0C}" type="TxLink">
            <a:rPr lang="en-US" sz="1000" b="1" i="0" u="none" strike="noStrike">
              <a:solidFill>
                <a:srgbClr val="000000"/>
              </a:solidFill>
              <a:latin typeface="Arial"/>
              <a:cs typeface="Arial"/>
            </a:rPr>
            <a:pPr algn="r"/>
            <a:t>Low-emissions vehicle sales share | convergence method</a:t>
          </a:fld>
          <a:endParaRPr lang="en-US" sz="1800" b="1">
            <a:solidFill>
              <a:srgbClr val="00546E"/>
            </a:solidFill>
            <a:latin typeface="Arial" panose="020B0604020202020204" pitchFamily="34" charset="0"/>
            <a:cs typeface="Arial" panose="020B0604020202020204" pitchFamily="34" charset="0"/>
          </a:endParaRPr>
        </a:p>
      </cdr:txBody>
    </cdr:sp>
  </cdr:relSizeAnchor>
</c:userShapes>
</file>

<file path=xl/drawings/drawing7.xml><?xml version="1.0" encoding="utf-8"?>
<c:userShapes xmlns:c="http://schemas.openxmlformats.org/drawingml/2006/chart">
  <cdr:relSizeAnchor xmlns:cdr="http://schemas.openxmlformats.org/drawingml/2006/chartDrawing">
    <cdr:from>
      <cdr:x>0.11407</cdr:x>
      <cdr:y>2.56817E-7</cdr:y>
    </cdr:from>
    <cdr:to>
      <cdr:x>0.91512</cdr:x>
      <cdr:y>0.09198</cdr:y>
    </cdr:to>
    <cdr:sp macro="" textlink="Calculations!$A$52">
      <cdr:nvSpPr>
        <cdr:cNvPr id="2" name="TextBox 1">
          <a:extLst xmlns:a="http://schemas.openxmlformats.org/drawingml/2006/main">
            <a:ext uri="{FF2B5EF4-FFF2-40B4-BE49-F238E27FC236}">
              <a16:creationId xmlns:a16="http://schemas.microsoft.com/office/drawing/2014/main" id="{AC2FE00C-8C13-4A96-83F7-966D9362777D}"/>
            </a:ext>
          </a:extLst>
        </cdr:cNvPr>
        <cdr:cNvSpPr txBox="1"/>
      </cdr:nvSpPr>
      <cdr:spPr>
        <a:xfrm xmlns:a="http://schemas.openxmlformats.org/drawingml/2006/main">
          <a:off x="685800" y="1"/>
          <a:ext cx="4816067" cy="35814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lgn="r"/>
          <a:fld id="{DC0510D9-FC86-4085-BC98-14EEDAB95142}" type="TxLink">
            <a:rPr lang="en-US" sz="1000" b="1" i="0" u="none" strike="noStrike">
              <a:solidFill>
                <a:srgbClr val="000000"/>
              </a:solidFill>
              <a:latin typeface="Arial"/>
              <a:cs typeface="Arial"/>
            </a:rPr>
            <a:pPr algn="r"/>
            <a:t>Aggregated emissions intensity | percent improvement method</a:t>
          </a:fld>
          <a:endParaRPr lang="en-US" sz="1800" b="1">
            <a:solidFill>
              <a:srgbClr val="00546E"/>
            </a:solidFill>
            <a:latin typeface="Arial" panose="020B0604020202020204" pitchFamily="34" charset="0"/>
            <a:cs typeface="Arial" panose="020B0604020202020204" pitchFamily="34" charset="0"/>
          </a:endParaRPr>
        </a:p>
      </cdr:txBody>
    </cdr:sp>
  </cdr:relSizeAnchor>
</c:userShapes>
</file>

<file path=xl/drawings/drawing8.xml><?xml version="1.0" encoding="utf-8"?>
<c:userShapes xmlns:c="http://schemas.openxmlformats.org/drawingml/2006/chart">
  <cdr:relSizeAnchor xmlns:cdr="http://schemas.openxmlformats.org/drawingml/2006/chartDrawing">
    <cdr:from>
      <cdr:x>0.03323</cdr:x>
      <cdr:y>0.00319</cdr:y>
    </cdr:from>
    <cdr:to>
      <cdr:x>0.91329</cdr:x>
      <cdr:y>0.08251</cdr:y>
    </cdr:to>
    <cdr:sp macro="" textlink="Calculations!$A$59">
      <cdr:nvSpPr>
        <cdr:cNvPr id="2" name="TextBox 1">
          <a:extLst xmlns:a="http://schemas.openxmlformats.org/drawingml/2006/main">
            <a:ext uri="{FF2B5EF4-FFF2-40B4-BE49-F238E27FC236}">
              <a16:creationId xmlns:a16="http://schemas.microsoft.com/office/drawing/2014/main" id="{AC2FE00C-8C13-4A96-83F7-966D9362777D}"/>
            </a:ext>
          </a:extLst>
        </cdr:cNvPr>
        <cdr:cNvSpPr txBox="1"/>
      </cdr:nvSpPr>
      <cdr:spPr>
        <a:xfrm xmlns:a="http://schemas.openxmlformats.org/drawingml/2006/main">
          <a:off x="167639" y="12373"/>
          <a:ext cx="4439399" cy="307667"/>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lgn="r"/>
          <a:fld id="{8D9682B5-7195-4E59-AB92-5CCDAE4514BE}" type="TxLink">
            <a:rPr lang="en-US" sz="1000" b="1" i="0" u="none" strike="noStrike">
              <a:solidFill>
                <a:srgbClr val="000000"/>
              </a:solidFill>
              <a:latin typeface="Arial"/>
              <a:cs typeface="Arial"/>
            </a:rPr>
            <a:pPr algn="r"/>
            <a:t>Low-emissions vehicle sales share convergence method</a:t>
          </a:fld>
          <a:endParaRPr lang="en-US" sz="1800" b="1">
            <a:solidFill>
              <a:srgbClr val="00546E"/>
            </a:solidFill>
            <a:latin typeface="Arial" panose="020B0604020202020204" pitchFamily="34" charset="0"/>
            <a:cs typeface="Arial" panose="020B0604020202020204" pitchFamily="34" charset="0"/>
          </a:endParaRPr>
        </a:p>
      </cdr:txBody>
    </cdr:sp>
  </cdr:relSizeAnchor>
</c:userShapes>
</file>

<file path=xl/drawings/drawing9.xml><?xml version="1.0" encoding="utf-8"?>
<c:userShapes xmlns:c="http://schemas.openxmlformats.org/drawingml/2006/chart">
  <cdr:relSizeAnchor xmlns:cdr="http://schemas.openxmlformats.org/drawingml/2006/chartDrawing">
    <cdr:from>
      <cdr:x>0.03802</cdr:x>
      <cdr:y>2.59869E-7</cdr:y>
    </cdr:from>
    <cdr:to>
      <cdr:x>0.90114</cdr:x>
      <cdr:y>0.08515</cdr:y>
    </cdr:to>
    <cdr:sp macro="" textlink="Calculations!$A$68">
      <cdr:nvSpPr>
        <cdr:cNvPr id="2" name="TextBox 1">
          <a:extLst xmlns:a="http://schemas.openxmlformats.org/drawingml/2006/main">
            <a:ext uri="{FF2B5EF4-FFF2-40B4-BE49-F238E27FC236}">
              <a16:creationId xmlns:a16="http://schemas.microsoft.com/office/drawing/2014/main" id="{AC2FE00C-8C13-4A96-83F7-966D9362777D}"/>
            </a:ext>
          </a:extLst>
        </cdr:cNvPr>
        <cdr:cNvSpPr txBox="1"/>
      </cdr:nvSpPr>
      <cdr:spPr>
        <a:xfrm xmlns:a="http://schemas.openxmlformats.org/drawingml/2006/main">
          <a:off x="228600" y="1"/>
          <a:ext cx="5189220" cy="32766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lgn="r"/>
          <a:fld id="{CE60A4A7-2EF2-4714-9BD1-BADC118FDB7C}" type="TxLink">
            <a:rPr lang="en-US" sz="1000" b="1" i="0" u="none" strike="noStrike">
              <a:solidFill>
                <a:srgbClr val="000000"/>
              </a:solidFill>
              <a:latin typeface="Arial"/>
              <a:cs typeface="Arial"/>
            </a:rPr>
            <a:pPr algn="r"/>
            <a:t>Scope 3 category 1 emissions | percent improvement method</a:t>
          </a:fld>
          <a:endParaRPr lang="en-US" sz="1800" b="1">
            <a:solidFill>
              <a:srgbClr val="00546E"/>
            </a:solidFill>
            <a:latin typeface="Arial" panose="020B0604020202020204" pitchFamily="34" charset="0"/>
            <a:cs typeface="Arial" panose="020B0604020202020204" pitchFamily="34" charset="0"/>
          </a:endParaRPr>
        </a:p>
      </cdr:txBody>
    </cdr:sp>
  </cdr:relSizeAnchor>
</c:userShape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A5C46566-154F-426A-A66C-7ED4FAAB4BA1}" name="Table2" displayName="Table2" ref="A1:BF98" totalsRowShown="0" headerRowDxfId="271" dataDxfId="270">
  <autoFilter ref="A1:BF98" xr:uid="{A5C46566-154F-426A-A66C-7ED4FAAB4BA1}"/>
  <tableColumns count="58">
    <tableColumn id="1" xr3:uid="{FC1F73FF-A57B-4D9B-9C6F-591B88E38EA3}" name="Parameter" dataDxfId="269"/>
    <tableColumn id="2" xr3:uid="{927CC5C2-4B6C-49B6-B44B-EFCF62CDA4A2}" name="Scenario" dataDxfId="268"/>
    <tableColumn id="4" xr3:uid="{B87A2CA3-AF4C-4134-83DB-8985AE987FF4}" name="Region" dataDxfId="267"/>
    <tableColumn id="5" xr3:uid="{2E833DAD-1938-4A59-8D76-1E629DA31F9C}" name="Flow" dataDxfId="266"/>
    <tableColumn id="6" xr3:uid="{C7AACD95-D4DB-48EF-90F6-ACC78B05F6DF}" name="Unit" dataDxfId="265"/>
    <tableColumn id="7" xr3:uid="{1F50C470-D36B-495E-AF38-528D1618B32B}" name="Description" dataDxfId="264"/>
    <tableColumn id="8" xr3:uid="{0F5EFEF3-7F1C-4D13-996E-214E7F8CEE62}" name="Vehicle Category" dataDxfId="263"/>
    <tableColumn id="9" xr3:uid="{70145A33-1DEB-424C-A919-FBC64313AD56}" name="2010" dataDxfId="262"/>
    <tableColumn id="10" xr3:uid="{83805F81-F611-4F2B-99B8-8C2D5CF72F4F}" name="2011" dataDxfId="261"/>
    <tableColumn id="11" xr3:uid="{D47487D1-F5A5-4D10-8898-AD5D0CE5CEBE}" name="2012" dataDxfId="260"/>
    <tableColumn id="12" xr3:uid="{65FEFEE7-493F-4225-B536-F55BC1D8D30E}" name="2013" dataDxfId="259"/>
    <tableColumn id="13" xr3:uid="{1EEB6972-BFD0-482A-A027-09338F3910F5}" name="2014" dataDxfId="258"/>
    <tableColumn id="14" xr3:uid="{1CA6C888-3DFE-4B9A-95BB-0824BAA3E33E}" name="2015" dataDxfId="257"/>
    <tableColumn id="15" xr3:uid="{D7FACD00-171B-496B-A21E-0893512DD304}" name="2016" dataDxfId="256"/>
    <tableColumn id="16" xr3:uid="{025E7998-6CA8-425C-9762-8D5829EC77AD}" name="2017" dataDxfId="255"/>
    <tableColumn id="17" xr3:uid="{D80A94EC-2C42-44E1-8436-0A358210DC3D}" name="2018" dataDxfId="254"/>
    <tableColumn id="18" xr3:uid="{79A8E58B-04D2-45E5-8E45-030B424C41BC}" name="2019" dataDxfId="253"/>
    <tableColumn id="19" xr3:uid="{65D78AC9-2014-41B6-A1DC-1B1AB3F72898}" name="2020" dataDxfId="252"/>
    <tableColumn id="20" xr3:uid="{4965F128-F5B8-4189-9F75-653874105AE6}" name="2021" dataDxfId="251"/>
    <tableColumn id="21" xr3:uid="{1551CF5A-9DD0-4A30-A274-9E8BCCEE4449}" name="2022" dataDxfId="250"/>
    <tableColumn id="22" xr3:uid="{C8154E74-EDEE-4963-9EA4-0A082FF6521E}" name="2023" dataDxfId="249"/>
    <tableColumn id="23" xr3:uid="{51C8DE04-B1AA-49A4-ABA0-E3BE41BC9572}" name="2024" dataDxfId="248"/>
    <tableColumn id="24" xr3:uid="{9BEA889A-E46A-4988-AE97-4E5C21058FBD}" name="2025" dataDxfId="247"/>
    <tableColumn id="25" xr3:uid="{54EC46E9-F934-41E2-96A5-E547D3F07331}" name="2026" dataDxfId="246"/>
    <tableColumn id="26" xr3:uid="{F420F9CE-B678-434F-9683-02F845F4D4AA}" name="2027" dataDxfId="245"/>
    <tableColumn id="27" xr3:uid="{0B4C6F5C-2D5F-4290-A930-6D2ADDC2EF79}" name="2028" dataDxfId="244"/>
    <tableColumn id="28" xr3:uid="{75597838-9BD0-436D-80C1-B2CABD19F5E2}" name="2029" dataDxfId="243"/>
    <tableColumn id="29" xr3:uid="{957A2B51-D1B0-4915-B325-EDFD735C19F9}" name="2030" dataDxfId="242"/>
    <tableColumn id="30" xr3:uid="{0ADC46E8-303A-48B2-8112-C0050AA74D5A}" name="2031" dataDxfId="241"/>
    <tableColumn id="31" xr3:uid="{4D5E2FF3-FD69-4A13-BAE0-4851E041F466}" name="2032" dataDxfId="240"/>
    <tableColumn id="32" xr3:uid="{88442609-4801-4982-B146-61C5605DD811}" name="2033" dataDxfId="239"/>
    <tableColumn id="33" xr3:uid="{BD973A22-2031-4035-B203-4358F89F1E8E}" name="2034" dataDxfId="238"/>
    <tableColumn id="34" xr3:uid="{97955232-1569-4B40-83D2-A7F6163D8A69}" name="2035" dataDxfId="237"/>
    <tableColumn id="35" xr3:uid="{A4CCF591-5F25-4707-9E65-ED440BB778F1}" name="2036" dataDxfId="236"/>
    <tableColumn id="36" xr3:uid="{93C74415-A1B8-4ECA-A383-1D0FBCCE7F25}" name="2037" dataDxfId="235"/>
    <tableColumn id="37" xr3:uid="{FC48C81E-8A8A-48F6-8518-5F4FA6607D88}" name="2038" dataDxfId="234"/>
    <tableColumn id="38" xr3:uid="{8159521C-3123-4A90-95DA-C62D528202EF}" name="2039" dataDxfId="233"/>
    <tableColumn id="39" xr3:uid="{2708925A-6858-41AB-8039-42FEAC79BCDF}" name="2040" dataDxfId="232"/>
    <tableColumn id="40" xr3:uid="{2DD65F09-1420-47BE-93A3-612AC2A8ED1F}" name="2041" dataDxfId="231"/>
    <tableColumn id="41" xr3:uid="{1C779C12-F21B-478C-ABA0-B591A5CA9FFD}" name="2042" dataDxfId="230"/>
    <tableColumn id="42" xr3:uid="{0CF8F05D-74B1-4E9B-AA55-5604E09B8691}" name="2043" dataDxfId="229"/>
    <tableColumn id="43" xr3:uid="{1799B55B-8013-492A-96C2-471708A45D95}" name="2044" dataDxfId="228"/>
    <tableColumn id="44" xr3:uid="{7E071940-E29D-429A-99C2-9C93A3639F4D}" name="2045" dataDxfId="227"/>
    <tableColumn id="45" xr3:uid="{CD34615E-3980-48A4-8708-A9D0FD9F2C4C}" name="2046" dataDxfId="226"/>
    <tableColumn id="46" xr3:uid="{79A3BFAF-0D5A-4220-96A5-EC6D6FF571A6}" name="2047" dataDxfId="225"/>
    <tableColumn id="47" xr3:uid="{5D6A820A-A7B6-4E6E-9E93-E0224481F791}" name="2048" dataDxfId="224"/>
    <tableColumn id="48" xr3:uid="{93A62B96-F3A5-41EC-A4BF-4BB306C79F60}" name="2049" dataDxfId="223"/>
    <tableColumn id="49" xr3:uid="{7D8B062B-160E-4517-9F4F-45BABEF14F32}" name="2050" dataDxfId="222"/>
    <tableColumn id="50" xr3:uid="{13C7D0CE-4DE2-4FAB-A7EE-611CF3B8182A}" name="2051" dataDxfId="221"/>
    <tableColumn id="51" xr3:uid="{5417295E-6F1D-423B-BA5A-798362F63345}" name="2052" dataDxfId="220"/>
    <tableColumn id="52" xr3:uid="{FB156B24-D0D0-46AB-8BE9-69A15DEFC5F4}" name="2053" dataDxfId="219"/>
    <tableColumn id="53" xr3:uid="{041B706D-0F34-4879-8B27-7961B54E892F}" name="2054" dataDxfId="218"/>
    <tableColumn id="54" xr3:uid="{51B5A333-782F-43AA-AFB0-76BED7F8276F}" name="2055" dataDxfId="217"/>
    <tableColumn id="55" xr3:uid="{AE0B6766-E4BF-43B0-AC4E-9E553067E0C5}" name="2056" dataDxfId="216"/>
    <tableColumn id="56" xr3:uid="{4C56BA0B-0F9E-40B7-B7F7-2E060EC222C5}" name="2057" dataDxfId="215"/>
    <tableColumn id="57" xr3:uid="{A9E28A3C-C2A4-4DE2-9BA4-BB5EB4F2AAA8}" name="2058" dataDxfId="214"/>
    <tableColumn id="58" xr3:uid="{F125EBC3-0D9D-4EA1-B4F0-9763BB0158B5}" name="2059" dataDxfId="213"/>
    <tableColumn id="59" xr3:uid="{35D167FE-085C-4363-B6CB-52D55466A216}" name="2060" dataDxfId="212"/>
  </tableColumns>
  <tableStyleInfo name="TableStyleMedium6"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B148C4EC-FF72-4D7A-B9DF-93703C308BCF}" name="Table22" displayName="Table22" ref="A1:BG25" totalsRowShown="0">
  <autoFilter ref="A1:BG25" xr:uid="{B148C4EC-FF72-4D7A-B9DF-93703C308BCF}"/>
  <tableColumns count="59">
    <tableColumn id="1" xr3:uid="{ABA9A803-D2AF-4169-AF0F-892328028212}" name="Parameter" dataDxfId="211"/>
    <tableColumn id="2" xr3:uid="{B3F62B40-D961-4310-A6DE-E429C2500DFC}" name="Scenario"/>
    <tableColumn id="3" xr3:uid="{25A5DDC3-B79B-4611-992B-33525EAA5EEF}" name="Model sheet" dataDxfId="210"/>
    <tableColumn id="4" xr3:uid="{208161C6-C85F-44A5-B4FA-8B5286CF1813}" name="Region"/>
    <tableColumn id="5" xr3:uid="{542A4FD6-A69A-4AED-BF85-55A613039A59}" name="Flow"/>
    <tableColumn id="6" xr3:uid="{6E707D35-B287-44B5-BFA6-8EF42C03C665}" name="Unit"/>
    <tableColumn id="7" xr3:uid="{C0A734F6-818D-4885-AB1E-291089FA1F54}" name="Description"/>
    <tableColumn id="8" xr3:uid="{97A5F5E4-C322-496E-9B2A-5987DAE52134}" name="Vehicle Category" dataDxfId="209"/>
    <tableColumn id="9" xr3:uid="{C49177AC-9C5A-4A5A-AE91-FD4F192B5C7C}" name="2010"/>
    <tableColumn id="10" xr3:uid="{B52D20CE-9185-4DA2-B1EC-5957B259C90E}" name="2011"/>
    <tableColumn id="11" xr3:uid="{851A35FC-2772-468E-8E33-689DFECCD0EC}" name="2012"/>
    <tableColumn id="12" xr3:uid="{A0E0B80E-651D-4762-9617-4373797D8F45}" name="2013"/>
    <tableColumn id="13" xr3:uid="{226A4BAA-CA3F-4185-9882-B197D1D8492D}" name="2014"/>
    <tableColumn id="14" xr3:uid="{42735A6D-730A-4244-B46D-79A30C4E61CB}" name="2015"/>
    <tableColumn id="15" xr3:uid="{DBD0E9A6-C8CC-4591-940A-2ECA90952DCB}" name="2016"/>
    <tableColumn id="16" xr3:uid="{3B3F367E-5C05-486D-89A1-E0FFEEE26CF5}" name="2017"/>
    <tableColumn id="17" xr3:uid="{F7CD9DAF-98F6-41F8-9CA7-6351826A4D5E}" name="2018"/>
    <tableColumn id="18" xr3:uid="{7D2BDBD7-F622-40E3-844A-016EEA59D360}" name="2019"/>
    <tableColumn id="19" xr3:uid="{434B142C-2592-4CB0-95CD-BCD2712C1C95}" name="2020"/>
    <tableColumn id="20" xr3:uid="{DECEEF59-D6FB-453C-A14E-D10199CAC319}" name="2021"/>
    <tableColumn id="21" xr3:uid="{B0308057-A2AB-40AD-8B1F-9C1D96F89BAC}" name="2022" dataDxfId="208"/>
    <tableColumn id="22" xr3:uid="{F7165ABF-3D27-4DFC-9822-39BBCFE082A0}" name="2023"/>
    <tableColumn id="23" xr3:uid="{9CDC3294-0B3E-4898-B7BD-174E4051C4ED}" name="2024"/>
    <tableColumn id="24" xr3:uid="{DCB164DC-8DD4-4A46-AFE6-D92498B3A613}" name="2025"/>
    <tableColumn id="25" xr3:uid="{67F9F09F-90B1-4077-840A-0836FAB90048}" name="2026"/>
    <tableColumn id="26" xr3:uid="{C0DD9D0A-6C6D-4BDE-BB55-7A8D6711499F}" name="2027"/>
    <tableColumn id="27" xr3:uid="{B3C9E10E-BD26-4B05-B6FB-753D110D2EAA}" name="2028"/>
    <tableColumn id="28" xr3:uid="{82B08B4A-25C7-452C-8B37-77960426FECD}" name="2029"/>
    <tableColumn id="29" xr3:uid="{CA529EF2-7A93-4944-BCAC-8FEA09A8F196}" name="2030"/>
    <tableColumn id="30" xr3:uid="{A919AE3F-9BA5-434B-AB1C-66293646D795}" name="2031"/>
    <tableColumn id="31" xr3:uid="{AF004009-9068-413A-AFC9-EC1168173A43}" name="2032"/>
    <tableColumn id="32" xr3:uid="{613E866D-E489-4B5A-AFDE-A1D544FE1EAC}" name="2033"/>
    <tableColumn id="33" xr3:uid="{0515FDFA-C5D8-4FFD-BDA6-8B392EE6F35A}" name="2034"/>
    <tableColumn id="34" xr3:uid="{4A9F89A9-29A6-4D64-B713-7D5C0B51CB3E}" name="2035"/>
    <tableColumn id="35" xr3:uid="{34358AC8-40FF-423B-8775-DFF95F0A285F}" name="2036"/>
    <tableColumn id="36" xr3:uid="{FB4B9224-C3BF-4574-A955-FDD02B9F21F6}" name="2037"/>
    <tableColumn id="37" xr3:uid="{57411687-22DE-4278-AB06-BDC43300A985}" name="2038"/>
    <tableColumn id="38" xr3:uid="{F494BBCA-468F-423E-B79D-872147DEFD23}" name="2039"/>
    <tableColumn id="39" xr3:uid="{E687F498-5DB5-491F-9980-33D59453ED9A}" name="2040"/>
    <tableColumn id="40" xr3:uid="{4A662426-DD20-473B-8984-B5B752BE57D8}" name="2041"/>
    <tableColumn id="41" xr3:uid="{A07CBD10-8AAA-449B-87E5-FA49BEC8A8D2}" name="2042"/>
    <tableColumn id="42" xr3:uid="{5F1D85F0-CC4C-49F1-BE67-8B1149FC4721}" name="2043"/>
    <tableColumn id="43" xr3:uid="{78FA72A0-D67A-42D9-ADAC-03F0E0A55594}" name="2044"/>
    <tableColumn id="44" xr3:uid="{E890167D-3F3D-4FDE-96A7-25F37EB15134}" name="2045"/>
    <tableColumn id="45" xr3:uid="{ED135F91-C45D-4E0D-A28F-FA6CBAE296D6}" name="2046"/>
    <tableColumn id="46" xr3:uid="{84106C36-20A5-4023-8FBE-496370EE0EFA}" name="2047"/>
    <tableColumn id="47" xr3:uid="{DCA461AC-B419-4874-A75F-50954ECB4845}" name="2048"/>
    <tableColumn id="48" xr3:uid="{BB6E39A3-8EB5-4611-9551-52359D269049}" name="2049"/>
    <tableColumn id="49" xr3:uid="{5D5F0058-FEB9-47DE-9199-457BC1C6F1FF}" name="2050"/>
    <tableColumn id="50" xr3:uid="{13A7FF62-20FD-425A-B18B-C634EF751AB8}" name="2051"/>
    <tableColumn id="51" xr3:uid="{45C0A712-2474-4032-BF53-41DE4754A935}" name="2052"/>
    <tableColumn id="52" xr3:uid="{80AD9A48-E5CB-4FFB-886B-D6486BC34C67}" name="2053"/>
    <tableColumn id="53" xr3:uid="{8391F11C-BD3F-4D57-8517-7932965C959B}" name="2054"/>
    <tableColumn id="54" xr3:uid="{9C759A1A-F9E1-4B89-8572-22081DCD98EE}" name="2055"/>
    <tableColumn id="55" xr3:uid="{86D5571B-4650-494E-90E0-E949C222C7D7}" name="2056"/>
    <tableColumn id="56" xr3:uid="{2BA6BB91-E25D-4465-BC30-93EADF5167A8}" name="2057"/>
    <tableColumn id="57" xr3:uid="{1094CBEF-C121-4BFC-89D2-BD490F1994E0}" name="2058"/>
    <tableColumn id="58" xr3:uid="{5B38830B-BCB6-4301-BED8-480FDC87EC34}" name="2059"/>
    <tableColumn id="59" xr3:uid="{12C5587B-12BF-42CF-8082-95424AC0807B}" name="2060"/>
  </tableColumns>
  <tableStyleInfo name="TableStyleMedium6" showFirstColumn="0" showLastColumn="0" showRowStripes="1" showColumnStripes="0"/>
</table>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mailto:transport@sciencebasedtargets.org" TargetMode="Externa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8.xml"/><Relationship Id="rId2" Type="http://schemas.openxmlformats.org/officeDocument/2006/relationships/printerSettings" Target="../printerSettings/printerSettings6.bin"/><Relationship Id="rId1" Type="http://schemas.openxmlformats.org/officeDocument/2006/relationships/hyperlink" Target="mailto:info@sciencebasedtargets.org" TargetMode="External"/></Relationships>
</file>

<file path=xl/worksheets/_rels/sheet2.xml.rels><?xml version="1.0" encoding="UTF-8" standalone="yes"?>
<Relationships xmlns="http://schemas.openxmlformats.org/package/2006/relationships"><Relationship Id="rId8" Type="http://schemas.openxmlformats.org/officeDocument/2006/relationships/hyperlink" Target="https://sciencebasedtargets.org/resources/files/SBTi-Target-Submission-Form.xlsx" TargetMode="External"/><Relationship Id="rId3" Type="http://schemas.openxmlformats.org/officeDocument/2006/relationships/hyperlink" Target="https://sciencebasedtargets.org/resources/" TargetMode="External"/><Relationship Id="rId7" Type="http://schemas.openxmlformats.org/officeDocument/2006/relationships/hyperlink" Target="https://sciencebasedtargets.org/resources/files/Procedure-for-validation-of-SBTi-targets.pdf" TargetMode="External"/><Relationship Id="rId12" Type="http://schemas.openxmlformats.org/officeDocument/2006/relationships/drawing" Target="../drawings/drawing2.xml"/><Relationship Id="rId2" Type="http://schemas.openxmlformats.org/officeDocument/2006/relationships/hyperlink" Target="https://sciencebasedtargets.org/step-by-step-process" TargetMode="External"/><Relationship Id="rId1" Type="http://schemas.openxmlformats.org/officeDocument/2006/relationships/hyperlink" Target="mailto:info@sciencebasedtargets.org" TargetMode="External"/><Relationship Id="rId6" Type="http://schemas.openxmlformats.org/officeDocument/2006/relationships/hyperlink" Target="https://sciencebasedtargets.org/resources/files/SBTi-Criteria-Assessment-Indicators.pdf" TargetMode="External"/><Relationship Id="rId11" Type="http://schemas.openxmlformats.org/officeDocument/2006/relationships/hyperlink" Target="https://sciencebasedtargets.org/resources/files/Net-Zero-Standard-Criteria.pdf" TargetMode="External"/><Relationship Id="rId5" Type="http://schemas.openxmlformats.org/officeDocument/2006/relationships/hyperlink" Target="https://sciencebasedtargets.org/" TargetMode="External"/><Relationship Id="rId10" Type="http://schemas.openxmlformats.org/officeDocument/2006/relationships/hyperlink" Target="https://sciencebasedtargets.org/resources/files/SBTi-criteria.pdf" TargetMode="External"/><Relationship Id="rId4" Type="http://schemas.openxmlformats.org/officeDocument/2006/relationships/hyperlink" Target="https://sciencebasedtargets.org/wp-content/uploads/2019/04/foundations-of-SBT-setting.pdf" TargetMode="External"/><Relationship Id="rId9" Type="http://schemas.openxmlformats.org/officeDocument/2006/relationships/hyperlink" Target="https://sciencebasedtargets.org/sectors" TargetMode="Externa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1.bin"/><Relationship Id="rId1" Type="http://schemas.openxmlformats.org/officeDocument/2006/relationships/hyperlink" Target="mailto:transport@sciencebasedtargets.org" TargetMode="Externa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2.bin"/><Relationship Id="rId1" Type="http://schemas.openxmlformats.org/officeDocument/2006/relationships/hyperlink" Target="mailto:transport@sciencebasedtargets.org" TargetMode="Externa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hyperlink" Target="mailto:transport@sciencebasedtargets.org"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table" Target="../tables/table1.xml"/></Relationships>
</file>

<file path=xl/worksheets/_rels/sheet8.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drawing" Target="../drawings/drawing16.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7">
    <tabColor rgb="FFF5A81C"/>
  </sheetPr>
  <dimension ref="B1:S60"/>
  <sheetViews>
    <sheetView showGridLines="0" zoomScale="90" zoomScaleNormal="90" workbookViewId="0">
      <selection activeCell="F38" sqref="F38"/>
    </sheetView>
  </sheetViews>
  <sheetFormatPr baseColWidth="10" defaultColWidth="11.5" defaultRowHeight="13" x14ac:dyDescent="0.15"/>
  <cols>
    <col min="1" max="1" width="3.5" style="6" customWidth="1"/>
    <col min="2" max="2" width="13.5" style="6" customWidth="1"/>
    <col min="3" max="16384" width="11.5" style="6"/>
  </cols>
  <sheetData>
    <row r="1" spans="2:19" ht="19.5" customHeight="1" x14ac:dyDescent="0.15"/>
    <row r="2" spans="2:19" ht="19.5" customHeight="1" x14ac:dyDescent="0.15"/>
    <row r="3" spans="2:19" ht="33.75" customHeight="1" x14ac:dyDescent="0.15">
      <c r="F3" s="246" t="s">
        <v>420</v>
      </c>
      <c r="G3" s="246"/>
      <c r="H3" s="246"/>
      <c r="I3" s="246"/>
      <c r="J3" s="246"/>
      <c r="K3" s="246"/>
      <c r="L3" s="246"/>
      <c r="M3" s="246"/>
      <c r="N3" s="246"/>
      <c r="O3" s="246"/>
      <c r="P3" s="16"/>
      <c r="Q3" s="16"/>
      <c r="R3" s="16"/>
      <c r="S3" s="16"/>
    </row>
    <row r="4" spans="2:19" ht="19.5" customHeight="1" x14ac:dyDescent="0.15"/>
    <row r="5" spans="2:19" ht="19.5" customHeight="1" x14ac:dyDescent="0.15">
      <c r="F5" s="13" t="s">
        <v>28</v>
      </c>
      <c r="G5" s="23"/>
      <c r="H5" s="23">
        <f>+B36</f>
        <v>0.2</v>
      </c>
    </row>
    <row r="6" spans="2:19" ht="19.5" customHeight="1" x14ac:dyDescent="0.15">
      <c r="F6" s="13" t="s">
        <v>26</v>
      </c>
      <c r="G6" s="14"/>
      <c r="H6" s="36" t="s">
        <v>442</v>
      </c>
    </row>
    <row r="7" spans="2:19" ht="16" x14ac:dyDescent="0.2">
      <c r="B7" s="24"/>
      <c r="C7" s="24"/>
      <c r="D7" s="24"/>
      <c r="E7" s="24"/>
      <c r="F7" s="24"/>
      <c r="G7" s="24"/>
      <c r="H7" s="24"/>
      <c r="I7" s="24"/>
      <c r="J7" s="24"/>
      <c r="K7" s="24"/>
      <c r="L7" s="24"/>
      <c r="M7" s="24"/>
      <c r="N7" s="24"/>
      <c r="O7" s="24"/>
    </row>
    <row r="8" spans="2:19" ht="30" customHeight="1" x14ac:dyDescent="0.15">
      <c r="B8" s="256" t="s">
        <v>439</v>
      </c>
      <c r="C8" s="256"/>
      <c r="D8" s="256"/>
      <c r="E8" s="256"/>
      <c r="F8" s="256"/>
      <c r="G8" s="256"/>
      <c r="H8" s="256"/>
      <c r="I8" s="256"/>
      <c r="J8" s="256"/>
      <c r="K8" s="256"/>
      <c r="L8" s="256"/>
      <c r="M8" s="256"/>
      <c r="N8" s="256"/>
      <c r="O8" s="256"/>
    </row>
    <row r="9" spans="2:19" ht="16" x14ac:dyDescent="0.15">
      <c r="B9" s="25"/>
      <c r="C9" s="25"/>
      <c r="D9" s="25"/>
      <c r="E9" s="25"/>
      <c r="F9" s="25"/>
      <c r="G9" s="25"/>
      <c r="H9" s="25"/>
      <c r="I9" s="25"/>
      <c r="J9" s="25"/>
      <c r="K9" s="25"/>
      <c r="L9" s="25"/>
      <c r="M9" s="25"/>
      <c r="N9" s="25"/>
      <c r="O9" s="25"/>
    </row>
    <row r="10" spans="2:19" ht="16" x14ac:dyDescent="0.15">
      <c r="B10" s="25"/>
      <c r="C10" s="25"/>
      <c r="D10" s="25"/>
      <c r="E10" s="25"/>
      <c r="F10" s="25"/>
      <c r="G10" s="25"/>
      <c r="H10" s="25"/>
      <c r="I10" s="25"/>
      <c r="J10" s="25"/>
      <c r="K10" s="25"/>
      <c r="L10" s="25"/>
      <c r="M10" s="25"/>
      <c r="N10" s="25"/>
      <c r="O10" s="25"/>
    </row>
    <row r="11" spans="2:19" ht="18" x14ac:dyDescent="0.15">
      <c r="B11" s="254" t="s">
        <v>159</v>
      </c>
      <c r="C11" s="254"/>
      <c r="D11" s="254"/>
      <c r="E11" s="254"/>
      <c r="F11" s="254"/>
      <c r="G11" s="254"/>
      <c r="H11" s="254"/>
      <c r="I11" s="254"/>
      <c r="J11" s="254"/>
      <c r="K11" s="254"/>
      <c r="L11" s="254"/>
      <c r="M11" s="254"/>
      <c r="N11" s="254"/>
      <c r="O11" s="254"/>
    </row>
    <row r="12" spans="2:19" s="27" customFormat="1" x14ac:dyDescent="0.15">
      <c r="B12" s="26"/>
      <c r="C12" s="26"/>
      <c r="D12" s="26"/>
      <c r="E12" s="26"/>
      <c r="F12" s="26"/>
      <c r="G12" s="26"/>
      <c r="H12" s="26"/>
      <c r="I12" s="26"/>
      <c r="J12" s="26"/>
      <c r="K12" s="26"/>
      <c r="L12" s="26"/>
      <c r="M12" s="26"/>
      <c r="N12" s="26"/>
      <c r="O12" s="26"/>
    </row>
    <row r="13" spans="2:19" ht="25" x14ac:dyDescent="0.15">
      <c r="B13" s="11" t="s">
        <v>18</v>
      </c>
      <c r="C13" s="12"/>
      <c r="D13" s="12"/>
      <c r="E13" s="12"/>
      <c r="F13" s="12"/>
      <c r="G13" s="12"/>
      <c r="H13" s="12"/>
      <c r="I13" s="12"/>
      <c r="J13" s="12"/>
      <c r="K13" s="12"/>
      <c r="L13" s="12"/>
      <c r="M13" s="12"/>
      <c r="N13" s="12"/>
      <c r="O13" s="12"/>
    </row>
    <row r="14" spans="2:19" s="23" customFormat="1" ht="32.5" customHeight="1" x14ac:dyDescent="0.15">
      <c r="B14" s="252" t="s">
        <v>216</v>
      </c>
      <c r="C14" s="252"/>
      <c r="D14" s="252"/>
      <c r="E14" s="252"/>
      <c r="F14" s="252"/>
      <c r="G14" s="252"/>
      <c r="H14" s="252"/>
      <c r="I14" s="252"/>
      <c r="J14" s="252"/>
      <c r="K14" s="252"/>
      <c r="L14" s="252"/>
      <c r="M14" s="252"/>
      <c r="N14" s="252"/>
      <c r="O14" s="252"/>
    </row>
    <row r="15" spans="2:19" s="23" customFormat="1" ht="29.5" customHeight="1" x14ac:dyDescent="0.15">
      <c r="B15" s="253"/>
      <c r="C15" s="253"/>
      <c r="D15" s="253"/>
      <c r="E15" s="253"/>
      <c r="F15" s="253"/>
      <c r="G15" s="253"/>
      <c r="H15" s="253"/>
      <c r="I15" s="253"/>
      <c r="J15" s="253"/>
      <c r="K15" s="253"/>
      <c r="L15" s="253"/>
      <c r="M15" s="253"/>
      <c r="N15" s="253"/>
      <c r="O15" s="253"/>
    </row>
    <row r="16" spans="2:19" s="23" customFormat="1" x14ac:dyDescent="0.15">
      <c r="B16" s="253"/>
      <c r="C16" s="253"/>
      <c r="D16" s="253"/>
      <c r="E16" s="253"/>
      <c r="F16" s="253"/>
      <c r="G16" s="253"/>
      <c r="H16" s="253"/>
      <c r="I16" s="253"/>
      <c r="J16" s="253"/>
      <c r="K16" s="253"/>
      <c r="L16" s="253"/>
      <c r="M16" s="253"/>
      <c r="N16" s="253"/>
      <c r="O16" s="253"/>
    </row>
    <row r="17" spans="2:15" s="23" customFormat="1" ht="29" customHeight="1" x14ac:dyDescent="0.15">
      <c r="B17" s="253"/>
      <c r="C17" s="253"/>
      <c r="D17" s="253"/>
      <c r="E17" s="253"/>
      <c r="F17" s="253"/>
      <c r="G17" s="253"/>
      <c r="H17" s="253"/>
      <c r="I17" s="253"/>
      <c r="J17" s="253"/>
      <c r="K17" s="253"/>
      <c r="L17" s="253"/>
      <c r="M17" s="253"/>
      <c r="N17" s="253"/>
      <c r="O17" s="253"/>
    </row>
    <row r="18" spans="2:15" ht="14" x14ac:dyDescent="0.15">
      <c r="B18" s="9"/>
      <c r="C18" s="9"/>
      <c r="D18" s="9"/>
      <c r="E18" s="9"/>
      <c r="F18" s="9"/>
      <c r="G18" s="9"/>
      <c r="H18" s="9"/>
      <c r="I18" s="9"/>
      <c r="J18" s="9"/>
      <c r="K18" s="9"/>
      <c r="L18" s="9"/>
      <c r="M18" s="9"/>
      <c r="N18" s="9"/>
      <c r="O18" s="9"/>
    </row>
    <row r="19" spans="2:15" ht="21" customHeight="1" x14ac:dyDescent="0.15">
      <c r="B19" s="11" t="s">
        <v>17</v>
      </c>
      <c r="C19" s="10"/>
      <c r="D19" s="10"/>
      <c r="E19" s="10"/>
      <c r="F19" s="10"/>
      <c r="G19" s="10"/>
      <c r="H19" s="10"/>
      <c r="I19" s="10"/>
      <c r="J19" s="10"/>
      <c r="K19" s="10"/>
      <c r="L19" s="10"/>
      <c r="M19" s="10"/>
      <c r="N19" s="10"/>
      <c r="O19" s="10"/>
    </row>
    <row r="20" spans="2:15" ht="38.5" customHeight="1" x14ac:dyDescent="0.15">
      <c r="B20" s="252" t="s">
        <v>227</v>
      </c>
      <c r="C20" s="252"/>
      <c r="D20" s="252"/>
      <c r="E20" s="252"/>
      <c r="F20" s="252"/>
      <c r="G20" s="252"/>
      <c r="H20" s="252"/>
      <c r="I20" s="252"/>
      <c r="J20" s="252"/>
      <c r="K20" s="252"/>
      <c r="L20" s="252"/>
      <c r="M20" s="252"/>
      <c r="N20" s="252"/>
      <c r="O20" s="252"/>
    </row>
    <row r="21" spans="2:15" ht="62.5" customHeight="1" x14ac:dyDescent="0.15">
      <c r="B21" s="253"/>
      <c r="C21" s="253"/>
      <c r="D21" s="253"/>
      <c r="E21" s="253"/>
      <c r="F21" s="253"/>
      <c r="G21" s="253"/>
      <c r="H21" s="253"/>
      <c r="I21" s="253"/>
      <c r="J21" s="253"/>
      <c r="K21" s="253"/>
      <c r="L21" s="253"/>
      <c r="M21" s="253"/>
      <c r="N21" s="253"/>
      <c r="O21" s="253"/>
    </row>
    <row r="22" spans="2:15" x14ac:dyDescent="0.15">
      <c r="B22" s="253"/>
      <c r="C22" s="253"/>
      <c r="D22" s="253"/>
      <c r="E22" s="253"/>
      <c r="F22" s="253"/>
      <c r="G22" s="253"/>
      <c r="H22" s="253"/>
      <c r="I22" s="253"/>
      <c r="J22" s="253"/>
      <c r="K22" s="253"/>
      <c r="L22" s="253"/>
      <c r="M22" s="253"/>
      <c r="N22" s="253"/>
      <c r="O22" s="253"/>
    </row>
    <row r="23" spans="2:15" ht="53" customHeight="1" x14ac:dyDescent="0.15">
      <c r="B23" s="253"/>
      <c r="C23" s="253"/>
      <c r="D23" s="253"/>
      <c r="E23" s="253"/>
      <c r="F23" s="253"/>
      <c r="G23" s="253"/>
      <c r="H23" s="253"/>
      <c r="I23" s="253"/>
      <c r="J23" s="253"/>
      <c r="K23" s="253"/>
      <c r="L23" s="253"/>
      <c r="M23" s="253"/>
      <c r="N23" s="253"/>
      <c r="O23" s="253"/>
    </row>
    <row r="24" spans="2:15" ht="52" customHeight="1" x14ac:dyDescent="0.15">
      <c r="B24" s="253"/>
      <c r="C24" s="253"/>
      <c r="D24" s="253"/>
      <c r="E24" s="253"/>
      <c r="F24" s="253"/>
      <c r="G24" s="253"/>
      <c r="H24" s="253"/>
      <c r="I24" s="253"/>
      <c r="J24" s="253"/>
      <c r="K24" s="253"/>
      <c r="L24" s="253"/>
      <c r="M24" s="253"/>
      <c r="N24" s="253"/>
      <c r="O24" s="253"/>
    </row>
    <row r="25" spans="2:15" ht="72" customHeight="1" x14ac:dyDescent="0.15">
      <c r="B25" s="253"/>
      <c r="C25" s="253"/>
      <c r="D25" s="253"/>
      <c r="E25" s="253"/>
      <c r="F25" s="253"/>
      <c r="G25" s="253"/>
      <c r="H25" s="253"/>
      <c r="I25" s="253"/>
      <c r="J25" s="253"/>
      <c r="K25" s="253"/>
      <c r="L25" s="253"/>
      <c r="M25" s="253"/>
      <c r="N25" s="253"/>
      <c r="O25" s="253"/>
    </row>
    <row r="26" spans="2:15" x14ac:dyDescent="0.15">
      <c r="B26" s="157"/>
      <c r="C26" s="157"/>
      <c r="D26" s="157"/>
      <c r="E26" s="157"/>
      <c r="F26" s="157"/>
      <c r="G26" s="157"/>
      <c r="H26" s="157"/>
      <c r="I26" s="157"/>
      <c r="J26" s="157"/>
      <c r="K26" s="157"/>
      <c r="L26" s="157"/>
      <c r="M26" s="157"/>
      <c r="N26" s="157"/>
      <c r="O26" s="157"/>
    </row>
    <row r="27" spans="2:15" ht="25" x14ac:dyDescent="0.15">
      <c r="B27" s="11" t="s">
        <v>360</v>
      </c>
      <c r="C27" s="10"/>
      <c r="D27" s="10"/>
      <c r="E27" s="10"/>
      <c r="F27" s="10"/>
      <c r="G27" s="10"/>
      <c r="H27" s="10"/>
      <c r="I27" s="10"/>
      <c r="J27" s="10"/>
      <c r="K27" s="10"/>
      <c r="L27" s="10"/>
      <c r="M27" s="10"/>
      <c r="N27" s="10"/>
      <c r="O27" s="10"/>
    </row>
    <row r="28" spans="2:15" ht="246" customHeight="1" x14ac:dyDescent="0.15">
      <c r="B28" s="255" t="s">
        <v>425</v>
      </c>
      <c r="C28" s="255"/>
      <c r="D28" s="255"/>
      <c r="E28" s="255"/>
      <c r="F28" s="255"/>
      <c r="G28" s="255"/>
      <c r="H28" s="255"/>
      <c r="I28" s="255"/>
      <c r="J28" s="255"/>
      <c r="K28" s="255"/>
      <c r="L28" s="255"/>
      <c r="M28" s="255"/>
      <c r="N28" s="255"/>
      <c r="O28" s="255"/>
    </row>
    <row r="29" spans="2:15" ht="18" customHeight="1" x14ac:dyDescent="0.15">
      <c r="B29" s="255" t="s">
        <v>424</v>
      </c>
      <c r="C29" s="255"/>
      <c r="D29" s="255"/>
      <c r="E29" s="255"/>
      <c r="F29" s="255"/>
      <c r="G29" s="255"/>
      <c r="H29" s="255"/>
      <c r="I29" s="255"/>
      <c r="J29" s="255"/>
      <c r="K29" s="255"/>
      <c r="L29" s="255"/>
      <c r="M29" s="255"/>
      <c r="N29" s="255"/>
      <c r="O29" s="255"/>
    </row>
    <row r="30" spans="2:15" ht="20.5" customHeight="1" x14ac:dyDescent="0.15"/>
    <row r="31" spans="2:15" ht="25" x14ac:dyDescent="0.15">
      <c r="B31" s="11" t="s">
        <v>19</v>
      </c>
      <c r="C31" s="10"/>
      <c r="D31" s="10"/>
      <c r="E31" s="10"/>
      <c r="F31" s="10"/>
      <c r="G31" s="10"/>
      <c r="H31" s="10"/>
      <c r="I31" s="10"/>
      <c r="J31" s="10"/>
      <c r="K31" s="10"/>
      <c r="L31" s="10"/>
      <c r="M31" s="10"/>
      <c r="N31" s="10"/>
      <c r="O31" s="10"/>
    </row>
    <row r="33" spans="2:15" ht="19.5" customHeight="1" thickBot="1" x14ac:dyDescent="0.2">
      <c r="B33" s="158" t="s">
        <v>20</v>
      </c>
      <c r="C33" s="247" t="s">
        <v>21</v>
      </c>
      <c r="D33" s="251"/>
      <c r="E33" s="247" t="s">
        <v>22</v>
      </c>
      <c r="F33" s="248"/>
      <c r="G33" s="248"/>
      <c r="H33" s="248"/>
      <c r="I33" s="248"/>
      <c r="J33" s="248"/>
      <c r="K33" s="248"/>
      <c r="L33" s="248"/>
      <c r="M33" s="248"/>
      <c r="N33" s="248"/>
      <c r="O33" s="248"/>
    </row>
    <row r="34" spans="2:15" ht="22.25" customHeight="1" thickTop="1" thickBot="1" x14ac:dyDescent="0.2">
      <c r="B34" s="159" t="s">
        <v>215</v>
      </c>
      <c r="C34" s="249" t="s">
        <v>23</v>
      </c>
      <c r="D34" s="250"/>
      <c r="E34" s="238" t="s">
        <v>418</v>
      </c>
      <c r="F34" s="239"/>
      <c r="G34" s="239"/>
      <c r="H34" s="239"/>
      <c r="I34" s="239"/>
      <c r="J34" s="239"/>
      <c r="K34" s="239"/>
      <c r="L34" s="239"/>
      <c r="M34" s="239"/>
      <c r="N34" s="239"/>
      <c r="O34" s="239"/>
    </row>
    <row r="35" spans="2:15" ht="22.25" customHeight="1" thickTop="1" thickBot="1" x14ac:dyDescent="0.2">
      <c r="B35" s="159">
        <v>0.1</v>
      </c>
      <c r="C35" s="240" t="s">
        <v>440</v>
      </c>
      <c r="D35" s="241"/>
      <c r="E35" s="242" t="s">
        <v>419</v>
      </c>
      <c r="F35" s="243"/>
      <c r="G35" s="243"/>
      <c r="H35" s="243"/>
      <c r="I35" s="243"/>
      <c r="J35" s="243"/>
      <c r="K35" s="243"/>
      <c r="L35" s="243"/>
      <c r="M35" s="243"/>
      <c r="N35" s="243"/>
      <c r="O35" s="243"/>
    </row>
    <row r="36" spans="2:15" ht="22.25" customHeight="1" thickTop="1" x14ac:dyDescent="0.15">
      <c r="B36" s="159">
        <v>0.2</v>
      </c>
      <c r="C36" s="240" t="s">
        <v>484</v>
      </c>
      <c r="D36" s="241"/>
      <c r="E36" s="242" t="s">
        <v>485</v>
      </c>
      <c r="F36" s="243"/>
      <c r="G36" s="243"/>
      <c r="H36" s="243"/>
      <c r="I36" s="243"/>
      <c r="J36" s="243"/>
      <c r="K36" s="243"/>
      <c r="L36" s="243"/>
      <c r="M36" s="243"/>
      <c r="N36" s="243"/>
      <c r="O36" s="243"/>
    </row>
    <row r="38" spans="2:15" ht="25" x14ac:dyDescent="0.15">
      <c r="B38" s="11" t="s">
        <v>359</v>
      </c>
      <c r="C38" s="10"/>
      <c r="D38" s="10"/>
      <c r="E38" s="10"/>
      <c r="F38" s="10"/>
      <c r="G38" s="10"/>
      <c r="H38" s="10"/>
      <c r="I38" s="10"/>
      <c r="J38" s="10"/>
      <c r="K38" s="10"/>
      <c r="L38" s="10"/>
      <c r="M38" s="10"/>
      <c r="N38" s="10"/>
      <c r="O38" s="10"/>
    </row>
    <row r="40" spans="2:15" ht="19.5" customHeight="1" thickBot="1" x14ac:dyDescent="0.2">
      <c r="B40" s="158" t="s">
        <v>41</v>
      </c>
      <c r="C40" s="244" t="s">
        <v>42</v>
      </c>
      <c r="D40" s="245"/>
      <c r="E40" s="245"/>
      <c r="F40" s="245"/>
      <c r="G40" s="245"/>
      <c r="H40" s="245"/>
      <c r="I40" s="245"/>
      <c r="J40" s="245"/>
      <c r="K40" s="245"/>
      <c r="L40" s="245"/>
      <c r="M40" s="245"/>
      <c r="N40" s="245"/>
      <c r="O40" s="245"/>
    </row>
    <row r="41" spans="2:15" ht="19.5" customHeight="1" thickTop="1" thickBot="1" x14ac:dyDescent="0.2">
      <c r="B41" s="160" t="s">
        <v>399</v>
      </c>
      <c r="C41" s="238" t="s">
        <v>43</v>
      </c>
      <c r="D41" s="239"/>
      <c r="E41" s="239"/>
      <c r="F41" s="239"/>
      <c r="G41" s="239"/>
      <c r="H41" s="239"/>
      <c r="I41" s="239"/>
      <c r="J41" s="239"/>
      <c r="K41" s="239"/>
      <c r="L41" s="239"/>
      <c r="M41" s="239"/>
      <c r="N41" s="239"/>
      <c r="O41" s="239"/>
    </row>
    <row r="42" spans="2:15" ht="19.5" customHeight="1" thickTop="1" thickBot="1" x14ac:dyDescent="0.2">
      <c r="B42" s="160" t="s">
        <v>399</v>
      </c>
      <c r="C42" s="238" t="s">
        <v>400</v>
      </c>
      <c r="D42" s="239"/>
      <c r="E42" s="239"/>
      <c r="F42" s="239"/>
      <c r="G42" s="239"/>
      <c r="H42" s="239"/>
      <c r="I42" s="239"/>
      <c r="J42" s="239"/>
      <c r="K42" s="239"/>
      <c r="L42" s="239"/>
      <c r="M42" s="239"/>
      <c r="N42" s="239"/>
      <c r="O42" s="239"/>
    </row>
    <row r="43" spans="2:15" ht="19.5" customHeight="1" thickTop="1" thickBot="1" x14ac:dyDescent="0.2">
      <c r="B43" s="160" t="s">
        <v>401</v>
      </c>
      <c r="C43" s="238" t="s">
        <v>404</v>
      </c>
      <c r="D43" s="239"/>
      <c r="E43" s="239"/>
      <c r="F43" s="239"/>
      <c r="G43" s="239"/>
      <c r="H43" s="239"/>
      <c r="I43" s="239"/>
      <c r="J43" s="239"/>
      <c r="K43" s="239"/>
      <c r="L43" s="239"/>
      <c r="M43" s="239"/>
      <c r="N43" s="239"/>
      <c r="O43" s="239"/>
    </row>
    <row r="44" spans="2:15" ht="19.5" customHeight="1" thickTop="1" thickBot="1" x14ac:dyDescent="0.2">
      <c r="B44" s="160" t="s">
        <v>402</v>
      </c>
      <c r="C44" s="238" t="s">
        <v>403</v>
      </c>
      <c r="D44" s="239"/>
      <c r="E44" s="239"/>
      <c r="F44" s="239"/>
      <c r="G44" s="239"/>
      <c r="H44" s="239"/>
      <c r="I44" s="239"/>
      <c r="J44" s="239"/>
      <c r="K44" s="239"/>
      <c r="L44" s="239"/>
      <c r="M44" s="239"/>
      <c r="N44" s="239"/>
      <c r="O44" s="239"/>
    </row>
    <row r="45" spans="2:15" ht="19.25" customHeight="1" thickTop="1" thickBot="1" x14ac:dyDescent="0.2">
      <c r="B45" s="160" t="s">
        <v>246</v>
      </c>
      <c r="C45" s="238" t="s">
        <v>398</v>
      </c>
      <c r="D45" s="239"/>
      <c r="E45" s="239"/>
      <c r="F45" s="239"/>
      <c r="G45" s="239"/>
      <c r="H45" s="239"/>
      <c r="I45" s="239"/>
      <c r="J45" s="239"/>
      <c r="K45" s="239"/>
      <c r="L45" s="239"/>
      <c r="M45" s="239"/>
      <c r="N45" s="239"/>
      <c r="O45" s="239"/>
    </row>
    <row r="46" spans="2:15" ht="19.5" customHeight="1" thickTop="1" thickBot="1" x14ac:dyDescent="0.2">
      <c r="B46" s="160" t="s">
        <v>44</v>
      </c>
      <c r="C46" s="238" t="s">
        <v>40</v>
      </c>
      <c r="D46" s="239"/>
      <c r="E46" s="239"/>
      <c r="F46" s="239"/>
      <c r="G46" s="239"/>
      <c r="H46" s="239"/>
      <c r="I46" s="239"/>
      <c r="J46" s="239"/>
      <c r="K46" s="239"/>
      <c r="L46" s="239"/>
      <c r="M46" s="239"/>
      <c r="N46" s="239"/>
      <c r="O46" s="239"/>
    </row>
    <row r="47" spans="2:15" ht="19.5" customHeight="1" thickTop="1" thickBot="1" x14ac:dyDescent="0.2">
      <c r="B47" s="160" t="s">
        <v>45</v>
      </c>
      <c r="C47" s="238" t="s">
        <v>46</v>
      </c>
      <c r="D47" s="239"/>
      <c r="E47" s="239"/>
      <c r="F47" s="239"/>
      <c r="G47" s="239"/>
      <c r="H47" s="239"/>
      <c r="I47" s="239"/>
      <c r="J47" s="239"/>
      <c r="K47" s="239"/>
      <c r="L47" s="239"/>
      <c r="M47" s="239"/>
      <c r="N47" s="239"/>
      <c r="O47" s="239"/>
    </row>
    <row r="48" spans="2:15" ht="19.5" customHeight="1" thickTop="1" thickBot="1" x14ac:dyDescent="0.2">
      <c r="B48" s="160" t="s">
        <v>340</v>
      </c>
      <c r="C48" s="238" t="s">
        <v>411</v>
      </c>
      <c r="D48" s="239"/>
      <c r="E48" s="239"/>
      <c r="F48" s="239"/>
      <c r="G48" s="239"/>
      <c r="H48" s="239"/>
      <c r="I48" s="239"/>
      <c r="J48" s="239"/>
      <c r="K48" s="239"/>
      <c r="L48" s="239"/>
      <c r="M48" s="239"/>
      <c r="N48" s="239"/>
      <c r="O48" s="239"/>
    </row>
    <row r="49" spans="2:15" ht="19.5" customHeight="1" thickTop="1" thickBot="1" x14ac:dyDescent="0.2">
      <c r="B49" s="160" t="s">
        <v>466</v>
      </c>
      <c r="C49" s="238" t="s">
        <v>467</v>
      </c>
      <c r="D49" s="239"/>
      <c r="E49" s="239"/>
      <c r="F49" s="239"/>
      <c r="G49" s="239"/>
      <c r="H49" s="239"/>
      <c r="I49" s="239"/>
      <c r="J49" s="239"/>
      <c r="K49" s="239"/>
      <c r="L49" s="239"/>
      <c r="M49" s="239"/>
      <c r="N49" s="239"/>
      <c r="O49" s="239"/>
    </row>
    <row r="50" spans="2:15" ht="19.5" customHeight="1" thickTop="1" thickBot="1" x14ac:dyDescent="0.2">
      <c r="B50" s="160" t="s">
        <v>407</v>
      </c>
      <c r="C50" s="238" t="s">
        <v>408</v>
      </c>
      <c r="D50" s="239"/>
      <c r="E50" s="239"/>
      <c r="F50" s="239"/>
      <c r="G50" s="239"/>
      <c r="H50" s="239"/>
      <c r="I50" s="239"/>
      <c r="J50" s="239"/>
      <c r="K50" s="239"/>
      <c r="L50" s="239"/>
      <c r="M50" s="239"/>
      <c r="N50" s="239"/>
      <c r="O50" s="239"/>
    </row>
    <row r="51" spans="2:15" ht="19.5" customHeight="1" thickTop="1" thickBot="1" x14ac:dyDescent="0.2">
      <c r="B51" s="160" t="s">
        <v>409</v>
      </c>
      <c r="C51" s="238" t="s">
        <v>410</v>
      </c>
      <c r="D51" s="239"/>
      <c r="E51" s="239"/>
      <c r="F51" s="239"/>
      <c r="G51" s="239"/>
      <c r="H51" s="239"/>
      <c r="I51" s="239"/>
      <c r="J51" s="239"/>
      <c r="K51" s="239"/>
      <c r="L51" s="239"/>
      <c r="M51" s="239"/>
      <c r="N51" s="239"/>
      <c r="O51" s="239"/>
    </row>
    <row r="52" spans="2:15" ht="19.5" customHeight="1" thickTop="1" thickBot="1" x14ac:dyDescent="0.2">
      <c r="B52" s="160" t="s">
        <v>412</v>
      </c>
      <c r="C52" s="238" t="s">
        <v>415</v>
      </c>
      <c r="D52" s="239"/>
      <c r="E52" s="239"/>
      <c r="F52" s="239"/>
      <c r="G52" s="239"/>
      <c r="H52" s="239"/>
      <c r="I52" s="239"/>
      <c r="J52" s="239"/>
      <c r="K52" s="239"/>
      <c r="L52" s="239"/>
      <c r="M52" s="239"/>
      <c r="N52" s="239"/>
      <c r="O52" s="239"/>
    </row>
    <row r="53" spans="2:15" ht="19.5" customHeight="1" thickTop="1" thickBot="1" x14ac:dyDescent="0.2">
      <c r="B53" s="160" t="s">
        <v>413</v>
      </c>
      <c r="C53" s="238" t="s">
        <v>416</v>
      </c>
      <c r="D53" s="239"/>
      <c r="E53" s="239"/>
      <c r="F53" s="239"/>
      <c r="G53" s="239"/>
      <c r="H53" s="239"/>
      <c r="I53" s="239"/>
      <c r="J53" s="239"/>
      <c r="K53" s="239"/>
      <c r="L53" s="239"/>
      <c r="M53" s="239"/>
      <c r="N53" s="239"/>
      <c r="O53" s="239"/>
    </row>
    <row r="54" spans="2:15" ht="19.5" customHeight="1" thickTop="1" thickBot="1" x14ac:dyDescent="0.2">
      <c r="B54" s="160" t="s">
        <v>414</v>
      </c>
      <c r="C54" s="238" t="s">
        <v>417</v>
      </c>
      <c r="D54" s="239"/>
      <c r="E54" s="239"/>
      <c r="F54" s="239"/>
      <c r="G54" s="239"/>
      <c r="H54" s="239"/>
      <c r="I54" s="239"/>
      <c r="J54" s="239"/>
      <c r="K54" s="239"/>
      <c r="L54" s="239"/>
      <c r="M54" s="239"/>
      <c r="N54" s="239"/>
      <c r="O54" s="239"/>
    </row>
    <row r="55" spans="2:15" ht="19.5" customHeight="1" thickTop="1" thickBot="1" x14ac:dyDescent="0.2">
      <c r="B55" s="160" t="s">
        <v>47</v>
      </c>
      <c r="C55" s="238" t="s">
        <v>48</v>
      </c>
      <c r="D55" s="239"/>
      <c r="E55" s="239"/>
      <c r="F55" s="239"/>
      <c r="G55" s="239"/>
      <c r="H55" s="239"/>
      <c r="I55" s="239"/>
      <c r="J55" s="239"/>
      <c r="K55" s="239"/>
      <c r="L55" s="239"/>
      <c r="M55" s="239"/>
      <c r="N55" s="239"/>
      <c r="O55" s="239"/>
    </row>
    <row r="56" spans="2:15" ht="19.5" customHeight="1" thickTop="1" thickBot="1" x14ac:dyDescent="0.2">
      <c r="B56" s="160" t="s">
        <v>264</v>
      </c>
      <c r="C56" s="238" t="s">
        <v>405</v>
      </c>
      <c r="D56" s="239"/>
      <c r="E56" s="239"/>
      <c r="F56" s="239"/>
      <c r="G56" s="239"/>
      <c r="H56" s="239"/>
      <c r="I56" s="239"/>
      <c r="J56" s="239"/>
      <c r="K56" s="239"/>
      <c r="L56" s="239"/>
      <c r="M56" s="239"/>
      <c r="N56" s="239"/>
      <c r="O56" s="239"/>
    </row>
    <row r="57" spans="2:15" ht="19.5" customHeight="1" thickTop="1" thickBot="1" x14ac:dyDescent="0.2">
      <c r="B57" s="160" t="s">
        <v>397</v>
      </c>
      <c r="C57" s="238" t="s">
        <v>406</v>
      </c>
      <c r="D57" s="239"/>
      <c r="E57" s="239"/>
      <c r="F57" s="239"/>
      <c r="G57" s="239"/>
      <c r="H57" s="239"/>
      <c r="I57" s="239"/>
      <c r="J57" s="239"/>
      <c r="K57" s="239"/>
      <c r="L57" s="239"/>
      <c r="M57" s="239"/>
      <c r="N57" s="239"/>
      <c r="O57" s="239"/>
    </row>
    <row r="58" spans="2:15" ht="19.5" customHeight="1" thickTop="1" x14ac:dyDescent="0.15"/>
    <row r="59" spans="2:15" ht="19.5" customHeight="1" thickBot="1" x14ac:dyDescent="0.2">
      <c r="B59" s="244" t="s">
        <v>217</v>
      </c>
      <c r="C59" s="245"/>
      <c r="D59" s="245"/>
      <c r="E59" s="245"/>
      <c r="F59" s="245"/>
      <c r="G59" s="245"/>
      <c r="H59" s="245"/>
      <c r="I59" s="245"/>
      <c r="J59" s="245"/>
      <c r="K59" s="245"/>
      <c r="L59" s="245"/>
      <c r="M59" s="245"/>
      <c r="N59" s="245"/>
      <c r="O59" s="245"/>
    </row>
    <row r="60" spans="2:15" ht="19.5" customHeight="1" thickTop="1" x14ac:dyDescent="0.15"/>
  </sheetData>
  <sheetProtection algorithmName="SHA-512" hashValue="HUNQT4uRvcp0AC6nPGhmFvsgP4slDMj4jTGiDfu7DfNXBLGHE8cOnF5drmztzh18dYEaiUBD7M3tMK74ZITh5w==" saltValue="hKJdWfl9G3gsh+s1VV9W9g==" spinCount="100000" sheet="1" selectLockedCells="1" selectUnlockedCells="1"/>
  <mergeCells count="34">
    <mergeCell ref="F3:O3"/>
    <mergeCell ref="E33:O33"/>
    <mergeCell ref="C34:D34"/>
    <mergeCell ref="C33:D33"/>
    <mergeCell ref="B20:O25"/>
    <mergeCell ref="B11:O11"/>
    <mergeCell ref="B14:O17"/>
    <mergeCell ref="E34:O34"/>
    <mergeCell ref="B28:O28"/>
    <mergeCell ref="B8:O8"/>
    <mergeCell ref="B29:O29"/>
    <mergeCell ref="C54:O54"/>
    <mergeCell ref="C40:O40"/>
    <mergeCell ref="C41:O41"/>
    <mergeCell ref="C45:O45"/>
    <mergeCell ref="B59:O59"/>
    <mergeCell ref="C56:O56"/>
    <mergeCell ref="C46:O46"/>
    <mergeCell ref="C44:O44"/>
    <mergeCell ref="C47:O47"/>
    <mergeCell ref="C50:O50"/>
    <mergeCell ref="C55:O55"/>
    <mergeCell ref="C42:O42"/>
    <mergeCell ref="C43:O43"/>
    <mergeCell ref="C57:O57"/>
    <mergeCell ref="C49:O49"/>
    <mergeCell ref="C51:O51"/>
    <mergeCell ref="C48:O48"/>
    <mergeCell ref="C52:O52"/>
    <mergeCell ref="C53:O53"/>
    <mergeCell ref="C35:D35"/>
    <mergeCell ref="E35:O35"/>
    <mergeCell ref="C36:D36"/>
    <mergeCell ref="E36:O36"/>
  </mergeCells>
  <phoneticPr fontId="45" type="noConversion"/>
  <hyperlinks>
    <hyperlink ref="H6" r:id="rId1" xr:uid="{BF85DDF4-BEE5-442B-8AA8-239CA56F8E49}"/>
  </hyperlinks>
  <pageMargins left="0.7" right="0.7" top="0.75" bottom="0.75" header="0.3" footer="0.3"/>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D1D742-04C8-4F56-BE1B-4BA40E68ED82}">
  <sheetPr codeName="Sheet10">
    <tabColor theme="0" tint="-0.249977111117893"/>
  </sheetPr>
  <dimension ref="A3:AQ66"/>
  <sheetViews>
    <sheetView topLeftCell="A3" zoomScale="96" zoomScaleNormal="96" workbookViewId="0">
      <selection activeCell="D15" sqref="D15"/>
    </sheetView>
  </sheetViews>
  <sheetFormatPr baseColWidth="10" defaultColWidth="8.83203125" defaultRowHeight="13" x14ac:dyDescent="0.15"/>
  <cols>
    <col min="1" max="1" width="5.5" customWidth="1"/>
    <col min="2" max="2" width="27.83203125" bestFit="1" customWidth="1"/>
  </cols>
  <sheetData>
    <row r="3" spans="1:43" ht="20" x14ac:dyDescent="0.2">
      <c r="B3" s="90" t="s">
        <v>244</v>
      </c>
    </row>
    <row r="6" spans="1:43" ht="15" x14ac:dyDescent="0.2">
      <c r="B6" s="1" t="s">
        <v>240</v>
      </c>
      <c r="C6" s="86">
        <v>2010</v>
      </c>
      <c r="D6" s="86">
        <v>2011</v>
      </c>
      <c r="E6" s="86">
        <v>2012</v>
      </c>
      <c r="F6" s="86">
        <v>2013</v>
      </c>
      <c r="G6" s="86">
        <v>2014</v>
      </c>
      <c r="H6" s="86">
        <v>2015</v>
      </c>
      <c r="I6" s="86">
        <v>2016</v>
      </c>
      <c r="J6" s="86">
        <v>2017</v>
      </c>
      <c r="K6" s="88">
        <v>2018</v>
      </c>
      <c r="L6" s="86">
        <v>2019</v>
      </c>
      <c r="M6" s="86">
        <v>2020</v>
      </c>
      <c r="N6" s="86">
        <v>2021</v>
      </c>
      <c r="O6" s="86">
        <v>2022</v>
      </c>
      <c r="P6" s="86">
        <v>2023</v>
      </c>
      <c r="Q6" s="86">
        <v>2024</v>
      </c>
      <c r="R6" s="86">
        <v>2025</v>
      </c>
      <c r="S6" s="86">
        <v>2026</v>
      </c>
      <c r="T6" s="86">
        <v>2027</v>
      </c>
      <c r="U6" s="86">
        <v>2028</v>
      </c>
      <c r="V6" s="86">
        <v>2029</v>
      </c>
      <c r="W6" s="86">
        <v>2030</v>
      </c>
      <c r="X6" s="86">
        <v>2031</v>
      </c>
      <c r="Y6" s="86">
        <v>2032</v>
      </c>
      <c r="Z6" s="86">
        <v>2033</v>
      </c>
      <c r="AA6" s="86">
        <v>2034</v>
      </c>
      <c r="AB6" s="86">
        <v>2035</v>
      </c>
      <c r="AC6" s="86">
        <v>2036</v>
      </c>
      <c r="AD6" s="86">
        <v>2037</v>
      </c>
      <c r="AE6" s="86">
        <v>2038</v>
      </c>
      <c r="AF6" s="86">
        <v>2039</v>
      </c>
      <c r="AG6" s="86">
        <v>2040</v>
      </c>
      <c r="AH6" s="86">
        <v>2041</v>
      </c>
      <c r="AI6" s="86">
        <v>2042</v>
      </c>
      <c r="AJ6" s="86">
        <v>2043</v>
      </c>
      <c r="AK6" s="86">
        <v>2044</v>
      </c>
      <c r="AL6" s="86">
        <v>2045</v>
      </c>
      <c r="AM6" s="86">
        <v>2046</v>
      </c>
      <c r="AN6" s="86">
        <v>2047</v>
      </c>
      <c r="AO6" s="86">
        <v>2048</v>
      </c>
      <c r="AP6" s="86">
        <v>2049</v>
      </c>
      <c r="AQ6" s="86">
        <v>2050</v>
      </c>
    </row>
    <row r="7" spans="1:43" x14ac:dyDescent="0.15">
      <c r="A7" s="63" t="s">
        <v>246</v>
      </c>
      <c r="B7" t="s">
        <v>231</v>
      </c>
      <c r="C7">
        <v>340.30075256954802</v>
      </c>
      <c r="D7">
        <v>335.37497123501601</v>
      </c>
      <c r="E7">
        <v>343.63343525830197</v>
      </c>
      <c r="F7">
        <v>348.16283241518101</v>
      </c>
      <c r="G7">
        <v>326.72583100087098</v>
      </c>
      <c r="H7">
        <v>316.20581249728002</v>
      </c>
      <c r="I7">
        <v>310.81146132921799</v>
      </c>
      <c r="J7">
        <v>316.89668143311098</v>
      </c>
      <c r="K7" s="65">
        <v>289.60928509321502</v>
      </c>
      <c r="L7">
        <v>287.18794343757003</v>
      </c>
      <c r="M7">
        <v>287.73256143562003</v>
      </c>
      <c r="N7">
        <v>289.04919651703801</v>
      </c>
      <c r="O7">
        <v>275.10654315324001</v>
      </c>
      <c r="P7">
        <v>271.48373718553802</v>
      </c>
      <c r="Q7">
        <v>272.552121229043</v>
      </c>
      <c r="R7">
        <v>217.36878332154001</v>
      </c>
      <c r="S7">
        <v>191.927654746961</v>
      </c>
      <c r="T7">
        <v>165.59616070912</v>
      </c>
      <c r="U7">
        <v>132.21622316924899</v>
      </c>
      <c r="V7">
        <v>104.613947281604</v>
      </c>
      <c r="W7">
        <v>81.754819378508799</v>
      </c>
      <c r="X7">
        <v>58.24682815757</v>
      </c>
      <c r="Y7">
        <v>36.229757807218398</v>
      </c>
      <c r="Z7">
        <v>26.690551567513801</v>
      </c>
      <c r="AA7">
        <v>17.877985219193</v>
      </c>
      <c r="AB7">
        <v>15.952021455648399</v>
      </c>
      <c r="AC7">
        <v>13.751851233476801</v>
      </c>
      <c r="AD7">
        <v>12.137853074393201</v>
      </c>
      <c r="AE7">
        <v>10.661707512978801</v>
      </c>
      <c r="AF7">
        <v>9.3339374344665007</v>
      </c>
      <c r="AG7">
        <v>8.1030105306981302</v>
      </c>
      <c r="AH7">
        <v>7.2910062630343599</v>
      </c>
      <c r="AI7">
        <v>6.2318155037137801</v>
      </c>
      <c r="AJ7">
        <v>5.5738195553430803</v>
      </c>
      <c r="AK7">
        <v>4.6666213140707899</v>
      </c>
      <c r="AL7">
        <v>4.1218259732884697</v>
      </c>
      <c r="AM7">
        <v>3.6114017418548499</v>
      </c>
      <c r="AN7">
        <v>3.1835135116688802</v>
      </c>
      <c r="AO7">
        <v>2.7528223208160201</v>
      </c>
      <c r="AP7">
        <v>2.5870085112394698</v>
      </c>
      <c r="AQ7">
        <v>2.24146618824778</v>
      </c>
    </row>
    <row r="8" spans="1:43" x14ac:dyDescent="0.15">
      <c r="A8" s="63" t="s">
        <v>246</v>
      </c>
      <c r="B8" t="s">
        <v>232</v>
      </c>
      <c r="C8">
        <v>279.71071118901102</v>
      </c>
      <c r="D8">
        <v>270.690849053786</v>
      </c>
      <c r="E8">
        <v>258.65906757035799</v>
      </c>
      <c r="F8">
        <v>259.20695447402699</v>
      </c>
      <c r="G8">
        <v>255.591118429777</v>
      </c>
      <c r="H8">
        <v>253.807955376873</v>
      </c>
      <c r="I8">
        <v>248.39016572365699</v>
      </c>
      <c r="J8">
        <v>237.48843913906299</v>
      </c>
      <c r="K8" s="65">
        <v>224.25216231674199</v>
      </c>
      <c r="L8">
        <v>221.84776188751101</v>
      </c>
      <c r="M8">
        <v>218.85526937020899</v>
      </c>
      <c r="N8">
        <v>215.60416456457401</v>
      </c>
      <c r="O8">
        <v>211.12072817692399</v>
      </c>
      <c r="P8">
        <v>208.449458129546</v>
      </c>
      <c r="Q8">
        <v>205.85695683715801</v>
      </c>
      <c r="R8">
        <v>190.405187777778</v>
      </c>
      <c r="S8">
        <v>173.43706235294101</v>
      </c>
      <c r="T8">
        <v>155.90169131560901</v>
      </c>
      <c r="U8">
        <v>132.70891217778501</v>
      </c>
      <c r="V8">
        <v>112.006838891134</v>
      </c>
      <c r="W8">
        <v>93.4606080586357</v>
      </c>
      <c r="X8">
        <v>74.597139288292396</v>
      </c>
      <c r="Y8">
        <v>57.051329583805199</v>
      </c>
      <c r="Z8">
        <v>45.612352784440397</v>
      </c>
      <c r="AA8">
        <v>34.902000000000001</v>
      </c>
      <c r="AB8">
        <v>30.565999999999999</v>
      </c>
      <c r="AC8">
        <v>27.108000000000001</v>
      </c>
      <c r="AD8">
        <v>23.422000000000001</v>
      </c>
      <c r="AE8">
        <v>20.52</v>
      </c>
      <c r="AF8">
        <v>18.228000000000002</v>
      </c>
      <c r="AG8">
        <v>15.694000000000001</v>
      </c>
      <c r="AH8">
        <v>13.79</v>
      </c>
      <c r="AI8">
        <v>12</v>
      </c>
      <c r="AJ8">
        <v>10.71</v>
      </c>
      <c r="AK8">
        <v>9.52</v>
      </c>
      <c r="AL8">
        <v>8.1</v>
      </c>
      <c r="AM8">
        <v>7.0839999999999996</v>
      </c>
      <c r="AN8">
        <v>6.1740000000000004</v>
      </c>
      <c r="AO8">
        <v>5.6</v>
      </c>
      <c r="AP8">
        <v>4.7880000000000003</v>
      </c>
      <c r="AQ8">
        <v>4.3179999999999996</v>
      </c>
    </row>
    <row r="9" spans="1:43" x14ac:dyDescent="0.15">
      <c r="A9" s="63" t="s">
        <v>246</v>
      </c>
      <c r="B9" t="s">
        <v>233</v>
      </c>
      <c r="C9">
        <v>232.55034620154299</v>
      </c>
      <c r="D9">
        <v>233.881231011789</v>
      </c>
      <c r="E9">
        <v>227.04902694891001</v>
      </c>
      <c r="F9">
        <v>224.03679930621701</v>
      </c>
      <c r="G9">
        <v>235.11290209153401</v>
      </c>
      <c r="H9">
        <v>229.33356779492601</v>
      </c>
      <c r="I9">
        <v>216.508369821646</v>
      </c>
      <c r="J9">
        <v>213.59076625620301</v>
      </c>
      <c r="K9" s="65">
        <v>239.43156326405401</v>
      </c>
      <c r="L9">
        <v>237.83052712298399</v>
      </c>
      <c r="M9">
        <v>234.01740814231101</v>
      </c>
      <c r="N9">
        <v>231.66398529401499</v>
      </c>
      <c r="O9">
        <v>230.67485174981999</v>
      </c>
      <c r="P9">
        <v>228.83711957713101</v>
      </c>
      <c r="Q9">
        <v>229.31889841096299</v>
      </c>
      <c r="R9">
        <v>196.66144857414301</v>
      </c>
      <c r="S9">
        <v>183.75232296700401</v>
      </c>
      <c r="T9">
        <v>167.45273824658801</v>
      </c>
      <c r="U9">
        <v>147.80120052752801</v>
      </c>
      <c r="V9">
        <v>129.97383319564099</v>
      </c>
      <c r="W9">
        <v>113.757152565564</v>
      </c>
      <c r="X9">
        <v>98.882406970798201</v>
      </c>
      <c r="Y9">
        <v>84.199787741482396</v>
      </c>
      <c r="Z9">
        <v>72.648958138113301</v>
      </c>
      <c r="AA9">
        <v>61.852271824987199</v>
      </c>
      <c r="AB9">
        <v>50.900247109480901</v>
      </c>
      <c r="AC9">
        <v>40.809848733947597</v>
      </c>
      <c r="AD9">
        <v>31.136482638039599</v>
      </c>
      <c r="AE9">
        <v>22.380672947654698</v>
      </c>
      <c r="AF9">
        <v>16.853170695442302</v>
      </c>
      <c r="AG9">
        <v>11.7861195884706</v>
      </c>
      <c r="AH9">
        <v>10.4797101805199</v>
      </c>
      <c r="AI9">
        <v>9.2056111992744505</v>
      </c>
      <c r="AJ9">
        <v>7.9898496883312999</v>
      </c>
      <c r="AK9">
        <v>7.0262481417144498</v>
      </c>
      <c r="AL9">
        <v>6.1518380416241598</v>
      </c>
      <c r="AM9">
        <v>5.3630382139753801</v>
      </c>
      <c r="AN9">
        <v>4.80208384942883</v>
      </c>
      <c r="AO9">
        <v>4.2034708252154402</v>
      </c>
      <c r="AP9">
        <v>3.61768192448839</v>
      </c>
      <c r="AQ9">
        <v>3.1551110598868699</v>
      </c>
    </row>
    <row r="10" spans="1:43" ht="12.5" customHeight="1" x14ac:dyDescent="0.15">
      <c r="A10" s="63" t="s">
        <v>246</v>
      </c>
      <c r="B10" t="s">
        <v>234</v>
      </c>
      <c r="C10">
        <v>302.843358405054</v>
      </c>
      <c r="D10">
        <v>299.342689311171</v>
      </c>
      <c r="E10">
        <v>298.93173774982699</v>
      </c>
      <c r="F10">
        <v>304.14121107782501</v>
      </c>
      <c r="G10">
        <v>294.10490701978699</v>
      </c>
      <c r="H10">
        <v>287.71343541769801</v>
      </c>
      <c r="I10">
        <v>282.25174166420402</v>
      </c>
      <c r="J10">
        <v>283.21265588833103</v>
      </c>
      <c r="K10" s="65">
        <v>268.88118009632097</v>
      </c>
      <c r="L10">
        <v>266.06524544219099</v>
      </c>
      <c r="M10">
        <v>263.930296613672</v>
      </c>
      <c r="N10">
        <v>277.04526903134598</v>
      </c>
      <c r="O10">
        <v>260.95961323490201</v>
      </c>
      <c r="P10">
        <v>257.493178828721</v>
      </c>
      <c r="Q10">
        <v>258.289079672095</v>
      </c>
      <c r="R10">
        <v>211.37712554481899</v>
      </c>
      <c r="S10">
        <v>187.96679971389901</v>
      </c>
      <c r="T10">
        <v>164.17564720061301</v>
      </c>
      <c r="U10">
        <v>134.426607373563</v>
      </c>
      <c r="V10">
        <v>109.497711448091</v>
      </c>
      <c r="W10">
        <v>88.125862880659497</v>
      </c>
      <c r="X10">
        <v>66.917173778236503</v>
      </c>
      <c r="Y10">
        <v>46.930251840469303</v>
      </c>
      <c r="Z10">
        <v>36.952784637224298</v>
      </c>
      <c r="AA10">
        <v>27.586559567610699</v>
      </c>
      <c r="AB10">
        <v>23.843453734008801</v>
      </c>
      <c r="AC10">
        <v>20.215585198349899</v>
      </c>
      <c r="AD10">
        <v>17.031719408237699</v>
      </c>
      <c r="AE10">
        <v>14.1928727493219</v>
      </c>
      <c r="AF10">
        <v>12.0405194920294</v>
      </c>
      <c r="AG10">
        <v>9.9776488394367</v>
      </c>
      <c r="AH10">
        <v>8.8441383818707209</v>
      </c>
      <c r="AI10">
        <v>7.6264548417738602</v>
      </c>
      <c r="AJ10">
        <v>6.7779652737811897</v>
      </c>
      <c r="AK10">
        <v>5.8150368114845099</v>
      </c>
      <c r="AL10">
        <v>5.0767665524380101</v>
      </c>
      <c r="AM10">
        <v>4.4425175570198903</v>
      </c>
      <c r="AN10">
        <v>3.9146745080329102</v>
      </c>
      <c r="AO10">
        <v>3.43473035452288</v>
      </c>
      <c r="AP10">
        <v>3.0999615877960398</v>
      </c>
      <c r="AQ10">
        <v>2.7152177589126798</v>
      </c>
    </row>
    <row r="11" spans="1:43" ht="12.5" customHeight="1" x14ac:dyDescent="0.15">
      <c r="A11" s="63" t="s">
        <v>246</v>
      </c>
      <c r="B11" t="s">
        <v>239</v>
      </c>
      <c r="C11">
        <v>221.78746307046302</v>
      </c>
      <c r="D11">
        <v>219.48117848393764</v>
      </c>
      <c r="E11">
        <v>217.17489389741226</v>
      </c>
      <c r="F11">
        <v>214.86860931088688</v>
      </c>
      <c r="G11">
        <v>212.5623247243615</v>
      </c>
      <c r="H11">
        <v>210.25604013783612</v>
      </c>
      <c r="I11">
        <v>198.27239179276123</v>
      </c>
      <c r="J11">
        <v>186.28874344768633</v>
      </c>
      <c r="K11" s="65">
        <v>174.30509510261146</v>
      </c>
      <c r="L11">
        <v>162.32144675753656</v>
      </c>
      <c r="M11">
        <v>150.33779841246167</v>
      </c>
      <c r="N11">
        <v>147.13312548786433</v>
      </c>
      <c r="O11">
        <v>143.92845256326703</v>
      </c>
      <c r="P11">
        <v>140.7237796386697</v>
      </c>
      <c r="Q11">
        <v>137.51910671407239</v>
      </c>
      <c r="R11">
        <v>134.31443378947506</v>
      </c>
      <c r="S11">
        <v>131.09462859952592</v>
      </c>
      <c r="T11">
        <v>127.87482340957679</v>
      </c>
      <c r="U11">
        <v>124.65501821962766</v>
      </c>
      <c r="V11">
        <v>121.43521302967852</v>
      </c>
      <c r="W11">
        <v>118.21540783972939</v>
      </c>
      <c r="X11">
        <v>112.80705098087475</v>
      </c>
      <c r="Y11">
        <v>107.3986941220201</v>
      </c>
      <c r="Z11">
        <v>101.99033726316546</v>
      </c>
      <c r="AA11">
        <v>96.581980404310798</v>
      </c>
      <c r="AB11">
        <v>91.173623545456152</v>
      </c>
      <c r="AC11">
        <v>85.740560474128117</v>
      </c>
      <c r="AD11">
        <v>80.307497402800081</v>
      </c>
      <c r="AE11">
        <v>74.874434331472045</v>
      </c>
      <c r="AF11">
        <v>69.44137126014401</v>
      </c>
      <c r="AG11">
        <v>64.008308188815974</v>
      </c>
      <c r="AH11">
        <v>59.550485485533969</v>
      </c>
      <c r="AI11">
        <v>55.092662782251956</v>
      </c>
      <c r="AJ11">
        <v>50.634840078969951</v>
      </c>
      <c r="AK11">
        <v>46.177017375687939</v>
      </c>
      <c r="AL11">
        <v>41.719194672405933</v>
      </c>
      <c r="AM11">
        <v>38.955824766841815</v>
      </c>
      <c r="AN11">
        <v>36.192454861277696</v>
      </c>
      <c r="AO11">
        <v>33.429084955713577</v>
      </c>
      <c r="AP11">
        <v>30.665715050149458</v>
      </c>
      <c r="AQ11">
        <v>27.90234514458534</v>
      </c>
    </row>
    <row r="12" spans="1:43" x14ac:dyDescent="0.15">
      <c r="A12" s="63" t="s">
        <v>246</v>
      </c>
      <c r="B12" t="s">
        <v>245</v>
      </c>
      <c r="K12" s="65">
        <f>+K10</f>
        <v>268.88118009632097</v>
      </c>
      <c r="R12">
        <v>132.65</v>
      </c>
      <c r="W12">
        <v>107.49326946410154</v>
      </c>
      <c r="AG12">
        <v>50.085527269979693</v>
      </c>
      <c r="AQ12">
        <v>27.90234514458534</v>
      </c>
    </row>
    <row r="14" spans="1:43" x14ac:dyDescent="0.15">
      <c r="B14" s="1" t="s">
        <v>242</v>
      </c>
      <c r="C14">
        <v>2025</v>
      </c>
      <c r="D14">
        <v>2030</v>
      </c>
      <c r="E14">
        <v>2035</v>
      </c>
      <c r="F14">
        <v>2040</v>
      </c>
    </row>
    <row r="15" spans="1:43" x14ac:dyDescent="0.15">
      <c r="A15" s="63" t="s">
        <v>246</v>
      </c>
      <c r="B15" t="s">
        <v>231</v>
      </c>
      <c r="C15" s="87">
        <f>1-R7/$K7</f>
        <v>0.24944124891722086</v>
      </c>
      <c r="D15" s="87">
        <f>1-W7/$K7</f>
        <v>0.71770649773126305</v>
      </c>
      <c r="E15" s="87">
        <f>1-AB7/$K7</f>
        <v>0.94491881898567576</v>
      </c>
      <c r="F15" s="87">
        <f>1-AG7/$K7</f>
        <v>0.97202088832169153</v>
      </c>
    </row>
    <row r="16" spans="1:43" x14ac:dyDescent="0.15">
      <c r="A16" s="63" t="s">
        <v>246</v>
      </c>
      <c r="B16" t="s">
        <v>232</v>
      </c>
      <c r="C16" s="87">
        <f>1-R8/$K8</f>
        <v>0.15093265629767838</v>
      </c>
      <c r="D16" s="87">
        <f>1-W8/$K8</f>
        <v>0.58323430600134629</v>
      </c>
      <c r="E16" s="87">
        <f>1-AB8/$K8</f>
        <v>0.86369808128392778</v>
      </c>
      <c r="F16" s="87">
        <f>1-AG8/$K8</f>
        <v>0.93001628239448941</v>
      </c>
    </row>
    <row r="17" spans="1:6" x14ac:dyDescent="0.15">
      <c r="A17" s="63" t="s">
        <v>246</v>
      </c>
      <c r="B17" t="s">
        <v>233</v>
      </c>
      <c r="C17" s="87">
        <f>1-R9/$K9</f>
        <v>0.17863189842995986</v>
      </c>
      <c r="D17" s="87">
        <f>1-W9/$K9</f>
        <v>0.52488656460005489</v>
      </c>
      <c r="E17" s="87">
        <f>1-AB9/$K9</f>
        <v>0.78741212555444817</v>
      </c>
      <c r="F17" s="87">
        <f>1-AG9/$K9</f>
        <v>0.95077457864035897</v>
      </c>
    </row>
    <row r="18" spans="1:6" x14ac:dyDescent="0.15">
      <c r="A18" s="63" t="s">
        <v>246</v>
      </c>
      <c r="B18" t="s">
        <v>234</v>
      </c>
      <c r="C18" s="89">
        <f>1-R10/$K10</f>
        <v>0.21386418540301844</v>
      </c>
      <c r="D18" s="87">
        <f>1-W10/$K10</f>
        <v>0.67224979134244256</v>
      </c>
      <c r="E18" s="87">
        <f>1-AB10/$K10</f>
        <v>0.91132345623644095</v>
      </c>
      <c r="F18" s="87">
        <f>1-AG10/$K10</f>
        <v>0.96289197765398671</v>
      </c>
    </row>
    <row r="19" spans="1:6" x14ac:dyDescent="0.15">
      <c r="A19" s="63" t="s">
        <v>246</v>
      </c>
      <c r="B19" t="s">
        <v>239</v>
      </c>
      <c r="C19" s="89">
        <f>1-R11/$K11</f>
        <v>0.22942910125257299</v>
      </c>
      <c r="D19" s="87">
        <f>1-W11/$K11</f>
        <v>0.32179029092559053</v>
      </c>
      <c r="E19" s="87">
        <f>1-AB11/$K11</f>
        <v>0.4769308178181294</v>
      </c>
      <c r="F19" s="87">
        <f>1-AG11/$K11</f>
        <v>0.63278005068563825</v>
      </c>
    </row>
    <row r="20" spans="1:6" x14ac:dyDescent="0.15">
      <c r="A20" s="63" t="s">
        <v>246</v>
      </c>
    </row>
    <row r="21" spans="1:6" x14ac:dyDescent="0.15">
      <c r="B21" s="1" t="s">
        <v>241</v>
      </c>
      <c r="C21">
        <v>2025</v>
      </c>
      <c r="D21">
        <v>2030</v>
      </c>
      <c r="E21">
        <v>2035</v>
      </c>
      <c r="F21">
        <v>2040</v>
      </c>
    </row>
    <row r="22" spans="1:6" x14ac:dyDescent="0.15">
      <c r="A22" s="63" t="s">
        <v>246</v>
      </c>
      <c r="B22" t="s">
        <v>231</v>
      </c>
      <c r="C22" s="87">
        <f>1-R7/$M7</f>
        <v>0.24454576069877265</v>
      </c>
      <c r="D22" s="87">
        <f>1-W7/$M7</f>
        <v>0.71586525011073032</v>
      </c>
      <c r="E22" s="87">
        <f>1-AB7/$M7</f>
        <v>0.94455955427478566</v>
      </c>
      <c r="F22" s="87">
        <f>1-AG7/$M7</f>
        <v>0.97183839573015729</v>
      </c>
    </row>
    <row r="23" spans="1:6" x14ac:dyDescent="0.15">
      <c r="A23" s="63" t="s">
        <v>246</v>
      </c>
      <c r="B23" t="s">
        <v>232</v>
      </c>
      <c r="C23" s="87">
        <f>1-R8/$M8</f>
        <v>0.12999495819452123</v>
      </c>
      <c r="D23" s="87">
        <f>1-W8/$M8</f>
        <v>0.572957012515241</v>
      </c>
      <c r="E23" s="87">
        <f>1-AB8/$M8</f>
        <v>0.86033692454397581</v>
      </c>
      <c r="F23" s="87">
        <f>1-AG8/$M8</f>
        <v>0.92829050885929321</v>
      </c>
    </row>
    <row r="24" spans="1:6" x14ac:dyDescent="0.15">
      <c r="A24" s="63" t="s">
        <v>246</v>
      </c>
      <c r="B24" t="s">
        <v>233</v>
      </c>
      <c r="C24" s="87">
        <f>1-R9/$M9</f>
        <v>0.15962897745389537</v>
      </c>
      <c r="D24" s="87">
        <f>1-W9/$M9</f>
        <v>0.51389448559149142</v>
      </c>
      <c r="E24" s="87">
        <f>1-AB9/$M9</f>
        <v>0.78249375756470485</v>
      </c>
      <c r="F24" s="87">
        <f>1-AG9/$M9</f>
        <v>0.94963571435974881</v>
      </c>
    </row>
    <row r="25" spans="1:6" x14ac:dyDescent="0.15">
      <c r="A25" s="63" t="s">
        <v>246</v>
      </c>
      <c r="B25" t="s">
        <v>234</v>
      </c>
      <c r="C25" s="87">
        <f>1-R10/$M10</f>
        <v>0.19911761454872956</v>
      </c>
      <c r="D25" s="87">
        <f>1-W10/$M10</f>
        <v>0.66610175485213907</v>
      </c>
      <c r="E25" s="87">
        <f>1-AB10/$M10</f>
        <v>0.90966003509286519</v>
      </c>
      <c r="F25" s="87">
        <f>1-AG10/$M10</f>
        <v>0.96219589426657792</v>
      </c>
    </row>
    <row r="26" spans="1:6" x14ac:dyDescent="0.15">
      <c r="A26" s="63" t="s">
        <v>246</v>
      </c>
      <c r="B26" t="s">
        <v>239</v>
      </c>
      <c r="C26" s="87">
        <f>1-R11/$M11</f>
        <v>0.10658240836429866</v>
      </c>
      <c r="D26" s="87">
        <f>1-W11/$M11</f>
        <v>0.21366809220261673</v>
      </c>
      <c r="E26" s="87">
        <f>1-AB11/$M11</f>
        <v>0.3935415809714381</v>
      </c>
      <c r="F26" s="87">
        <f>1-AG11/$M11</f>
        <v>0.57423675971890342</v>
      </c>
    </row>
    <row r="27" spans="1:6" x14ac:dyDescent="0.15">
      <c r="A27" s="63" t="s">
        <v>246</v>
      </c>
    </row>
    <row r="28" spans="1:6" x14ac:dyDescent="0.15">
      <c r="B28" s="1" t="s">
        <v>243</v>
      </c>
      <c r="C28">
        <v>2025</v>
      </c>
      <c r="D28">
        <v>2030</v>
      </c>
      <c r="E28">
        <v>2035</v>
      </c>
      <c r="F28">
        <v>2040</v>
      </c>
    </row>
    <row r="29" spans="1:6" x14ac:dyDescent="0.15">
      <c r="A29" s="63" t="s">
        <v>246</v>
      </c>
      <c r="B29" t="s">
        <v>231</v>
      </c>
      <c r="C29" s="87">
        <f>1-R7/$O7</f>
        <v>0.20987417881783665</v>
      </c>
      <c r="D29" s="87">
        <f>1-W7/$O7</f>
        <v>0.70282488216585359</v>
      </c>
      <c r="E29" s="87">
        <f>1-AB7/$O7</f>
        <v>0.9420151143160459</v>
      </c>
      <c r="F29" s="87">
        <f>1-AG7/$O7</f>
        <v>0.97054591854551209</v>
      </c>
    </row>
    <row r="30" spans="1:6" x14ac:dyDescent="0.15">
      <c r="A30" s="63" t="s">
        <v>246</v>
      </c>
      <c r="B30" t="s">
        <v>232</v>
      </c>
      <c r="C30" s="87">
        <f>1-R8/$O8</f>
        <v>9.8121774105410897E-2</v>
      </c>
      <c r="D30" s="87">
        <f>1-W8/$O8</f>
        <v>0.55731202300366456</v>
      </c>
      <c r="E30" s="87">
        <f>1-AB8/$O8</f>
        <v>0.85522027958152458</v>
      </c>
      <c r="F30" s="87">
        <f>1-AG8/$O8</f>
        <v>0.9256633863689212</v>
      </c>
    </row>
    <row r="31" spans="1:6" x14ac:dyDescent="0.15">
      <c r="A31" s="63" t="s">
        <v>246</v>
      </c>
      <c r="B31" t="s">
        <v>233</v>
      </c>
      <c r="C31" s="87">
        <f>1-R9/$O9</f>
        <v>0.14745171793831457</v>
      </c>
      <c r="D31" s="87">
        <f>1-W9/$O9</f>
        <v>0.50685065275802099</v>
      </c>
      <c r="E31" s="87">
        <f>1-AB9/$O9</f>
        <v>0.77934201876204034</v>
      </c>
      <c r="F31" s="87">
        <f>1-AG9/$O9</f>
        <v>0.94890591887643949</v>
      </c>
    </row>
    <row r="32" spans="1:6" x14ac:dyDescent="0.15">
      <c r="A32" s="63" t="s">
        <v>246</v>
      </c>
      <c r="B32" t="s">
        <v>234</v>
      </c>
      <c r="C32" s="87">
        <f>1-R10/$O10</f>
        <v>0.19000061762603659</v>
      </c>
      <c r="D32" s="87">
        <f>1-W10/$O10</f>
        <v>0.66230076068769583</v>
      </c>
      <c r="E32" s="87">
        <f>1-AB10/$O10</f>
        <v>0.90863163292418669</v>
      </c>
      <c r="F32" s="87">
        <f>1-AG10/$O10</f>
        <v>0.96176554404050507</v>
      </c>
    </row>
    <row r="33" spans="1:43" x14ac:dyDescent="0.15">
      <c r="A33" s="63" t="s">
        <v>246</v>
      </c>
      <c r="B33" t="s">
        <v>239</v>
      </c>
      <c r="C33" s="87">
        <f>1-R11/$O11</f>
        <v>6.6797207936116099E-2</v>
      </c>
      <c r="D33" s="87">
        <f>1-W11/$O11</f>
        <v>0.17865157490132033</v>
      </c>
      <c r="E33" s="87">
        <f>1-AB11/$O11</f>
        <v>0.36653509489113201</v>
      </c>
      <c r="F33" s="87">
        <f>1-AG11/$O11</f>
        <v>0.55527689592382945</v>
      </c>
    </row>
    <row r="34" spans="1:43" x14ac:dyDescent="0.15">
      <c r="A34" s="63" t="s">
        <v>246</v>
      </c>
    </row>
    <row r="35" spans="1:43" x14ac:dyDescent="0.15">
      <c r="A35" s="63"/>
    </row>
    <row r="36" spans="1:43" x14ac:dyDescent="0.15">
      <c r="A36" s="63"/>
    </row>
    <row r="37" spans="1:43" x14ac:dyDescent="0.15">
      <c r="A37" s="63"/>
    </row>
    <row r="38" spans="1:43" x14ac:dyDescent="0.15">
      <c r="A38" s="63"/>
    </row>
    <row r="39" spans="1:43" ht="15" x14ac:dyDescent="0.2">
      <c r="B39" s="1" t="s">
        <v>240</v>
      </c>
      <c r="C39" s="86">
        <v>2010</v>
      </c>
      <c r="D39" s="86">
        <v>2011</v>
      </c>
      <c r="E39" s="86">
        <v>2012</v>
      </c>
      <c r="F39" s="86">
        <v>2013</v>
      </c>
      <c r="G39" s="86">
        <v>2014</v>
      </c>
      <c r="H39" s="86">
        <v>2015</v>
      </c>
      <c r="I39" s="86">
        <v>2016</v>
      </c>
      <c r="J39" s="86">
        <v>2017</v>
      </c>
      <c r="K39" s="86">
        <v>2018</v>
      </c>
      <c r="L39" s="86">
        <v>2019</v>
      </c>
      <c r="M39" s="86">
        <v>2020</v>
      </c>
      <c r="N39" s="86">
        <v>2021</v>
      </c>
      <c r="O39" s="86">
        <v>2022</v>
      </c>
      <c r="P39" s="86">
        <v>2023</v>
      </c>
      <c r="Q39" s="86">
        <v>2024</v>
      </c>
      <c r="R39" s="86">
        <v>2025</v>
      </c>
      <c r="S39" s="86">
        <v>2026</v>
      </c>
      <c r="T39" s="86">
        <v>2027</v>
      </c>
      <c r="U39" s="86">
        <v>2028</v>
      </c>
      <c r="V39" s="86">
        <v>2029</v>
      </c>
      <c r="W39" s="86">
        <v>2030</v>
      </c>
      <c r="X39" s="86">
        <v>2031</v>
      </c>
      <c r="Y39" s="86">
        <v>2032</v>
      </c>
      <c r="Z39" s="86">
        <v>2033</v>
      </c>
      <c r="AA39" s="86">
        <v>2034</v>
      </c>
      <c r="AB39" s="86">
        <v>2035</v>
      </c>
      <c r="AC39" s="86">
        <v>2036</v>
      </c>
      <c r="AD39" s="86">
        <v>2037</v>
      </c>
      <c r="AE39" s="86">
        <v>2038</v>
      </c>
      <c r="AF39" s="86">
        <v>2039</v>
      </c>
      <c r="AG39" s="86">
        <v>2040</v>
      </c>
      <c r="AH39" s="86">
        <v>2041</v>
      </c>
      <c r="AI39" s="86">
        <v>2042</v>
      </c>
      <c r="AJ39" s="86">
        <v>2043</v>
      </c>
      <c r="AK39" s="86">
        <v>2044</v>
      </c>
      <c r="AL39" s="86">
        <v>2045</v>
      </c>
      <c r="AM39" s="86">
        <v>2046</v>
      </c>
      <c r="AN39" s="86">
        <v>2047</v>
      </c>
      <c r="AO39" s="86">
        <v>2048</v>
      </c>
      <c r="AP39" s="86">
        <v>2049</v>
      </c>
      <c r="AQ39" s="86">
        <v>2050</v>
      </c>
    </row>
    <row r="40" spans="1:43" x14ac:dyDescent="0.15">
      <c r="A40" s="63" t="s">
        <v>247</v>
      </c>
      <c r="B40" t="s">
        <v>231</v>
      </c>
      <c r="C40">
        <v>261.07568290944147</v>
      </c>
      <c r="D40">
        <v>260.16535182239909</v>
      </c>
      <c r="E40">
        <v>255.29151448592049</v>
      </c>
      <c r="F40">
        <v>255.01145752690707</v>
      </c>
      <c r="G40">
        <v>249.53040535484061</v>
      </c>
      <c r="H40">
        <v>248.86306937555864</v>
      </c>
      <c r="I40">
        <v>248.60716092272358</v>
      </c>
      <c r="J40">
        <v>250.01979433186656</v>
      </c>
      <c r="K40">
        <v>238.73058348078573</v>
      </c>
      <c r="L40">
        <v>235.93468477095647</v>
      </c>
      <c r="M40">
        <v>232.14998753297175</v>
      </c>
      <c r="N40">
        <v>215.62348128573672</v>
      </c>
      <c r="O40">
        <v>221.29898819996367</v>
      </c>
      <c r="P40">
        <v>217.33601871485342</v>
      </c>
      <c r="Q40">
        <v>213.76394176787156</v>
      </c>
      <c r="R40">
        <v>167.57476675842426</v>
      </c>
      <c r="S40">
        <v>139.95352338331097</v>
      </c>
      <c r="T40">
        <v>111.02840578537005</v>
      </c>
      <c r="U40">
        <v>82.219394440830385</v>
      </c>
      <c r="V40">
        <v>51.733234900405726</v>
      </c>
      <c r="W40">
        <v>26.611125851299789</v>
      </c>
      <c r="X40">
        <v>22.932413319214955</v>
      </c>
      <c r="Y40">
        <v>19.80485717711872</v>
      </c>
      <c r="Z40">
        <v>17.32107126833402</v>
      </c>
      <c r="AA40">
        <v>15.114270809549843</v>
      </c>
      <c r="AB40">
        <v>13.329420126049902</v>
      </c>
      <c r="AC40">
        <v>11.463697186043525</v>
      </c>
      <c r="AD40">
        <v>10.049531523435171</v>
      </c>
      <c r="AE40">
        <v>8.7171681124704374</v>
      </c>
      <c r="AF40">
        <v>7.6520309782847624</v>
      </c>
      <c r="AG40">
        <v>6.6407650236304141</v>
      </c>
      <c r="AH40">
        <v>5.7922618019932797</v>
      </c>
      <c r="AI40">
        <v>5.0072695241543856</v>
      </c>
      <c r="AJ40">
        <v>4.4248765424397396</v>
      </c>
      <c r="AK40">
        <v>3.7581542388609939</v>
      </c>
      <c r="AL40">
        <v>3.2710660179735922</v>
      </c>
      <c r="AM40">
        <v>2.8481980576211545</v>
      </c>
      <c r="AN40">
        <v>2.52657474622404</v>
      </c>
      <c r="AO40">
        <v>2.1706066839001892</v>
      </c>
      <c r="AP40">
        <v>1.9601356445024503</v>
      </c>
      <c r="AQ40">
        <v>1.7106363774012181</v>
      </c>
    </row>
    <row r="41" spans="1:43" x14ac:dyDescent="0.15">
      <c r="A41" s="63" t="s">
        <v>247</v>
      </c>
      <c r="B41" t="s">
        <v>232</v>
      </c>
      <c r="C41">
        <v>293.71955438792793</v>
      </c>
      <c r="D41">
        <v>294.83566821060805</v>
      </c>
      <c r="E41">
        <v>292.06312863055479</v>
      </c>
      <c r="F41">
        <v>289.54827607166635</v>
      </c>
      <c r="G41">
        <v>281.88938367211824</v>
      </c>
      <c r="H41">
        <v>278.37391203574856</v>
      </c>
      <c r="I41">
        <v>271.14128773720796</v>
      </c>
      <c r="J41">
        <v>271.25559556742309</v>
      </c>
      <c r="K41">
        <v>214.22772364899902</v>
      </c>
      <c r="L41">
        <v>212.53408294502432</v>
      </c>
      <c r="M41">
        <v>210.17615130194369</v>
      </c>
      <c r="N41">
        <v>203.03322245702532</v>
      </c>
      <c r="O41">
        <v>194.85004787076807</v>
      </c>
      <c r="P41">
        <v>190.3109528872333</v>
      </c>
      <c r="Q41">
        <v>186.62379567727038</v>
      </c>
      <c r="R41">
        <v>149.55110183000923</v>
      </c>
      <c r="S41">
        <v>127.96232736706588</v>
      </c>
      <c r="T41">
        <v>106.63769366024253</v>
      </c>
      <c r="U41">
        <v>85.812407706535538</v>
      </c>
      <c r="V41">
        <v>61.945519137955387</v>
      </c>
      <c r="W41">
        <v>46.045015011859583</v>
      </c>
      <c r="X41">
        <v>40.308840368800716</v>
      </c>
      <c r="Y41">
        <v>35.498845040514183</v>
      </c>
      <c r="Z41">
        <v>30.988150258156637</v>
      </c>
      <c r="AA41">
        <v>26.884286666295292</v>
      </c>
      <c r="AB41">
        <v>23.463634486326349</v>
      </c>
      <c r="AC41">
        <v>20.780657464446534</v>
      </c>
      <c r="AD41">
        <v>17.897789671425908</v>
      </c>
      <c r="AE41">
        <v>15.614261444403988</v>
      </c>
      <c r="AF41">
        <v>13.811327030473045</v>
      </c>
      <c r="AG41">
        <v>11.854606259823051</v>
      </c>
      <c r="AH41">
        <v>10.37174482464239</v>
      </c>
      <c r="AI41">
        <v>9.0222038857372553</v>
      </c>
      <c r="AJ41">
        <v>8.0295090438199868</v>
      </c>
      <c r="AK41">
        <v>7.1280415259743481</v>
      </c>
      <c r="AL41">
        <v>6.0395214968934781</v>
      </c>
      <c r="AM41">
        <v>5.2594370854456347</v>
      </c>
      <c r="AN41">
        <v>4.5793892826303013</v>
      </c>
      <c r="AO41">
        <v>4.1283364742711628</v>
      </c>
      <c r="AP41">
        <v>3.5269774211968357</v>
      </c>
      <c r="AQ41">
        <v>3.1727920363531217</v>
      </c>
    </row>
    <row r="42" spans="1:43" x14ac:dyDescent="0.15">
      <c r="A42" s="63" t="s">
        <v>247</v>
      </c>
      <c r="B42" t="s">
        <v>233</v>
      </c>
      <c r="C42">
        <v>252.73450695128761</v>
      </c>
      <c r="D42">
        <v>251.69086304076723</v>
      </c>
      <c r="E42">
        <v>245.76427911319212</v>
      </c>
      <c r="F42">
        <v>244.90293756987035</v>
      </c>
      <c r="G42">
        <v>239.36650355882313</v>
      </c>
      <c r="H42">
        <v>235.17833508921669</v>
      </c>
      <c r="I42">
        <v>234.82070741551826</v>
      </c>
      <c r="J42">
        <v>235.57599160885013</v>
      </c>
      <c r="K42">
        <v>221.02018631403854</v>
      </c>
      <c r="L42">
        <v>218.93391462698133</v>
      </c>
      <c r="M42">
        <v>218.26333454110687</v>
      </c>
      <c r="N42">
        <v>215.61336612318459</v>
      </c>
      <c r="O42">
        <v>213.23000775040833</v>
      </c>
      <c r="P42">
        <v>210.203956990872</v>
      </c>
      <c r="Q42">
        <v>207.38618626028517</v>
      </c>
      <c r="R42">
        <v>195.1809162571368</v>
      </c>
      <c r="S42">
        <v>157.03711685851232</v>
      </c>
      <c r="T42">
        <v>115.83463262565672</v>
      </c>
      <c r="U42">
        <v>101.83691693330015</v>
      </c>
      <c r="V42">
        <v>78.800532160540499</v>
      </c>
      <c r="W42">
        <v>67.848368750270694</v>
      </c>
      <c r="X42">
        <v>58.880284012317894</v>
      </c>
      <c r="Y42">
        <v>50.287956710449627</v>
      </c>
      <c r="Z42">
        <v>42.057888741878962</v>
      </c>
      <c r="AA42">
        <v>34.577979006762035</v>
      </c>
      <c r="AB42">
        <v>27.427407321985086</v>
      </c>
      <c r="AC42">
        <v>22.616663957258716</v>
      </c>
      <c r="AD42">
        <v>18.837569626435123</v>
      </c>
      <c r="AE42">
        <v>15.696390510334382</v>
      </c>
      <c r="AF42">
        <v>12.612894627340445</v>
      </c>
      <c r="AG42">
        <v>9.9118266988721437</v>
      </c>
      <c r="AH42">
        <v>8.7016901155233306</v>
      </c>
      <c r="AI42">
        <v>7.6549186930992263</v>
      </c>
      <c r="AJ42">
        <v>6.6272961585664136</v>
      </c>
      <c r="AK42">
        <v>5.7953138019731743</v>
      </c>
      <c r="AL42">
        <v>5.0508299471343259</v>
      </c>
      <c r="AM42">
        <v>4.4141092121304517</v>
      </c>
      <c r="AN42">
        <v>3.9473028461140531</v>
      </c>
      <c r="AO42">
        <v>3.3978577231240257</v>
      </c>
      <c r="AP42">
        <v>2.951253871186494</v>
      </c>
      <c r="AQ42">
        <v>2.5533341274394914</v>
      </c>
    </row>
    <row r="43" spans="1:43" ht="12.5" customHeight="1" x14ac:dyDescent="0.15">
      <c r="A43" s="63" t="s">
        <v>247</v>
      </c>
      <c r="B43" t="s">
        <v>234</v>
      </c>
      <c r="C43">
        <v>259.74790695366477</v>
      </c>
      <c r="D43">
        <v>258.82136630227137</v>
      </c>
      <c r="E43">
        <v>253.86853870043194</v>
      </c>
      <c r="F43">
        <v>253.59047329551967</v>
      </c>
      <c r="G43">
        <v>248.36349713709598</v>
      </c>
      <c r="H43">
        <v>246.93677743301953</v>
      </c>
      <c r="I43">
        <v>246.57152082435294</v>
      </c>
      <c r="J43">
        <v>247.62308103714534</v>
      </c>
      <c r="K43">
        <v>230.95187602497427</v>
      </c>
      <c r="L43">
        <v>228.63422094779008</v>
      </c>
      <c r="M43">
        <v>225.13916747786843</v>
      </c>
      <c r="N43">
        <v>215.48285417590279</v>
      </c>
      <c r="O43">
        <v>218.08195888401897</v>
      </c>
      <c r="P43">
        <v>214.03032596882377</v>
      </c>
      <c r="Q43">
        <v>210.72249561820811</v>
      </c>
      <c r="R43">
        <v>174.49509079914841</v>
      </c>
      <c r="S43">
        <v>144.8387244832758</v>
      </c>
      <c r="T43">
        <v>111.49549562754237</v>
      </c>
      <c r="U43">
        <v>89.032962329441517</v>
      </c>
      <c r="V43">
        <v>62.400787240603606</v>
      </c>
      <c r="W43">
        <v>44.292462574498913</v>
      </c>
      <c r="X43">
        <v>36.987670858359515</v>
      </c>
      <c r="Y43">
        <v>31.850870447567068</v>
      </c>
      <c r="Z43">
        <v>27.255977956538317</v>
      </c>
      <c r="AA43">
        <v>23.14593943414647</v>
      </c>
      <c r="AB43">
        <v>19.356402562217351</v>
      </c>
      <c r="AC43">
        <v>16.21429459126939</v>
      </c>
      <c r="AD43">
        <v>13.866266740945347</v>
      </c>
      <c r="AE43">
        <v>11.810656179365555</v>
      </c>
      <c r="AF43">
        <v>9.9552991373072768</v>
      </c>
      <c r="AG43">
        <v>8.2498690456876496</v>
      </c>
      <c r="AH43">
        <v>7.4333997752360972</v>
      </c>
      <c r="AI43">
        <v>6.5053804296953111</v>
      </c>
      <c r="AJ43">
        <v>5.7066171882095302</v>
      </c>
      <c r="AK43">
        <v>4.9581165976632624</v>
      </c>
      <c r="AL43">
        <v>4.3042218062738167</v>
      </c>
      <c r="AM43">
        <v>3.7772529538631692</v>
      </c>
      <c r="AN43">
        <v>3.362402637421019</v>
      </c>
      <c r="AO43">
        <v>2.9127943525782931</v>
      </c>
      <c r="AP43">
        <v>2.5591031015974415</v>
      </c>
      <c r="AQ43">
        <v>2.2344028108858289</v>
      </c>
    </row>
    <row r="44" spans="1:43" ht="12.5" customHeight="1" x14ac:dyDescent="0.15">
      <c r="A44" s="63" t="s">
        <v>247</v>
      </c>
      <c r="B44" t="s">
        <v>239</v>
      </c>
      <c r="C44">
        <v>221.78746307046302</v>
      </c>
      <c r="D44">
        <v>219.48117848393764</v>
      </c>
      <c r="E44">
        <v>217.17489389741226</v>
      </c>
      <c r="F44">
        <v>214.86860931088688</v>
      </c>
      <c r="G44">
        <v>212.5623247243615</v>
      </c>
      <c r="H44">
        <v>210.25604013783612</v>
      </c>
      <c r="I44">
        <v>198.27239179276123</v>
      </c>
      <c r="J44">
        <v>186.28874344768633</v>
      </c>
      <c r="K44">
        <v>174.30509510261146</v>
      </c>
      <c r="L44">
        <v>162.32144675753656</v>
      </c>
      <c r="M44">
        <v>150.33779841246167</v>
      </c>
      <c r="N44">
        <v>147.13312548786433</v>
      </c>
      <c r="O44">
        <v>143.92845256326703</v>
      </c>
      <c r="P44">
        <v>140.7237796386697</v>
      </c>
      <c r="Q44">
        <v>137.51910671407239</v>
      </c>
      <c r="R44">
        <v>134.31443378947506</v>
      </c>
      <c r="S44">
        <v>131.09462859952592</v>
      </c>
      <c r="T44">
        <v>127.87482340957679</v>
      </c>
      <c r="U44">
        <v>124.65501821962766</v>
      </c>
      <c r="V44">
        <v>121.43521302967852</v>
      </c>
      <c r="W44">
        <v>118.21540783972939</v>
      </c>
      <c r="X44">
        <v>112.80705098087475</v>
      </c>
      <c r="Y44">
        <v>107.3986941220201</v>
      </c>
      <c r="Z44">
        <v>101.99033726316546</v>
      </c>
      <c r="AA44">
        <v>96.581980404310798</v>
      </c>
      <c r="AB44">
        <v>91.173623545456152</v>
      </c>
      <c r="AC44">
        <v>85.740560474128117</v>
      </c>
      <c r="AD44">
        <v>80.307497402800081</v>
      </c>
      <c r="AE44">
        <v>74.874434331472045</v>
      </c>
      <c r="AF44">
        <v>69.44137126014401</v>
      </c>
      <c r="AG44">
        <v>64.008308188815974</v>
      </c>
      <c r="AH44">
        <v>59.550485485533969</v>
      </c>
      <c r="AI44">
        <v>55.092662782251956</v>
      </c>
      <c r="AJ44">
        <v>50.634840078969951</v>
      </c>
      <c r="AK44">
        <v>46.177017375687939</v>
      </c>
      <c r="AL44">
        <v>41.719194672405933</v>
      </c>
      <c r="AM44">
        <v>38.955824766841815</v>
      </c>
      <c r="AN44">
        <v>36.192454861277696</v>
      </c>
      <c r="AO44">
        <v>33.429084955713577</v>
      </c>
      <c r="AP44">
        <v>30.665715050149458</v>
      </c>
      <c r="AQ44">
        <v>27.90234514458534</v>
      </c>
    </row>
    <row r="45" spans="1:43" x14ac:dyDescent="0.15">
      <c r="A45" s="63" t="s">
        <v>247</v>
      </c>
      <c r="B45" t="s">
        <v>248</v>
      </c>
      <c r="I45">
        <f t="shared" ref="I45" si="0">+I43</f>
        <v>246.57152082435294</v>
      </c>
      <c r="R45">
        <v>123.3</v>
      </c>
      <c r="W45">
        <v>100.4</v>
      </c>
      <c r="AG45">
        <v>48</v>
      </c>
      <c r="AQ45">
        <v>27.90234514458534</v>
      </c>
    </row>
    <row r="47" spans="1:43" x14ac:dyDescent="0.15">
      <c r="B47" s="1" t="s">
        <v>249</v>
      </c>
      <c r="C47">
        <v>2025</v>
      </c>
      <c r="D47">
        <v>2030</v>
      </c>
      <c r="E47">
        <v>2035</v>
      </c>
      <c r="F47">
        <v>2040</v>
      </c>
    </row>
    <row r="48" spans="1:43" x14ac:dyDescent="0.15">
      <c r="A48" s="63" t="s">
        <v>247</v>
      </c>
      <c r="B48" t="s">
        <v>231</v>
      </c>
      <c r="C48" s="87">
        <f>1-R40/$K40</f>
        <v>0.29805907431248102</v>
      </c>
      <c r="D48" s="87">
        <f>1-W40/$K40</f>
        <v>0.88853072168928204</v>
      </c>
      <c r="E48" s="87">
        <f>1-AB40/$K40</f>
        <v>0.94416542727076813</v>
      </c>
      <c r="F48" s="87">
        <f>1-AG40/$K40</f>
        <v>0.97218301515119909</v>
      </c>
    </row>
    <row r="49" spans="1:6" x14ac:dyDescent="0.15">
      <c r="A49" s="63" t="s">
        <v>247</v>
      </c>
      <c r="B49" t="s">
        <v>232</v>
      </c>
      <c r="C49" s="87">
        <f>1-R41/$K41</f>
        <v>0.30190593783724773</v>
      </c>
      <c r="D49" s="87">
        <f>1-W41/$K41</f>
        <v>0.78506509695588256</v>
      </c>
      <c r="E49" s="87">
        <f>1-AB41/$K41</f>
        <v>0.89047339864951236</v>
      </c>
      <c r="F49" s="87">
        <f>1-AG41/$K41</f>
        <v>0.94466352880056648</v>
      </c>
    </row>
    <row r="50" spans="1:6" x14ac:dyDescent="0.15">
      <c r="A50" s="63" t="s">
        <v>247</v>
      </c>
      <c r="B50" t="s">
        <v>233</v>
      </c>
      <c r="C50" s="87">
        <f>1-R42/$K42</f>
        <v>0.11690909544428574</v>
      </c>
      <c r="D50" s="87">
        <f>1-W42/$K42</f>
        <v>0.69302184618617724</v>
      </c>
      <c r="E50" s="87">
        <f>1-AB42/$K42</f>
        <v>0.87590541941262046</v>
      </c>
      <c r="F50" s="87">
        <f>1-AG42/$K42</f>
        <v>0.95515420168550202</v>
      </c>
    </row>
    <row r="51" spans="1:6" x14ac:dyDescent="0.15">
      <c r="A51" s="63" t="s">
        <v>247</v>
      </c>
      <c r="B51" t="s">
        <v>234</v>
      </c>
      <c r="C51" s="91">
        <f>1-R43/$I43</f>
        <v>0.29231449676034849</v>
      </c>
      <c r="D51" s="87">
        <f>1-W43/$K43</f>
        <v>0.80821778399535804</v>
      </c>
      <c r="E51" s="87">
        <f>1-AB43/$K43</f>
        <v>0.91618858917550328</v>
      </c>
      <c r="F51" s="87">
        <f>1-AG43/$K43</f>
        <v>0.96427883943754789</v>
      </c>
    </row>
    <row r="52" spans="1:6" x14ac:dyDescent="0.15">
      <c r="A52" s="63" t="s">
        <v>247</v>
      </c>
      <c r="B52" t="s">
        <v>239</v>
      </c>
      <c r="C52" s="91">
        <f>1-R44/$I44</f>
        <v>0.32257621661283264</v>
      </c>
      <c r="D52" s="87">
        <f>1-W44/$K44</f>
        <v>0.32179029092559053</v>
      </c>
      <c r="E52" s="87">
        <f>1-AB44/$K44</f>
        <v>0.4769308178181294</v>
      </c>
      <c r="F52" s="87">
        <f>1-AG44/$K44</f>
        <v>0.63278005068563825</v>
      </c>
    </row>
    <row r="53" spans="1:6" x14ac:dyDescent="0.15">
      <c r="A53" s="63"/>
    </row>
    <row r="54" spans="1:6" x14ac:dyDescent="0.15">
      <c r="B54" s="1" t="s">
        <v>241</v>
      </c>
      <c r="C54">
        <v>2025</v>
      </c>
      <c r="D54">
        <v>2030</v>
      </c>
      <c r="E54">
        <v>2035</v>
      </c>
      <c r="F54">
        <v>2040</v>
      </c>
    </row>
    <row r="55" spans="1:6" x14ac:dyDescent="0.15">
      <c r="A55" s="63" t="s">
        <v>247</v>
      </c>
      <c r="B55" t="s">
        <v>231</v>
      </c>
      <c r="C55" s="87">
        <f>1-R40/$M40</f>
        <v>0.278161637916849</v>
      </c>
      <c r="D55" s="87">
        <f>1-W40/$M40</f>
        <v>0.88537097876208037</v>
      </c>
      <c r="E55" s="87">
        <f>1-AB40/$M40</f>
        <v>0.94258272305891566</v>
      </c>
      <c r="F55" s="87">
        <f>1-AG40/$M40</f>
        <v>0.97139450622332146</v>
      </c>
    </row>
    <row r="56" spans="1:6" x14ac:dyDescent="0.15">
      <c r="A56" s="63" t="s">
        <v>247</v>
      </c>
      <c r="B56" t="s">
        <v>232</v>
      </c>
      <c r="C56" s="87">
        <f>1-R41/$M41</f>
        <v>0.28844875641879641</v>
      </c>
      <c r="D56" s="87">
        <f>1-W41/$M41</f>
        <v>0.78092179000028272</v>
      </c>
      <c r="E56" s="87">
        <f>1-AB41/$M41</f>
        <v>0.88836205087503972</v>
      </c>
      <c r="F56" s="87">
        <f>1-AG41/$M41</f>
        <v>0.94359680588692263</v>
      </c>
    </row>
    <row r="57" spans="1:6" x14ac:dyDescent="0.15">
      <c r="A57" s="63" t="s">
        <v>247</v>
      </c>
      <c r="B57" t="s">
        <v>233</v>
      </c>
      <c r="C57" s="87">
        <f>1-R42/$M42</f>
        <v>0.1057549053417528</v>
      </c>
      <c r="D57" s="87">
        <f>1-W42/$M42</f>
        <v>0.68914445070254171</v>
      </c>
      <c r="E57" s="87">
        <f>1-AB42/$M42</f>
        <v>0.87433799918960042</v>
      </c>
      <c r="F57" s="87">
        <f>1-AG42/$M42</f>
        <v>0.95458776106526777</v>
      </c>
    </row>
    <row r="58" spans="1:6" x14ac:dyDescent="0.15">
      <c r="A58" s="63" t="s">
        <v>247</v>
      </c>
      <c r="B58" t="s">
        <v>234</v>
      </c>
      <c r="C58" s="87">
        <f>1-R43/$M43</f>
        <v>0.22494565137671307</v>
      </c>
      <c r="D58" s="87">
        <f>1-W43/$M43</f>
        <v>0.80326629492910007</v>
      </c>
      <c r="E58" s="87">
        <f>1-AB43/$M43</f>
        <v>0.91402472177960714</v>
      </c>
      <c r="F58" s="87">
        <f>1-AG43/$M43</f>
        <v>0.96335658011838998</v>
      </c>
    </row>
    <row r="59" spans="1:6" x14ac:dyDescent="0.15">
      <c r="A59" s="63" t="s">
        <v>247</v>
      </c>
      <c r="B59" t="s">
        <v>239</v>
      </c>
      <c r="C59" s="87">
        <f>1-R44/$M44</f>
        <v>0.10658240836429866</v>
      </c>
      <c r="D59" s="87">
        <f>1-W44/$M44</f>
        <v>0.21366809220261673</v>
      </c>
      <c r="E59" s="87">
        <f>1-AB44/$M44</f>
        <v>0.3935415809714381</v>
      </c>
      <c r="F59" s="87">
        <f>1-AG44/$M44</f>
        <v>0.57423675971890342</v>
      </c>
    </row>
    <row r="60" spans="1:6" x14ac:dyDescent="0.15">
      <c r="A60" s="63"/>
    </row>
    <row r="61" spans="1:6" x14ac:dyDescent="0.15">
      <c r="B61" s="1" t="s">
        <v>243</v>
      </c>
      <c r="C61">
        <v>2025</v>
      </c>
      <c r="D61">
        <v>2030</v>
      </c>
      <c r="E61">
        <v>2035</v>
      </c>
      <c r="F61">
        <v>2040</v>
      </c>
    </row>
    <row r="62" spans="1:6" x14ac:dyDescent="0.15">
      <c r="A62" s="63" t="s">
        <v>247</v>
      </c>
      <c r="B62" t="s">
        <v>231</v>
      </c>
      <c r="C62" s="87">
        <f>1-R40/$O40</f>
        <v>0.24276758731944459</v>
      </c>
      <c r="D62" s="87">
        <f>1-W40/$O40</f>
        <v>0.87975035011342106</v>
      </c>
      <c r="E62" s="87">
        <f>1-AB40/$O40</f>
        <v>0.93976736977213127</v>
      </c>
      <c r="F62" s="87">
        <f>1-AG40/$O40</f>
        <v>0.96999188709516426</v>
      </c>
    </row>
    <row r="63" spans="1:6" x14ac:dyDescent="0.15">
      <c r="A63" s="63" t="s">
        <v>247</v>
      </c>
      <c r="B63" t="s">
        <v>232</v>
      </c>
      <c r="C63" s="87">
        <f>1-R41/$O41</f>
        <v>0.23248106190254991</v>
      </c>
      <c r="D63" s="87">
        <f>1-W41/$O41</f>
        <v>0.7636899989760414</v>
      </c>
      <c r="E63" s="87">
        <f>1-AB41/$O41</f>
        <v>0.87958106891568066</v>
      </c>
      <c r="F63" s="87">
        <f>1-AG41/$O41</f>
        <v>0.93916036260003655</v>
      </c>
    </row>
    <row r="64" spans="1:6" x14ac:dyDescent="0.15">
      <c r="A64" s="63" t="s">
        <v>247</v>
      </c>
      <c r="B64" t="s">
        <v>233</v>
      </c>
      <c r="C64" s="87">
        <f>1-R42/$O42</f>
        <v>8.4646113760866615E-2</v>
      </c>
      <c r="D64" s="87">
        <f>1-W42/$O42</f>
        <v>0.6818066581431208</v>
      </c>
      <c r="E64" s="87">
        <f>1-AB42/$O42</f>
        <v>0.87137172853227285</v>
      </c>
      <c r="F64" s="87">
        <f>1-AG42/$O42</f>
        <v>0.95351579825258825</v>
      </c>
    </row>
    <row r="65" spans="1:6" x14ac:dyDescent="0.15">
      <c r="A65" s="63" t="s">
        <v>247</v>
      </c>
      <c r="B65" t="s">
        <v>234</v>
      </c>
      <c r="C65" s="87">
        <f>1-R43/$O43</f>
        <v>0.19986462111728853</v>
      </c>
      <c r="D65" s="87">
        <f>1-W43/$O43</f>
        <v>0.79689992330794013</v>
      </c>
      <c r="E65" s="87">
        <f>1-AB43/$O43</f>
        <v>0.91124253165521352</v>
      </c>
      <c r="F65" s="87">
        <f>1-AG43/$O43</f>
        <v>0.96217078621310848</v>
      </c>
    </row>
    <row r="66" spans="1:6" x14ac:dyDescent="0.15">
      <c r="A66" s="63" t="s">
        <v>247</v>
      </c>
      <c r="B66" t="s">
        <v>239</v>
      </c>
      <c r="C66" s="87">
        <f>1-R44/$O44</f>
        <v>6.6797207936116099E-2</v>
      </c>
      <c r="D66" s="87">
        <f>1-W44/$O44</f>
        <v>0.17865157490132033</v>
      </c>
      <c r="E66" s="87">
        <f>1-AB44/$O44</f>
        <v>0.36653509489113201</v>
      </c>
      <c r="F66" s="87">
        <f>1-AG44/$O44</f>
        <v>0.55527689592382945</v>
      </c>
    </row>
  </sheetData>
  <phoneticPr fontId="45" type="noConversion"/>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7">
    <tabColor rgb="FFFF0000"/>
  </sheetPr>
  <dimension ref="B1:O48"/>
  <sheetViews>
    <sheetView topLeftCell="C1" zoomScale="90" zoomScaleNormal="90" workbookViewId="0">
      <selection activeCell="O154" sqref="O154"/>
    </sheetView>
  </sheetViews>
  <sheetFormatPr baseColWidth="10" defaultColWidth="9.1640625" defaultRowHeight="13" x14ac:dyDescent="0.15"/>
  <cols>
    <col min="1" max="1" width="4.5" customWidth="1"/>
    <col min="2" max="2" width="75" style="67" customWidth="1"/>
    <col min="3" max="3" width="48.5" bestFit="1" customWidth="1"/>
    <col min="4" max="4" width="45.5" style="67" customWidth="1"/>
    <col min="5" max="5" width="26.83203125" customWidth="1"/>
  </cols>
  <sheetData>
    <row r="1" spans="2:6" ht="24" x14ac:dyDescent="0.25">
      <c r="B1" s="77" t="s">
        <v>102</v>
      </c>
      <c r="C1" s="73" t="s">
        <v>133</v>
      </c>
      <c r="D1" s="79" t="s">
        <v>180</v>
      </c>
      <c r="F1" s="1" t="s">
        <v>207</v>
      </c>
    </row>
    <row r="3" spans="2:6" ht="16" x14ac:dyDescent="0.2">
      <c r="B3" s="78" t="s">
        <v>103</v>
      </c>
    </row>
    <row r="4" spans="2:6" ht="14" x14ac:dyDescent="0.15">
      <c r="B4" s="67" t="s">
        <v>104</v>
      </c>
      <c r="C4" s="74" t="s">
        <v>148</v>
      </c>
      <c r="E4" t="s">
        <v>182</v>
      </c>
    </row>
    <row r="5" spans="2:6" ht="28" x14ac:dyDescent="0.15">
      <c r="B5" s="67" t="s">
        <v>132</v>
      </c>
      <c r="C5" s="74" t="s">
        <v>134</v>
      </c>
      <c r="E5" t="s">
        <v>182</v>
      </c>
    </row>
    <row r="6" spans="2:6" ht="28" x14ac:dyDescent="0.15">
      <c r="B6" s="67" t="s">
        <v>131</v>
      </c>
      <c r="C6" s="75" t="s">
        <v>149</v>
      </c>
      <c r="D6" s="67" t="s">
        <v>163</v>
      </c>
      <c r="E6" s="67" t="s">
        <v>181</v>
      </c>
    </row>
    <row r="7" spans="2:6" x14ac:dyDescent="0.15">
      <c r="E7" s="67"/>
    </row>
    <row r="8" spans="2:6" ht="16" x14ac:dyDescent="0.2">
      <c r="B8" s="78" t="s">
        <v>105</v>
      </c>
      <c r="E8" s="67"/>
    </row>
    <row r="9" spans="2:6" ht="56" x14ac:dyDescent="0.15">
      <c r="B9" s="67" t="s">
        <v>106</v>
      </c>
      <c r="C9" s="75" t="s">
        <v>135</v>
      </c>
      <c r="D9" s="67" t="s">
        <v>166</v>
      </c>
      <c r="E9" s="67" t="s">
        <v>203</v>
      </c>
      <c r="F9" s="67" t="s">
        <v>208</v>
      </c>
    </row>
    <row r="10" spans="2:6" ht="42" x14ac:dyDescent="0.15">
      <c r="B10" s="67" t="s">
        <v>107</v>
      </c>
      <c r="C10" s="75" t="s">
        <v>136</v>
      </c>
      <c r="D10" s="67" t="s">
        <v>165</v>
      </c>
      <c r="E10" s="67" t="s">
        <v>204</v>
      </c>
      <c r="F10" s="67" t="s">
        <v>208</v>
      </c>
    </row>
    <row r="11" spans="2:6" ht="42" x14ac:dyDescent="0.15">
      <c r="B11" s="67" t="s">
        <v>108</v>
      </c>
      <c r="C11" t="s">
        <v>136</v>
      </c>
      <c r="D11" s="67" t="s">
        <v>167</v>
      </c>
      <c r="E11" s="67" t="s">
        <v>183</v>
      </c>
    </row>
    <row r="12" spans="2:6" ht="14" x14ac:dyDescent="0.15">
      <c r="B12" s="67" t="s">
        <v>109</v>
      </c>
      <c r="C12" t="s">
        <v>136</v>
      </c>
      <c r="E12" s="67"/>
    </row>
    <row r="13" spans="2:6" ht="42" x14ac:dyDescent="0.15">
      <c r="B13" s="67" t="s">
        <v>110</v>
      </c>
      <c r="C13" s="76" t="s">
        <v>137</v>
      </c>
      <c r="D13" s="67" t="s">
        <v>168</v>
      </c>
      <c r="E13" s="80" t="s">
        <v>205</v>
      </c>
      <c r="F13" t="s">
        <v>209</v>
      </c>
    </row>
    <row r="14" spans="2:6" ht="42" x14ac:dyDescent="0.15">
      <c r="B14" s="67" t="s">
        <v>111</v>
      </c>
      <c r="C14" t="s">
        <v>136</v>
      </c>
      <c r="D14" s="67" t="s">
        <v>167</v>
      </c>
      <c r="E14" s="67" t="s">
        <v>183</v>
      </c>
    </row>
    <row r="15" spans="2:6" ht="42" x14ac:dyDescent="0.15">
      <c r="B15" s="67" t="s">
        <v>112</v>
      </c>
      <c r="C15" s="75" t="s">
        <v>136</v>
      </c>
      <c r="D15" s="67" t="s">
        <v>169</v>
      </c>
      <c r="E15" s="67" t="s">
        <v>184</v>
      </c>
      <c r="F15" s="67" t="s">
        <v>210</v>
      </c>
    </row>
    <row r="16" spans="2:6" ht="14" x14ac:dyDescent="0.15">
      <c r="B16" s="67" t="s">
        <v>113</v>
      </c>
      <c r="C16" t="s">
        <v>138</v>
      </c>
      <c r="E16" s="67"/>
    </row>
    <row r="17" spans="2:6" ht="42" x14ac:dyDescent="0.15">
      <c r="B17" s="67" t="s">
        <v>157</v>
      </c>
      <c r="C17" t="s">
        <v>158</v>
      </c>
      <c r="E17" s="67" t="s">
        <v>185</v>
      </c>
    </row>
    <row r="18" spans="2:6" ht="14" x14ac:dyDescent="0.15">
      <c r="B18" s="67" t="s">
        <v>114</v>
      </c>
      <c r="C18" t="s">
        <v>139</v>
      </c>
      <c r="E18" s="67"/>
    </row>
    <row r="19" spans="2:6" x14ac:dyDescent="0.15">
      <c r="E19" s="67"/>
    </row>
    <row r="20" spans="2:6" ht="16" x14ac:dyDescent="0.2">
      <c r="B20" s="78" t="s">
        <v>115</v>
      </c>
      <c r="E20" s="67"/>
    </row>
    <row r="21" spans="2:6" ht="28" x14ac:dyDescent="0.15">
      <c r="B21" s="67" t="s">
        <v>116</v>
      </c>
      <c r="C21" s="75" t="s">
        <v>140</v>
      </c>
      <c r="D21" s="67" t="s">
        <v>164</v>
      </c>
      <c r="E21" s="67" t="s">
        <v>186</v>
      </c>
    </row>
    <row r="22" spans="2:6" ht="70" x14ac:dyDescent="0.15">
      <c r="B22" s="67" t="s">
        <v>117</v>
      </c>
      <c r="C22" s="76" t="s">
        <v>141</v>
      </c>
      <c r="D22" s="67" t="s">
        <v>160</v>
      </c>
      <c r="E22" s="67" t="s">
        <v>187</v>
      </c>
    </row>
    <row r="23" spans="2:6" ht="14" x14ac:dyDescent="0.15">
      <c r="B23" s="67" t="s">
        <v>118</v>
      </c>
      <c r="C23" t="s">
        <v>142</v>
      </c>
      <c r="E23" s="67"/>
    </row>
    <row r="24" spans="2:6" ht="28" x14ac:dyDescent="0.15">
      <c r="B24" s="67" t="s">
        <v>119</v>
      </c>
      <c r="C24" t="s">
        <v>140</v>
      </c>
      <c r="E24" s="67"/>
    </row>
    <row r="25" spans="2:6" ht="14" x14ac:dyDescent="0.15">
      <c r="B25" s="67" t="s">
        <v>120</v>
      </c>
      <c r="C25" t="s">
        <v>143</v>
      </c>
      <c r="E25" s="67"/>
    </row>
    <row r="26" spans="2:6" x14ac:dyDescent="0.15">
      <c r="E26" s="67"/>
    </row>
    <row r="27" spans="2:6" ht="16" x14ac:dyDescent="0.2">
      <c r="B27" s="78" t="s">
        <v>121</v>
      </c>
      <c r="E27" s="67"/>
    </row>
    <row r="28" spans="2:6" ht="14" x14ac:dyDescent="0.15">
      <c r="B28" s="67" t="s">
        <v>122</v>
      </c>
      <c r="C28" t="s">
        <v>140</v>
      </c>
      <c r="E28" s="67"/>
    </row>
    <row r="29" spans="2:6" ht="14" x14ac:dyDescent="0.15">
      <c r="B29" s="67" t="s">
        <v>123</v>
      </c>
      <c r="C29" t="s">
        <v>144</v>
      </c>
      <c r="E29" s="67"/>
    </row>
    <row r="30" spans="2:6" ht="42" x14ac:dyDescent="0.15">
      <c r="B30" s="67" t="s">
        <v>124</v>
      </c>
      <c r="C30" t="s">
        <v>140</v>
      </c>
      <c r="D30" s="67" t="s">
        <v>162</v>
      </c>
      <c r="E30" s="67" t="s">
        <v>206</v>
      </c>
      <c r="F30" s="67" t="s">
        <v>211</v>
      </c>
    </row>
    <row r="31" spans="2:6" ht="16" x14ac:dyDescent="0.2">
      <c r="B31" s="67" t="s">
        <v>125</v>
      </c>
      <c r="C31" t="s">
        <v>144</v>
      </c>
      <c r="E31" s="67"/>
    </row>
    <row r="32" spans="2:6" x14ac:dyDescent="0.15">
      <c r="E32" s="67"/>
    </row>
    <row r="33" spans="2:15" ht="14" x14ac:dyDescent="0.15">
      <c r="B33" s="61" t="s">
        <v>126</v>
      </c>
      <c r="E33" s="67"/>
    </row>
    <row r="34" spans="2:15" ht="14" x14ac:dyDescent="0.15">
      <c r="B34" s="67" t="s">
        <v>127</v>
      </c>
      <c r="C34" t="s">
        <v>145</v>
      </c>
      <c r="E34" s="67"/>
    </row>
    <row r="35" spans="2:15" ht="14" x14ac:dyDescent="0.15">
      <c r="B35" s="67" t="s">
        <v>128</v>
      </c>
      <c r="C35" t="s">
        <v>146</v>
      </c>
      <c r="E35" s="67" t="s">
        <v>199</v>
      </c>
    </row>
    <row r="36" spans="2:15" ht="28" x14ac:dyDescent="0.15">
      <c r="B36" s="67" t="s">
        <v>130</v>
      </c>
      <c r="C36" t="s">
        <v>147</v>
      </c>
      <c r="E36" s="67"/>
    </row>
    <row r="37" spans="2:15" ht="14" x14ac:dyDescent="0.15">
      <c r="B37" s="67" t="s">
        <v>129</v>
      </c>
      <c r="C37" t="s">
        <v>147</v>
      </c>
      <c r="E37" s="67" t="s">
        <v>200</v>
      </c>
    </row>
    <row r="38" spans="2:15" ht="16" x14ac:dyDescent="0.2">
      <c r="C38" s="313" t="s">
        <v>177</v>
      </c>
      <c r="D38" s="313"/>
      <c r="E38" s="67"/>
      <c r="F38" s="67"/>
      <c r="G38" s="67"/>
      <c r="H38" s="67"/>
      <c r="I38" s="67"/>
      <c r="J38" s="67"/>
      <c r="K38" s="67"/>
      <c r="L38" s="67"/>
      <c r="M38" s="67"/>
      <c r="N38" s="67"/>
      <c r="O38" s="67"/>
    </row>
    <row r="39" spans="2:15" ht="42" x14ac:dyDescent="0.15">
      <c r="C39" s="75"/>
      <c r="D39" s="67" t="s">
        <v>161</v>
      </c>
      <c r="E39" t="s">
        <v>188</v>
      </c>
    </row>
    <row r="40" spans="2:15" ht="42" x14ac:dyDescent="0.15">
      <c r="C40" s="75"/>
      <c r="D40" s="67" t="s">
        <v>170</v>
      </c>
      <c r="E40" t="s">
        <v>189</v>
      </c>
    </row>
    <row r="41" spans="2:15" ht="42" x14ac:dyDescent="0.15">
      <c r="C41" s="75"/>
      <c r="D41" s="67" t="s">
        <v>171</v>
      </c>
      <c r="E41" t="s">
        <v>190</v>
      </c>
    </row>
    <row r="42" spans="2:15" ht="56" x14ac:dyDescent="0.15">
      <c r="C42" s="76"/>
      <c r="D42" s="67" t="s">
        <v>172</v>
      </c>
      <c r="E42" s="67" t="s">
        <v>191</v>
      </c>
      <c r="F42" t="s">
        <v>212</v>
      </c>
    </row>
    <row r="43" spans="2:15" ht="14" x14ac:dyDescent="0.15">
      <c r="C43" s="76"/>
      <c r="D43" s="67" t="s">
        <v>173</v>
      </c>
      <c r="E43" t="s">
        <v>192</v>
      </c>
    </row>
    <row r="44" spans="2:15" ht="28" x14ac:dyDescent="0.15">
      <c r="C44" s="76"/>
      <c r="D44" s="67" t="s">
        <v>174</v>
      </c>
      <c r="E44" s="67" t="s">
        <v>193</v>
      </c>
    </row>
    <row r="45" spans="2:15" ht="28" x14ac:dyDescent="0.15">
      <c r="C45" s="76"/>
      <c r="D45" s="67" t="s">
        <v>175</v>
      </c>
      <c r="E45" s="67" t="s">
        <v>193</v>
      </c>
    </row>
    <row r="46" spans="2:15" ht="28" x14ac:dyDescent="0.15">
      <c r="C46" s="75"/>
      <c r="D46" s="67" t="s">
        <v>176</v>
      </c>
      <c r="E46" s="67" t="s">
        <v>201</v>
      </c>
      <c r="F46" t="s">
        <v>213</v>
      </c>
    </row>
    <row r="47" spans="2:15" ht="42" x14ac:dyDescent="0.15">
      <c r="C47" s="75"/>
      <c r="D47" s="67" t="s">
        <v>178</v>
      </c>
      <c r="E47" s="67" t="s">
        <v>194</v>
      </c>
      <c r="F47" t="s">
        <v>212</v>
      </c>
    </row>
    <row r="48" spans="2:15" ht="14" x14ac:dyDescent="0.15">
      <c r="C48" s="75"/>
      <c r="D48" s="67" t="s">
        <v>179</v>
      </c>
    </row>
  </sheetData>
  <mergeCells count="1">
    <mergeCell ref="C38:D38"/>
  </mergeCells>
  <pageMargins left="0.7" right="0.7" top="0.75" bottom="0.75" header="0.3" footer="0.3"/>
  <pageSetup paperSize="9" orientation="portrait" horizontalDpi="30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9B356E-16C2-4484-B854-0CFFBF173D81}">
  <sheetPr codeName="Sheet5">
    <tabColor rgb="FF00546E"/>
  </sheetPr>
  <dimension ref="B2:BD169"/>
  <sheetViews>
    <sheetView showGridLines="0" topLeftCell="A11" zoomScaleNormal="100" workbookViewId="0">
      <selection activeCell="D18" sqref="D18"/>
    </sheetView>
  </sheetViews>
  <sheetFormatPr baseColWidth="10" defaultColWidth="9.1640625" defaultRowHeight="13" x14ac:dyDescent="0.15"/>
  <cols>
    <col min="1" max="1" width="2.5" customWidth="1"/>
    <col min="2" max="2" width="55.5" customWidth="1"/>
    <col min="3" max="3" width="3" customWidth="1"/>
    <col min="4" max="4" width="31.1640625" customWidth="1"/>
    <col min="5" max="5" width="2.83203125" customWidth="1"/>
    <col min="6" max="6" width="31.1640625" customWidth="1"/>
    <col min="7" max="7" width="2.83203125" customWidth="1"/>
    <col min="8" max="8" width="31.1640625" customWidth="1"/>
    <col min="9" max="9" width="2.83203125" customWidth="1"/>
    <col min="10" max="12" width="14.5" customWidth="1"/>
    <col min="13" max="34" width="11.5" customWidth="1"/>
  </cols>
  <sheetData>
    <row r="2" spans="2:26" ht="20" customHeight="1" x14ac:dyDescent="0.25">
      <c r="C2" s="33"/>
    </row>
    <row r="3" spans="2:26" ht="20" customHeight="1" x14ac:dyDescent="0.15">
      <c r="D3" s="117" t="str">
        <f>+README!F3</f>
        <v>SBTi Automotive Target-Setting Tool | DRAFT VERSION</v>
      </c>
      <c r="E3" s="117"/>
      <c r="F3" s="117"/>
      <c r="G3" s="117"/>
      <c r="H3" s="117"/>
      <c r="I3" s="117"/>
      <c r="J3" s="117"/>
      <c r="K3" s="117"/>
      <c r="L3" s="117"/>
      <c r="M3" s="117"/>
    </row>
    <row r="4" spans="2:26" ht="20" customHeight="1" x14ac:dyDescent="0.15">
      <c r="D4" s="35" t="s">
        <v>28</v>
      </c>
      <c r="E4" s="34"/>
      <c r="F4" s="34">
        <f>+README!H5</f>
        <v>0.2</v>
      </c>
    </row>
    <row r="5" spans="2:26" ht="20" customHeight="1" x14ac:dyDescent="0.15">
      <c r="D5" s="35" t="s">
        <v>26</v>
      </c>
      <c r="E5" s="34"/>
      <c r="F5" s="36" t="s">
        <v>27</v>
      </c>
    </row>
    <row r="6" spans="2:26" ht="12.75" customHeight="1" x14ac:dyDescent="0.2">
      <c r="B6" s="24"/>
      <c r="C6" s="24"/>
      <c r="D6" s="24"/>
      <c r="E6" s="24"/>
      <c r="F6" s="24"/>
      <c r="G6" s="24"/>
      <c r="H6" s="24"/>
      <c r="I6" s="24"/>
      <c r="J6" s="24"/>
      <c r="K6" s="24"/>
      <c r="L6" s="24"/>
      <c r="M6" s="24"/>
      <c r="N6" s="24"/>
      <c r="O6" s="24"/>
      <c r="P6" s="24"/>
      <c r="Q6" s="24"/>
      <c r="R6" s="24"/>
      <c r="S6" s="24"/>
      <c r="T6" s="24"/>
      <c r="U6" s="24"/>
      <c r="V6" s="24"/>
      <c r="W6" s="24"/>
      <c r="X6" s="24"/>
      <c r="Y6" s="24"/>
      <c r="Z6" s="24"/>
    </row>
    <row r="7" spans="2:26" ht="20" customHeight="1" x14ac:dyDescent="0.2">
      <c r="B7" s="8"/>
    </row>
    <row r="8" spans="2:26" ht="20" customHeight="1" thickBot="1" x14ac:dyDescent="0.2">
      <c r="B8" s="139" t="s">
        <v>297</v>
      </c>
      <c r="C8" s="109"/>
      <c r="D8" s="109"/>
      <c r="E8" s="109"/>
      <c r="F8" s="109"/>
    </row>
    <row r="9" spans="2:26" ht="15" customHeight="1" x14ac:dyDescent="0.15">
      <c r="B9" s="107" t="s">
        <v>292</v>
      </c>
      <c r="C9" s="106"/>
      <c r="D9" s="279" t="s">
        <v>304</v>
      </c>
      <c r="E9" s="279"/>
      <c r="F9" s="279"/>
      <c r="G9" s="279"/>
      <c r="H9" s="279"/>
      <c r="I9" s="279"/>
      <c r="J9" s="279"/>
      <c r="K9" s="279"/>
    </row>
    <row r="10" spans="2:26" ht="30" customHeight="1" x14ac:dyDescent="0.15">
      <c r="B10" s="107" t="s">
        <v>293</v>
      </c>
      <c r="C10" s="106"/>
      <c r="D10" s="279" t="s">
        <v>305</v>
      </c>
      <c r="E10" s="279"/>
      <c r="F10" s="279"/>
      <c r="G10" s="279"/>
      <c r="H10" s="279"/>
      <c r="I10" s="279"/>
      <c r="J10" s="279"/>
      <c r="K10" s="279"/>
    </row>
    <row r="11" spans="2:26" ht="30" customHeight="1" x14ac:dyDescent="0.15">
      <c r="B11" s="107" t="s">
        <v>294</v>
      </c>
      <c r="C11" s="106"/>
      <c r="D11" s="279" t="s">
        <v>341</v>
      </c>
      <c r="E11" s="279"/>
      <c r="F11" s="279"/>
      <c r="G11" s="279"/>
      <c r="H11" s="279"/>
      <c r="I11" s="279"/>
      <c r="J11" s="279"/>
      <c r="K11" s="279"/>
    </row>
    <row r="12" spans="2:26" ht="14" x14ac:dyDescent="0.15">
      <c r="B12" s="107" t="s">
        <v>295</v>
      </c>
      <c r="C12" s="106"/>
      <c r="D12" s="279" t="s">
        <v>296</v>
      </c>
      <c r="E12" s="279"/>
      <c r="F12" s="279"/>
      <c r="G12" s="279"/>
      <c r="H12" s="279"/>
      <c r="I12" s="279"/>
      <c r="J12" s="279"/>
      <c r="K12" s="279"/>
    </row>
    <row r="13" spans="2:26" x14ac:dyDescent="0.15">
      <c r="B13" s="107"/>
      <c r="C13" s="106"/>
      <c r="D13" s="93"/>
      <c r="E13" s="93"/>
      <c r="F13" s="93"/>
      <c r="G13" s="93"/>
      <c r="H13" s="93"/>
      <c r="I13" s="93"/>
      <c r="J13" s="93"/>
      <c r="K13" s="93"/>
    </row>
    <row r="14" spans="2:26" ht="15" x14ac:dyDescent="0.15">
      <c r="B14" s="107"/>
      <c r="C14" s="106"/>
      <c r="D14" s="141" t="s">
        <v>298</v>
      </c>
      <c r="E14" s="93"/>
      <c r="F14" s="140" t="s">
        <v>299</v>
      </c>
      <c r="G14" s="93"/>
      <c r="H14" s="142" t="s">
        <v>331</v>
      </c>
      <c r="I14" s="93"/>
      <c r="J14" s="93"/>
      <c r="K14" s="93"/>
    </row>
    <row r="15" spans="2:26" ht="20" customHeight="1" x14ac:dyDescent="0.2">
      <c r="B15" s="8"/>
    </row>
    <row r="16" spans="2:26" ht="12.75" customHeight="1" x14ac:dyDescent="0.2">
      <c r="B16" s="37"/>
      <c r="C16" s="37"/>
      <c r="D16" s="37"/>
      <c r="E16" s="37"/>
      <c r="F16" s="37"/>
      <c r="G16" s="37"/>
      <c r="H16" s="37"/>
      <c r="I16" s="37"/>
      <c r="J16" s="37"/>
      <c r="K16" s="37"/>
      <c r="L16" s="37"/>
      <c r="M16" s="37"/>
      <c r="N16" s="37"/>
      <c r="O16" s="37"/>
      <c r="P16" s="37"/>
      <c r="Q16" s="37"/>
      <c r="R16" s="37"/>
      <c r="S16" s="37"/>
      <c r="T16" s="37"/>
      <c r="U16" s="37"/>
      <c r="V16" s="37"/>
      <c r="W16" s="37"/>
      <c r="X16" s="37"/>
      <c r="Y16" s="37"/>
      <c r="Z16" s="37"/>
    </row>
    <row r="17" spans="2:20" ht="20" customHeight="1" x14ac:dyDescent="0.2">
      <c r="B17" s="8"/>
    </row>
    <row r="18" spans="2:20" ht="20" customHeight="1" x14ac:dyDescent="0.25">
      <c r="B18" s="7" t="s">
        <v>352</v>
      </c>
      <c r="D18" s="54"/>
    </row>
    <row r="19" spans="2:20" ht="12.75" customHeight="1" x14ac:dyDescent="0.15">
      <c r="D19" s="55"/>
      <c r="J19" s="1"/>
    </row>
    <row r="20" spans="2:20" ht="18" customHeight="1" x14ac:dyDescent="0.15">
      <c r="B20" s="280" t="s">
        <v>332</v>
      </c>
      <c r="C20" s="280"/>
      <c r="D20" s="280"/>
      <c r="E20" s="280"/>
      <c r="F20" s="280"/>
      <c r="G20" s="280"/>
      <c r="H20" s="280"/>
      <c r="J20" s="1"/>
    </row>
    <row r="21" spans="2:20" ht="12.75" customHeight="1" thickBot="1" x14ac:dyDescent="0.2">
      <c r="D21" s="55"/>
      <c r="J21" s="1"/>
    </row>
    <row r="22" spans="2:20" ht="20" customHeight="1" thickTop="1" thickBot="1" x14ac:dyDescent="0.2">
      <c r="B22" s="38" t="s">
        <v>222</v>
      </c>
      <c r="D22" s="50" t="s">
        <v>330</v>
      </c>
      <c r="F22" t="s">
        <v>222</v>
      </c>
      <c r="K22" s="1"/>
      <c r="R22" s="41"/>
      <c r="S22" s="41"/>
      <c r="T22" s="41"/>
    </row>
    <row r="23" spans="2:20" ht="20" customHeight="1" thickTop="1" thickBot="1" x14ac:dyDescent="0.2">
      <c r="B23" s="40" t="s">
        <v>0</v>
      </c>
      <c r="C23" s="3" t="str">
        <f>""</f>
        <v/>
      </c>
      <c r="D23" s="49">
        <v>2022</v>
      </c>
      <c r="E23" s="3" t="str">
        <f>""</f>
        <v/>
      </c>
      <c r="F23" s="39" t="s">
        <v>197</v>
      </c>
      <c r="H23" s="85"/>
      <c r="J23" s="269"/>
      <c r="K23" s="269"/>
      <c r="L23" s="269"/>
      <c r="M23" s="269"/>
      <c r="N23" s="269"/>
      <c r="O23" s="269"/>
      <c r="P23" s="269"/>
      <c r="Q23" s="269"/>
      <c r="R23" s="41"/>
      <c r="S23" s="41"/>
      <c r="T23" s="41"/>
    </row>
    <row r="24" spans="2:20" ht="20" customHeight="1" thickTop="1" thickBot="1" x14ac:dyDescent="0.2">
      <c r="B24" s="68" t="s">
        <v>263</v>
      </c>
      <c r="C24" s="3" t="str">
        <f>""</f>
        <v/>
      </c>
      <c r="D24" s="50">
        <v>100000</v>
      </c>
      <c r="E24" s="3" t="str">
        <f>""</f>
        <v/>
      </c>
      <c r="F24" s="39" t="s">
        <v>47</v>
      </c>
      <c r="H24" s="85"/>
      <c r="J24" s="269"/>
      <c r="K24" s="269"/>
      <c r="L24" s="269"/>
      <c r="M24" s="269"/>
      <c r="N24" s="269"/>
      <c r="O24" s="269"/>
      <c r="P24" s="269"/>
      <c r="Q24" s="269"/>
      <c r="R24" s="41"/>
      <c r="S24" s="41"/>
      <c r="T24" s="41"/>
    </row>
    <row r="25" spans="2:20" ht="20" customHeight="1" thickTop="1" thickBot="1" x14ac:dyDescent="0.2">
      <c r="B25" s="69" t="s">
        <v>91</v>
      </c>
      <c r="C25" s="3" t="str">
        <f>""</f>
        <v/>
      </c>
      <c r="D25" s="50">
        <v>500000</v>
      </c>
      <c r="E25" s="3" t="str">
        <f>""</f>
        <v/>
      </c>
      <c r="F25" s="39" t="s">
        <v>47</v>
      </c>
      <c r="H25" s="85"/>
      <c r="J25" s="269"/>
      <c r="K25" s="269"/>
      <c r="L25" s="269"/>
      <c r="M25" s="269"/>
      <c r="N25" s="269"/>
      <c r="O25" s="269"/>
      <c r="P25" s="269"/>
      <c r="Q25" s="269"/>
      <c r="R25" s="41"/>
      <c r="S25" s="41"/>
      <c r="T25" s="41"/>
    </row>
    <row r="26" spans="2:20" ht="20" customHeight="1" thickTop="1" thickBot="1" x14ac:dyDescent="0.2">
      <c r="B26" s="40" t="s">
        <v>1</v>
      </c>
      <c r="C26" s="3" t="str">
        <f>""</f>
        <v/>
      </c>
      <c r="D26" s="49">
        <v>2033</v>
      </c>
      <c r="E26" s="3"/>
      <c r="F26" s="39" t="s">
        <v>198</v>
      </c>
      <c r="J26" s="269"/>
      <c r="K26" s="269"/>
      <c r="L26" s="269"/>
      <c r="M26" s="269"/>
      <c r="N26" s="269"/>
      <c r="O26" s="269"/>
      <c r="P26" s="269"/>
      <c r="Q26" s="269"/>
      <c r="R26" s="41"/>
      <c r="S26" s="41"/>
      <c r="T26" s="41"/>
    </row>
    <row r="27" spans="2:20" ht="20" customHeight="1" thickTop="1" thickBot="1" x14ac:dyDescent="0.2">
      <c r="B27" s="40" t="s">
        <v>90</v>
      </c>
      <c r="C27" s="3" t="str">
        <f>""</f>
        <v/>
      </c>
      <c r="D27" s="49">
        <v>2022</v>
      </c>
      <c r="E27" s="3" t="str">
        <f>""</f>
        <v/>
      </c>
      <c r="F27" s="39" t="s">
        <v>307</v>
      </c>
      <c r="H27" s="85"/>
      <c r="J27" s="269"/>
      <c r="K27" s="269"/>
      <c r="L27" s="269"/>
      <c r="M27" s="269"/>
      <c r="N27" s="269"/>
      <c r="O27" s="269"/>
      <c r="P27" s="269"/>
      <c r="Q27" s="269"/>
    </row>
    <row r="28" spans="2:20" ht="20" customHeight="1" thickTop="1" thickBot="1" x14ac:dyDescent="0.2">
      <c r="B28" s="68" t="s">
        <v>202</v>
      </c>
      <c r="C28" s="3" t="str">
        <f>""</f>
        <v/>
      </c>
      <c r="D28" s="50">
        <v>95000</v>
      </c>
      <c r="E28" s="3" t="str">
        <f>""</f>
        <v/>
      </c>
      <c r="F28" s="39" t="str">
        <f>IF(D27&lt;=D23,"If selected base year is the most recent year available, no input is required","tCO2e")</f>
        <v>If selected base year is the most recent year available, no input is required</v>
      </c>
      <c r="J28" s="269"/>
      <c r="K28" s="269"/>
      <c r="L28" s="269"/>
      <c r="M28" s="269"/>
      <c r="N28" s="269"/>
      <c r="O28" s="269"/>
      <c r="P28" s="269"/>
      <c r="Q28" s="269"/>
    </row>
    <row r="29" spans="2:20" ht="20" customHeight="1" thickTop="1" thickBot="1" x14ac:dyDescent="0.2">
      <c r="B29" s="68" t="s">
        <v>92</v>
      </c>
      <c r="C29" s="3" t="str">
        <f>""</f>
        <v/>
      </c>
      <c r="D29" s="50">
        <v>550000</v>
      </c>
      <c r="E29" s="3" t="str">
        <f>""</f>
        <v/>
      </c>
      <c r="F29" s="39" t="str">
        <f>IF(D27&lt;=D23,"If selected base year is the most recent year available, no input is required","tCO2e")</f>
        <v>If selected base year is the most recent year available, no input is required</v>
      </c>
      <c r="J29" s="269"/>
      <c r="K29" s="269"/>
      <c r="L29" s="269"/>
      <c r="M29" s="269"/>
      <c r="N29" s="269"/>
      <c r="O29" s="269"/>
      <c r="P29" s="269"/>
      <c r="Q29" s="269"/>
    </row>
    <row r="30" spans="2:20" ht="20" customHeight="1" thickTop="1" x14ac:dyDescent="0.15">
      <c r="K30" s="41"/>
      <c r="L30" s="41"/>
      <c r="M30" s="41"/>
      <c r="N30" s="41"/>
      <c r="O30" s="41"/>
      <c r="P30" s="41"/>
      <c r="Q30" s="41"/>
      <c r="R30" s="72"/>
      <c r="S30" s="72"/>
      <c r="T30" s="72"/>
    </row>
    <row r="31" spans="2:20" ht="20" customHeight="1" x14ac:dyDescent="0.2">
      <c r="B31" s="100" t="s">
        <v>287</v>
      </c>
      <c r="K31" s="41"/>
      <c r="L31" s="41"/>
      <c r="M31" s="41"/>
      <c r="N31" s="41"/>
      <c r="O31" s="41"/>
      <c r="P31" s="41"/>
      <c r="Q31" s="41"/>
      <c r="R31" s="72"/>
      <c r="S31" s="72"/>
      <c r="T31" s="72"/>
    </row>
    <row r="32" spans="2:20" x14ac:dyDescent="0.15">
      <c r="B32" s="144" t="s">
        <v>32</v>
      </c>
      <c r="K32" s="41"/>
      <c r="L32" s="41"/>
      <c r="M32" s="41"/>
      <c r="N32" s="41"/>
      <c r="O32" s="41"/>
      <c r="P32" s="41"/>
      <c r="Q32" s="41"/>
      <c r="R32" s="72"/>
      <c r="S32" s="72"/>
      <c r="T32" s="72"/>
    </row>
    <row r="33" spans="2:13" ht="37.5" customHeight="1" x14ac:dyDescent="0.15">
      <c r="B33" s="1"/>
      <c r="D33" s="43" t="str">
        <f>+CONCATENATE("Base year ","(",D23,")")</f>
        <v>Base year (2022)</v>
      </c>
      <c r="E33" s="44"/>
      <c r="F33" s="43" t="str">
        <f>IF(D27&gt;D23,CONCATENATE("Most recent year ","(",D27,")"),CONCATENATE("Same as base year ","(",D27,")"))</f>
        <v>Same as base year (2022)</v>
      </c>
      <c r="G33" s="34"/>
      <c r="H33" s="43" t="str">
        <f>+CONCATENATE("Target year ","(",D26,")")</f>
        <v>Target year (2033)</v>
      </c>
      <c r="I33" s="34"/>
      <c r="J33" s="70" t="s">
        <v>196</v>
      </c>
      <c r="K33" s="70" t="s">
        <v>195</v>
      </c>
      <c r="L33" s="70" t="s">
        <v>101</v>
      </c>
      <c r="M33" s="71"/>
    </row>
    <row r="34" spans="2:13" ht="19.5" customHeight="1" thickBot="1" x14ac:dyDescent="0.2">
      <c r="B34" s="38" t="str">
        <f>IF(ISNUMBER($D$24)=TRUE,"Scope 1 emissions (tCO2e)","enter emissions data")</f>
        <v>Scope 1 emissions (tCO2e)</v>
      </c>
      <c r="D34" s="56">
        <f>IF(D24="","",D24)</f>
        <v>100000</v>
      </c>
      <c r="E34" s="51"/>
      <c r="F34" s="56" t="str">
        <f>IF(AND(ISNUMBER(D27),D27&gt;D23,D24&gt;=0,ISNUMBER(D28),D28&gt;=0),D28,"-----")</f>
        <v>-----</v>
      </c>
      <c r="G34" s="52"/>
      <c r="H34" s="56">
        <f>+IF(D24="","",D34*(1-L34))</f>
        <v>45399.999999999993</v>
      </c>
      <c r="I34" s="52"/>
      <c r="J34" s="82" t="str">
        <f>IF(Calculations!D9&gt;0,Calculations!D9,"-----")</f>
        <v>-----</v>
      </c>
      <c r="K34" s="82" t="str">
        <f>IF(Calculations!$D$9&gt;=0.9,"Maint. target",IF(AND($D$27&gt;$D$23,Calculations!$D$9&gt;0,Calculations!$D$15&gt;0),Calculations!$D$15,"Not required"))</f>
        <v>Not required</v>
      </c>
      <c r="L34" s="82">
        <f>+IF($D$34="","",Calculations!$D$18)</f>
        <v>0.54600000000000004</v>
      </c>
      <c r="M34" s="71"/>
    </row>
    <row r="35" spans="2:13" ht="19.5" customHeight="1" thickTop="1" thickBot="1" x14ac:dyDescent="0.2">
      <c r="B35" s="38" t="str">
        <f>IF(ISNUMBER($D$25)=TRUE,"Scope 2 emissions (tCO2e)","enter emissions data")</f>
        <v>Scope 2 emissions (tCO2e)</v>
      </c>
      <c r="D35" s="57">
        <f>IF(D25="","",D25)</f>
        <v>500000</v>
      </c>
      <c r="E35" s="51"/>
      <c r="F35" s="57" t="str">
        <f>IF(AND(ISNUMBER(D27),D27&gt;D23,D25&gt;=0,ISNUMBER(D29),D29&gt;=0),D29,"-----")</f>
        <v>-----</v>
      </c>
      <c r="G35" s="52"/>
      <c r="H35" s="57">
        <f>+IF(D25="","",D35*(1-L35))</f>
        <v>226999.99999999997</v>
      </c>
      <c r="I35" s="52"/>
      <c r="J35" s="82" t="str">
        <f>IF(Calculations!D10&gt;0,Calculations!D10,"-----")</f>
        <v>-----</v>
      </c>
      <c r="K35" s="82" t="str">
        <f>IF(Calculations!$D$10&gt;=0.9,"Maint. target",IF(AND($D$27&gt;$D$23,Calculations!$D$10&gt;0,Calculations!$D$22&gt;0),Calculations!$D$22,"Not required"))</f>
        <v>Not required</v>
      </c>
      <c r="L35" s="82">
        <f>+IF($D$35="","",Calculations!$D$25)</f>
        <v>0.54600000000000004</v>
      </c>
      <c r="M35" s="71"/>
    </row>
    <row r="36" spans="2:13" ht="9" customHeight="1" thickTop="1" thickBot="1" x14ac:dyDescent="0.2">
      <c r="B36" s="71"/>
      <c r="C36" s="71"/>
      <c r="D36" s="71"/>
      <c r="E36" s="71"/>
      <c r="F36" s="71"/>
      <c r="G36" s="71"/>
      <c r="H36" s="71"/>
      <c r="I36" s="71"/>
      <c r="J36" s="71"/>
      <c r="K36" s="71"/>
      <c r="L36" s="71"/>
      <c r="M36" s="71"/>
    </row>
    <row r="37" spans="2:13" ht="19.5" customHeight="1" thickTop="1" thickBot="1" x14ac:dyDescent="0.2">
      <c r="B37" s="38" t="str">
        <f>IF(AND(ISNUMBER($D$24),ISNUMBER($D$25))=TRUE,"Scope 1+2 emissions (tCO2e)","enter emissions data")</f>
        <v>Scope 1+2 emissions (tCO2e)</v>
      </c>
      <c r="D37" s="58">
        <f>IF(OR(D24="",D25=""),"",$D$34+$D$35)</f>
        <v>600000</v>
      </c>
      <c r="E37" s="51"/>
      <c r="F37" s="58" t="str">
        <f>IF(AND(ISNUMBER(F34),ISNUMBER(F35)),F34+F35,"----")</f>
        <v>----</v>
      </c>
      <c r="G37" s="52"/>
      <c r="H37" s="58">
        <f>IF(OR(D24="",D25=""),"",H34+H35)</f>
        <v>272399.99999999994</v>
      </c>
      <c r="I37" s="52"/>
      <c r="J37" s="82" t="str">
        <f>IF(ISNUMBER(F37),(1-F37/D37),"----")</f>
        <v>----</v>
      </c>
      <c r="K37" s="82">
        <f>IF(OR($D$28="",$D$29=""),"-----",$L$37-(1-(Calculations!D16+Calculations!D23)/$D$37))</f>
        <v>0</v>
      </c>
      <c r="L37" s="82">
        <f>+IF(OR($D$37="",$H$37=""),"",1-$H$37/$D$37)</f>
        <v>0.54600000000000004</v>
      </c>
    </row>
    <row r="38" spans="2:13" ht="9" customHeight="1" thickTop="1" thickBot="1" x14ac:dyDescent="0.2"/>
    <row r="39" spans="2:13" ht="19.5" customHeight="1" thickTop="1" thickBot="1" x14ac:dyDescent="0.2">
      <c r="B39" s="38" t="s">
        <v>223</v>
      </c>
      <c r="D39" s="270" t="str">
        <f>IF(OR(ISBLANK($D$22),ISBLANK($D$23),ISBLANK($D$24),ISBLANK($D$26)), "Enter data in Section 1", $D$22&amp;" commits to reduce Scope 1 emissions "&amp;(ROUNDUP(TRUNC($L$34,4),3)*100)&amp;"%"&amp;" by "&amp;$D$26&amp;" from a "&amp;$D$23&amp;" base year.")</f>
        <v>ABC Motors commits to reduce Scope 1 emissions 54.6% by 2033 from a 2022 base year.</v>
      </c>
      <c r="E39" s="270"/>
      <c r="F39" s="270"/>
      <c r="G39" s="270"/>
      <c r="H39" s="270"/>
      <c r="I39" s="270"/>
      <c r="J39" s="270"/>
      <c r="K39" s="270"/>
      <c r="L39" s="270"/>
    </row>
    <row r="40" spans="2:13" ht="19.5" customHeight="1" thickTop="1" thickBot="1" x14ac:dyDescent="0.2">
      <c r="B40" s="40" t="s">
        <v>224</v>
      </c>
      <c r="D40" s="268" t="str">
        <f>IF(OR(ISBLANK($D$22),ISBLANK($D$23),ISBLANK($D$25),ISBLANK($D$26)), "Enter data in Section 1", $D$22&amp;" commits to reduce Scope 2 emissions "&amp;(ROUNDUP(TRUNC($L$35,4),3)*100)&amp;"%"&amp;" by "&amp;$D$26&amp;" from a "&amp;$D$23&amp;" base year.")</f>
        <v>ABC Motors commits to reduce Scope 2 emissions 54.6% by 2033 from a 2022 base year.</v>
      </c>
      <c r="E40" s="268"/>
      <c r="F40" s="268"/>
      <c r="G40" s="268"/>
      <c r="H40" s="268"/>
      <c r="I40" s="268"/>
      <c r="J40" s="268"/>
      <c r="K40" s="268"/>
      <c r="L40" s="268"/>
    </row>
    <row r="41" spans="2:13" ht="9.5" customHeight="1" thickTop="1" thickBot="1" x14ac:dyDescent="0.2">
      <c r="B41" s="108"/>
      <c r="D41" s="102"/>
      <c r="E41" s="102"/>
      <c r="F41" s="102"/>
      <c r="G41" s="102"/>
      <c r="H41" s="102"/>
      <c r="I41" s="102"/>
      <c r="J41" s="102"/>
      <c r="K41" s="62"/>
      <c r="L41" s="62"/>
    </row>
    <row r="42" spans="2:13" ht="19.5" customHeight="1" thickTop="1" thickBot="1" x14ac:dyDescent="0.2">
      <c r="B42" s="38" t="s">
        <v>225</v>
      </c>
      <c r="D42" s="270" t="str" cm="1">
        <f t="array" ref="D42">IF(OR(ISBLANK($D$22),ISBLANK($D$23),ISBLANK($D$24:$D$26)), "Enter data in Section 1", $D$22&amp;" commits to reduce scope 1 and 2 emissions "&amp;(ROUNDUP(TRUNC($L$37,4),3)*100)&amp;"%"&amp;" by "&amp;$D$26&amp;" from a "&amp;$D$23&amp;" base year.")</f>
        <v>ABC Motors commits to reduce scope 1 and 2 emissions 54.6% by 2033 from a 2022 base year.</v>
      </c>
      <c r="E42" s="270"/>
      <c r="F42" s="270"/>
      <c r="G42" s="270"/>
      <c r="H42" s="270"/>
      <c r="I42" s="270"/>
      <c r="J42" s="270"/>
      <c r="K42" s="270"/>
      <c r="L42" s="270"/>
    </row>
    <row r="43" spans="2:13" ht="19.5" customHeight="1" thickTop="1" x14ac:dyDescent="0.15">
      <c r="B43" s="94" t="s">
        <v>348</v>
      </c>
      <c r="D43" s="271" t="s">
        <v>349</v>
      </c>
      <c r="E43" s="271"/>
      <c r="F43" s="271"/>
      <c r="G43" s="271"/>
      <c r="H43" s="271"/>
      <c r="I43" s="271"/>
      <c r="J43" s="271"/>
      <c r="K43" s="271"/>
      <c r="L43" s="271"/>
    </row>
    <row r="44" spans="2:13" ht="19.5" customHeight="1" x14ac:dyDescent="0.15">
      <c r="K44" s="66"/>
    </row>
    <row r="45" spans="2:13" ht="19.5" customHeight="1" x14ac:dyDescent="0.15"/>
    <row r="46" spans="2:13" ht="19.5" customHeight="1" x14ac:dyDescent="0.15"/>
    <row r="47" spans="2:13" ht="19.5" customHeight="1" x14ac:dyDescent="0.15"/>
    <row r="48" spans="2:13" ht="19.5" customHeight="1" x14ac:dyDescent="0.15"/>
    <row r="49" spans="2:26" ht="19.5" customHeight="1" x14ac:dyDescent="0.15"/>
    <row r="50" spans="2:26" ht="19.5" customHeight="1" x14ac:dyDescent="0.15"/>
    <row r="51" spans="2:26" ht="19.5" customHeight="1" x14ac:dyDescent="0.15"/>
    <row r="52" spans="2:26" ht="19.5" customHeight="1" x14ac:dyDescent="0.15"/>
    <row r="53" spans="2:26" ht="19.5" customHeight="1" x14ac:dyDescent="0.15"/>
    <row r="54" spans="2:26" ht="19.5" customHeight="1" x14ac:dyDescent="0.15"/>
    <row r="55" spans="2:26" ht="19.5" customHeight="1" x14ac:dyDescent="0.15"/>
    <row r="56" spans="2:26" ht="19.5" customHeight="1" x14ac:dyDescent="0.15"/>
    <row r="57" spans="2:26" ht="19.5" customHeight="1" x14ac:dyDescent="0.15"/>
    <row r="58" spans="2:26" ht="19.5" customHeight="1" x14ac:dyDescent="0.15"/>
    <row r="59" spans="2:26" ht="19.5" customHeight="1" x14ac:dyDescent="0.15"/>
    <row r="60" spans="2:26" ht="19.5" customHeight="1" x14ac:dyDescent="0.15"/>
    <row r="61" spans="2:26" ht="19.5" customHeight="1" x14ac:dyDescent="0.15"/>
    <row r="62" spans="2:26" ht="19.5" customHeight="1" x14ac:dyDescent="0.15"/>
    <row r="63" spans="2:26" ht="12.75" customHeight="1" x14ac:dyDescent="0.2">
      <c r="B63" s="37"/>
      <c r="C63" s="37"/>
      <c r="D63" s="37"/>
      <c r="E63" s="37"/>
      <c r="F63" s="37"/>
      <c r="G63" s="37"/>
      <c r="H63" s="37"/>
      <c r="I63" s="37"/>
      <c r="J63" s="37"/>
      <c r="K63" s="37"/>
      <c r="L63" s="37"/>
      <c r="M63" s="37"/>
      <c r="N63" s="37"/>
      <c r="O63" s="37"/>
      <c r="P63" s="37"/>
      <c r="Q63" s="37"/>
      <c r="R63" s="37"/>
      <c r="S63" s="37"/>
      <c r="T63" s="37"/>
      <c r="U63" s="37"/>
      <c r="V63" s="37"/>
      <c r="W63" s="37"/>
      <c r="X63" s="37"/>
      <c r="Y63" s="37"/>
      <c r="Z63" s="37"/>
    </row>
    <row r="64" spans="2:26" ht="12.75" customHeight="1" x14ac:dyDescent="0.15">
      <c r="D64" s="42"/>
      <c r="F64" s="5"/>
      <c r="S64" s="64"/>
    </row>
    <row r="65" spans="2:13" ht="20" customHeight="1" x14ac:dyDescent="0.2">
      <c r="B65" s="7" t="s">
        <v>343</v>
      </c>
    </row>
    <row r="66" spans="2:13" ht="18" customHeight="1" x14ac:dyDescent="0.2">
      <c r="B66" s="7"/>
    </row>
    <row r="67" spans="2:13" ht="18" customHeight="1" x14ac:dyDescent="0.15">
      <c r="B67" s="280" t="s">
        <v>334</v>
      </c>
      <c r="C67" s="280"/>
      <c r="D67" s="280"/>
      <c r="E67" s="280"/>
      <c r="F67" s="280"/>
      <c r="G67" s="280"/>
      <c r="H67" s="280"/>
    </row>
    <row r="68" spans="2:13" ht="36" customHeight="1" x14ac:dyDescent="0.15">
      <c r="B68" s="280" t="s">
        <v>333</v>
      </c>
      <c r="C68" s="280"/>
      <c r="D68" s="280"/>
      <c r="E68" s="280"/>
      <c r="F68" s="280"/>
      <c r="G68" s="280"/>
      <c r="H68" s="280"/>
    </row>
    <row r="69" spans="2:13" ht="18" customHeight="1" thickBot="1" x14ac:dyDescent="0.2"/>
    <row r="70" spans="2:13" ht="20" customHeight="1" thickTop="1" thickBot="1" x14ac:dyDescent="0.2">
      <c r="B70" s="38" t="s">
        <v>3</v>
      </c>
      <c r="C70" s="3"/>
      <c r="D70" s="50" t="s">
        <v>335</v>
      </c>
      <c r="E70" s="3"/>
      <c r="F70" s="39" t="str">
        <f>IF(ISTEXT($D$22)=TRUE,"Select a geography","")</f>
        <v>Select a geography</v>
      </c>
    </row>
    <row r="71" spans="2:13" ht="20" customHeight="1" thickTop="1" thickBot="1" x14ac:dyDescent="0.2">
      <c r="B71" s="40" t="s">
        <v>238</v>
      </c>
      <c r="C71" s="3" t="str">
        <f>""</f>
        <v/>
      </c>
      <c r="D71" s="49" t="s">
        <v>342</v>
      </c>
      <c r="E71" s="3" t="str">
        <f>""</f>
        <v/>
      </c>
      <c r="F71" s="39" t="str">
        <f>IF(ISTEXT($D$22)=TRUE,"Select a vehicle category","")</f>
        <v>Select a vehicle category</v>
      </c>
    </row>
    <row r="72" spans="2:13" ht="20" hidden="1" customHeight="1" thickTop="1" thickBot="1" x14ac:dyDescent="0.2">
      <c r="B72" s="38" t="s">
        <v>31</v>
      </c>
      <c r="C72" s="3" t="str">
        <f>""</f>
        <v/>
      </c>
      <c r="D72" s="101" t="str">
        <f>Lists!C3</f>
        <v>Convergence approach</v>
      </c>
      <c r="F72" s="39" t="s">
        <v>291</v>
      </c>
    </row>
    <row r="73" spans="2:13" ht="20" customHeight="1" thickTop="1" thickBot="1" x14ac:dyDescent="0.2">
      <c r="B73" s="38" t="s">
        <v>267</v>
      </c>
      <c r="C73" s="3"/>
      <c r="D73" s="101">
        <f>+D23</f>
        <v>2022</v>
      </c>
      <c r="E73" s="3"/>
      <c r="F73" s="143" t="s">
        <v>300</v>
      </c>
    </row>
    <row r="74" spans="2:13" ht="20" customHeight="1" thickTop="1" thickBot="1" x14ac:dyDescent="0.2">
      <c r="B74" s="38" t="s">
        <v>261</v>
      </c>
      <c r="C74" s="3"/>
      <c r="D74" s="101">
        <f>+D26</f>
        <v>2033</v>
      </c>
      <c r="E74" s="3"/>
      <c r="F74" s="143" t="s">
        <v>300</v>
      </c>
    </row>
    <row r="75" spans="2:13" ht="20" customHeight="1" thickTop="1" thickBot="1" x14ac:dyDescent="0.2">
      <c r="B75" s="40" t="s">
        <v>276</v>
      </c>
      <c r="C75" s="3"/>
      <c r="D75" s="95">
        <v>120</v>
      </c>
      <c r="F75" s="39" t="str">
        <f>IF(ISTEXT($D$22)=TRUE,"gCO2e/vkm")</f>
        <v>gCO2e/vkm</v>
      </c>
    </row>
    <row r="76" spans="2:13" ht="20" customHeight="1" thickTop="1" thickBot="1" x14ac:dyDescent="0.2">
      <c r="B76" s="40" t="s">
        <v>277</v>
      </c>
      <c r="C76" s="3"/>
      <c r="D76" s="96">
        <v>0.6</v>
      </c>
      <c r="F76" s="39" t="s">
        <v>288</v>
      </c>
    </row>
    <row r="77" spans="2:13" ht="20" customHeight="1" thickTop="1" x14ac:dyDescent="0.15"/>
    <row r="78" spans="2:13" ht="20" customHeight="1" x14ac:dyDescent="0.2">
      <c r="B78" s="100" t="str">
        <f>CONCATENATE("Near-term targets: ",D71&amp;" | "&amp;D70)</f>
        <v>Near-term targets: PLDVs | Advanced Economies</v>
      </c>
      <c r="D78" s="64"/>
      <c r="E78" s="64"/>
      <c r="F78" s="64"/>
    </row>
    <row r="79" spans="2:13" x14ac:dyDescent="0.15">
      <c r="B79" s="144" t="s">
        <v>32</v>
      </c>
    </row>
    <row r="80" spans="2:13" ht="37.5" customHeight="1" x14ac:dyDescent="0.15">
      <c r="B80" s="1"/>
      <c r="D80" s="43" t="str">
        <f>+CONCATENATE("Base year ","(",D23,")")</f>
        <v>Base year (2022)</v>
      </c>
      <c r="E80" s="44"/>
      <c r="F80" s="43" t="str">
        <f>+CONCATENATE("Target year ","(",D26,")")</f>
        <v>Target year (2033)</v>
      </c>
      <c r="G80" s="34"/>
      <c r="H80" s="43" t="s">
        <v>280</v>
      </c>
      <c r="I80" s="34"/>
      <c r="J80" s="70"/>
      <c r="K80" s="70"/>
      <c r="L80" s="70"/>
      <c r="M80" s="71"/>
    </row>
    <row r="81" spans="2:12" ht="20" customHeight="1" thickBot="1" x14ac:dyDescent="0.2">
      <c r="B81" s="38" t="str">
        <f>+Calculations!B130</f>
        <v>select a LDV category</v>
      </c>
      <c r="D81" s="59">
        <f>+IF(AND(D73="",D75=""),"",D75)</f>
        <v>120</v>
      </c>
      <c r="E81" s="53"/>
      <c r="F81" s="59" t="e">
        <f>+IF(AND(D73="",D75=""),"",Calculations!D132)</f>
        <v>#N/A</v>
      </c>
      <c r="G81" s="52"/>
      <c r="H81" s="105" t="e">
        <f>IF(F81&lt;=0,100%,IF(AND(D81="",F81=""),"",ROUNDUP(TRUNC(1-F81/D81,4),3)))</f>
        <v>#N/A</v>
      </c>
      <c r="I81" s="52"/>
    </row>
    <row r="82" spans="2:12" ht="20" customHeight="1" thickTop="1" thickBot="1" x14ac:dyDescent="0.2">
      <c r="B82" s="38" t="str">
        <f>Calculations!B135</f>
        <v>select a LDV category</v>
      </c>
      <c r="D82" s="98">
        <f>+IF(AND(D73="",D76=""),"",D76)</f>
        <v>0.6</v>
      </c>
      <c r="E82" s="60"/>
      <c r="F82" s="98" t="e">
        <f>+IF(AND(D73="",D75=""),"",ROUNDUP(TRUNC(Calculations!D137,4),3))</f>
        <v>#N/A</v>
      </c>
      <c r="G82" s="52"/>
      <c r="H82" s="104" t="e">
        <f>+IF(AND(D82="",F82=""),"",F82/D82-1)</f>
        <v>#N/A</v>
      </c>
      <c r="I82" s="52"/>
    </row>
    <row r="83" spans="2:12" ht="9" customHeight="1" thickTop="1" thickBot="1" x14ac:dyDescent="0.2"/>
    <row r="84" spans="2:12" ht="20" customHeight="1" thickTop="1" thickBot="1" x14ac:dyDescent="0.2">
      <c r="B84" s="38" t="s">
        <v>281</v>
      </c>
      <c r="D84" s="316" t="e" cm="1">
        <f t="array" ref="D84">IF(OR(ISBLANK(D70:D76),ISBLANK(F81:F82)),"Enter data in Section 1",$D$22&amp;" commits to reduce the average life-cycle GHG emission intensity for its vehicles sold in "&amp;D71&amp;" and "&amp;D70&amp;" by "&amp;(ROUNDUP(TRUNC(H81,4),3)*100)&amp;"%"&amp;" by "&amp;D74&amp;" relative to a "&amp;D73)</f>
        <v>#N/A</v>
      </c>
      <c r="E84" s="316"/>
      <c r="F84" s="316"/>
      <c r="G84" s="316"/>
      <c r="H84" s="316"/>
      <c r="I84" s="316"/>
      <c r="J84" s="316"/>
      <c r="K84" s="316"/>
      <c r="L84" s="316"/>
    </row>
    <row r="85" spans="2:12" ht="20" customHeight="1" thickTop="1" thickBot="1" x14ac:dyDescent="0.2">
      <c r="B85" s="40" t="s">
        <v>282</v>
      </c>
      <c r="D85" s="268" t="e" cm="1">
        <f t="array" ref="D85">IF(OR(ISBLANK(D70:D76),ISBLANK(F81:F82)),"Enter data in Section 1",$D$22&amp;" commits to increase the sales share of its low-emission vehicles in "&amp;D71&amp;" across all countries by "&amp;(ROUNDUP(TRUNC(F82,4),3)*100)&amp;"%"&amp;" in "&amp;D74&amp;" relative to "&amp;D73)</f>
        <v>#N/A</v>
      </c>
      <c r="E85" s="268"/>
      <c r="F85" s="268"/>
      <c r="G85" s="268"/>
      <c r="H85" s="268"/>
      <c r="I85" s="268"/>
      <c r="J85" s="268"/>
      <c r="K85" s="268"/>
      <c r="L85" s="268"/>
    </row>
    <row r="86" spans="2:12" ht="20" customHeight="1" thickTop="1" x14ac:dyDescent="0.15">
      <c r="D86" s="99"/>
    </row>
    <row r="87" spans="2:12" ht="20" customHeight="1" x14ac:dyDescent="0.15"/>
    <row r="88" spans="2:12" ht="20" customHeight="1" x14ac:dyDescent="0.15"/>
    <row r="89" spans="2:12" ht="20" customHeight="1" x14ac:dyDescent="0.15"/>
    <row r="90" spans="2:12" ht="20" customHeight="1" x14ac:dyDescent="0.15"/>
    <row r="91" spans="2:12" ht="20" customHeight="1" x14ac:dyDescent="0.15"/>
    <row r="92" spans="2:12" ht="20" customHeight="1" x14ac:dyDescent="0.15"/>
    <row r="93" spans="2:12" ht="20" customHeight="1" x14ac:dyDescent="0.15"/>
    <row r="94" spans="2:12" ht="20" customHeight="1" x14ac:dyDescent="0.15"/>
    <row r="95" spans="2:12" ht="20" customHeight="1" x14ac:dyDescent="0.15"/>
    <row r="96" spans="2:12" ht="20" customHeight="1" x14ac:dyDescent="0.15"/>
    <row r="97" spans="2:26" ht="20" customHeight="1" x14ac:dyDescent="0.15"/>
    <row r="98" spans="2:26" ht="20" customHeight="1" x14ac:dyDescent="0.15"/>
    <row r="99" spans="2:26" ht="20" customHeight="1" x14ac:dyDescent="0.15"/>
    <row r="100" spans="2:26" ht="20" customHeight="1" x14ac:dyDescent="0.15"/>
    <row r="101" spans="2:26" ht="20" customHeight="1" x14ac:dyDescent="0.15">
      <c r="J101" s="46"/>
    </row>
    <row r="102" spans="2:26" ht="19.5" customHeight="1" x14ac:dyDescent="0.15"/>
    <row r="103" spans="2:26" ht="12.75" customHeight="1" x14ac:dyDescent="0.2">
      <c r="B103" s="37"/>
      <c r="C103" s="37"/>
      <c r="D103" s="37"/>
      <c r="E103" s="37"/>
      <c r="F103" s="37"/>
      <c r="G103" s="37"/>
      <c r="H103" s="37"/>
      <c r="I103" s="37"/>
      <c r="J103" s="37"/>
      <c r="K103" s="37"/>
      <c r="L103" s="37"/>
      <c r="M103" s="37"/>
      <c r="N103" s="37"/>
      <c r="O103" s="37"/>
      <c r="P103" s="37"/>
      <c r="Q103" s="37"/>
      <c r="R103" s="37"/>
      <c r="S103" s="37"/>
      <c r="T103" s="37"/>
      <c r="U103" s="37"/>
      <c r="V103" s="37"/>
      <c r="W103" s="37"/>
      <c r="X103" s="37"/>
      <c r="Y103" s="37"/>
      <c r="Z103" s="37"/>
    </row>
    <row r="104" spans="2:26" ht="12.75" customHeight="1" x14ac:dyDescent="0.15">
      <c r="D104" s="42"/>
      <c r="F104" s="5"/>
      <c r="S104" s="64"/>
    </row>
    <row r="105" spans="2:26" ht="20" customHeight="1" x14ac:dyDescent="0.2">
      <c r="B105" s="7" t="s">
        <v>344</v>
      </c>
    </row>
    <row r="106" spans="2:26" ht="18" customHeight="1" x14ac:dyDescent="0.2">
      <c r="B106" s="7"/>
    </row>
    <row r="107" spans="2:26" ht="18" customHeight="1" x14ac:dyDescent="0.15">
      <c r="B107" s="280" t="s">
        <v>334</v>
      </c>
      <c r="C107" s="280"/>
      <c r="D107" s="280"/>
      <c r="E107" s="280"/>
      <c r="F107" s="280"/>
      <c r="G107" s="280"/>
      <c r="H107" s="280"/>
    </row>
    <row r="108" spans="2:26" ht="36" customHeight="1" x14ac:dyDescent="0.15">
      <c r="B108" s="280" t="s">
        <v>333</v>
      </c>
      <c r="C108" s="280"/>
      <c r="D108" s="280"/>
      <c r="E108" s="280"/>
      <c r="F108" s="280"/>
      <c r="G108" s="280"/>
      <c r="H108" s="280"/>
    </row>
    <row r="109" spans="2:26" ht="18" customHeight="1" thickBot="1" x14ac:dyDescent="0.2">
      <c r="J109" s="46"/>
    </row>
    <row r="110" spans="2:26" ht="20" customHeight="1" thickTop="1" thickBot="1" x14ac:dyDescent="0.2">
      <c r="B110" s="38" t="s">
        <v>3</v>
      </c>
      <c r="C110" s="3"/>
      <c r="D110" s="50" t="s">
        <v>335</v>
      </c>
      <c r="E110" s="3"/>
      <c r="F110" s="39" t="str">
        <f>IF(ISTEXT($D$22)=TRUE,"Select a geography","")</f>
        <v>Select a geography</v>
      </c>
      <c r="J110" s="46"/>
    </row>
    <row r="111" spans="2:26" ht="20" customHeight="1" thickTop="1" thickBot="1" x14ac:dyDescent="0.2">
      <c r="B111" s="40" t="s">
        <v>238</v>
      </c>
      <c r="C111" s="3" t="str">
        <f>""</f>
        <v/>
      </c>
      <c r="D111" s="49" t="s">
        <v>337</v>
      </c>
      <c r="E111" s="3" t="str">
        <f>""</f>
        <v/>
      </c>
      <c r="F111" s="39" t="str">
        <f>IF(ISTEXT($D$22)=TRUE,"Select a vehicle category","")</f>
        <v>Select a vehicle category</v>
      </c>
      <c r="J111" s="46"/>
    </row>
    <row r="112" spans="2:26" ht="20" hidden="1" customHeight="1" thickTop="1" thickBot="1" x14ac:dyDescent="0.2">
      <c r="B112" s="38" t="s">
        <v>31</v>
      </c>
      <c r="C112" s="3" t="str">
        <f>""</f>
        <v/>
      </c>
      <c r="D112" s="101" t="str">
        <f>Lists!C4</f>
        <v>Percent improvement approach</v>
      </c>
      <c r="F112" s="39" t="s">
        <v>291</v>
      </c>
      <c r="J112" s="46"/>
    </row>
    <row r="113" spans="2:13" ht="20" customHeight="1" thickTop="1" thickBot="1" x14ac:dyDescent="0.2">
      <c r="B113" s="38" t="s">
        <v>267</v>
      </c>
      <c r="C113" s="3"/>
      <c r="D113" s="101">
        <f>+D23</f>
        <v>2022</v>
      </c>
      <c r="E113" s="3"/>
      <c r="F113" s="143" t="s">
        <v>290</v>
      </c>
      <c r="J113" s="46"/>
    </row>
    <row r="114" spans="2:13" ht="20" customHeight="1" thickTop="1" thickBot="1" x14ac:dyDescent="0.2">
      <c r="B114" s="38" t="s">
        <v>261</v>
      </c>
      <c r="C114" s="3"/>
      <c r="D114" s="101">
        <f>+D74</f>
        <v>2033</v>
      </c>
      <c r="E114" s="3"/>
      <c r="F114" s="143" t="s">
        <v>290</v>
      </c>
      <c r="J114" s="46"/>
    </row>
    <row r="115" spans="2:13" ht="20" customHeight="1" thickTop="1" thickBot="1" x14ac:dyDescent="0.2">
      <c r="B115" s="40" t="s">
        <v>276</v>
      </c>
      <c r="C115" s="3"/>
      <c r="D115" s="95">
        <v>900</v>
      </c>
      <c r="F115" s="39" t="str">
        <f>IF(ISTEXT($D$22)=TRUE,"gCO2e/vkm")</f>
        <v>gCO2e/vkm</v>
      </c>
      <c r="J115" s="46"/>
    </row>
    <row r="116" spans="2:13" ht="20" customHeight="1" thickTop="1" thickBot="1" x14ac:dyDescent="0.2">
      <c r="B116" s="40" t="s">
        <v>277</v>
      </c>
      <c r="C116" s="3"/>
      <c r="D116" s="96">
        <v>0.02</v>
      </c>
      <c r="F116" s="39" t="s">
        <v>288</v>
      </c>
      <c r="J116" s="46"/>
    </row>
    <row r="117" spans="2:13" ht="20" customHeight="1" thickTop="1" x14ac:dyDescent="0.15">
      <c r="F117" s="39"/>
      <c r="J117" s="46"/>
    </row>
    <row r="118" spans="2:13" ht="20" customHeight="1" x14ac:dyDescent="0.2">
      <c r="B118" s="100" t="str">
        <f>CONCATENATE("Near-term targets: ",D111&amp;" | "&amp;D110)</f>
        <v>Near-term targets: Medium Duty Trucks | Advanced Economies</v>
      </c>
      <c r="D118" s="8"/>
      <c r="F118" s="64"/>
    </row>
    <row r="119" spans="2:13" x14ac:dyDescent="0.15">
      <c r="B119" s="144" t="s">
        <v>32</v>
      </c>
    </row>
    <row r="120" spans="2:13" ht="37.5" customHeight="1" x14ac:dyDescent="0.15">
      <c r="B120" s="1"/>
      <c r="D120" s="43" t="str">
        <f>+CONCATENATE("Base year ","(",D61,")")</f>
        <v>Base year ()</v>
      </c>
      <c r="E120" s="44"/>
      <c r="F120" s="43" t="str">
        <f>+CONCATENATE("Target year ","(",D64,")")</f>
        <v>Target year ()</v>
      </c>
      <c r="G120" s="34"/>
      <c r="H120" s="43" t="s">
        <v>280</v>
      </c>
      <c r="I120" s="34"/>
      <c r="J120" s="70"/>
      <c r="K120" s="70"/>
      <c r="L120" s="70"/>
      <c r="M120" s="71"/>
    </row>
    <row r="121" spans="2:13" ht="20" customHeight="1" thickBot="1" x14ac:dyDescent="0.2">
      <c r="B121" s="38" t="str">
        <f>Calculations!B140</f>
        <v>select a vehicle category</v>
      </c>
      <c r="D121" s="59">
        <f>+IF(AND(D113="",D115=""),"",D115)</f>
        <v>900</v>
      </c>
      <c r="E121" s="53"/>
      <c r="F121" s="59" t="e">
        <f>+IF(AND(D113="",D115=""),"",Calculations!D142)</f>
        <v>#N/A</v>
      </c>
      <c r="G121" s="52"/>
      <c r="H121" s="105" t="e">
        <f>IF(F121&lt;=0,100%,IF(AND(D121="",F121=""),"",ROUNDUP(TRUNC(1-F121/D121,4),3)))</f>
        <v>#N/A</v>
      </c>
      <c r="I121" s="52"/>
    </row>
    <row r="122" spans="2:13" ht="20" customHeight="1" thickTop="1" thickBot="1" x14ac:dyDescent="0.2">
      <c r="B122" s="38" t="str">
        <f>Calculations!B145</f>
        <v>select a vehicle category</v>
      </c>
      <c r="D122" s="98">
        <f>+IF(AND(D113="",D116=""),"",D116)</f>
        <v>0.02</v>
      </c>
      <c r="E122" s="60"/>
      <c r="F122" s="98" t="e">
        <f>+IF(AND(D113="",D115=""),"",ROUNDUP(TRUNC(Calculations!D147,4),3))</f>
        <v>#N/A</v>
      </c>
      <c r="G122" s="52"/>
      <c r="H122" s="104" t="e">
        <f>+IF(AND(D122="",F122=""),"",F122/D122-1)</f>
        <v>#N/A</v>
      </c>
      <c r="I122" s="52"/>
    </row>
    <row r="123" spans="2:13" ht="20" customHeight="1" thickTop="1" thickBot="1" x14ac:dyDescent="0.2"/>
    <row r="124" spans="2:13" ht="20" customHeight="1" thickTop="1" thickBot="1" x14ac:dyDescent="0.2">
      <c r="B124" s="38" t="s">
        <v>281</v>
      </c>
      <c r="D124" s="316" t="e" cm="1">
        <f t="array" ref="D124">IF(OR(ISBLANK(D110:D116),ISBLANK(F121:F122)),"Enter data in Section 1",$D$22&amp;" commits to reduce the average life-cycle GHG emission intensity for its vehicles sold in "&amp;D111&amp;" and "&amp;D110&amp;" by "&amp;(ROUNDUP(TRUNC(H121,4),3)*100)&amp;"%"&amp;" by "&amp;D114&amp;" relative to "&amp;D113)</f>
        <v>#N/A</v>
      </c>
      <c r="E124" s="316"/>
      <c r="F124" s="316"/>
      <c r="G124" s="316"/>
      <c r="H124" s="316"/>
      <c r="I124" s="316"/>
      <c r="J124" s="316"/>
      <c r="K124" s="316"/>
      <c r="L124" s="316"/>
    </row>
    <row r="125" spans="2:13" ht="20" customHeight="1" thickTop="1" thickBot="1" x14ac:dyDescent="0.2">
      <c r="B125" s="40" t="s">
        <v>282</v>
      </c>
      <c r="D125" s="268" t="e" cm="1">
        <f t="array" ref="D125">IF(OR(ISBLANK(D110:D116),ISBLANK(F121:F122)),"Enter data in Section 1",$D$22&amp;" commits to increase the sales share of its low-emission "&amp;D111&amp;" sold in "&amp;D110&amp;" region to "&amp;(ROUNDUP(TRUNC(F122,4),3)*100)&amp;"%"&amp;" of total vehicle sales by "&amp;D114&amp;" from a "&amp;D113&amp;" base year.")</f>
        <v>#N/A</v>
      </c>
      <c r="E125" s="268"/>
      <c r="F125" s="268"/>
      <c r="G125" s="268"/>
      <c r="H125" s="268"/>
      <c r="I125" s="268"/>
      <c r="J125" s="268"/>
      <c r="K125" s="268"/>
      <c r="L125" s="268"/>
    </row>
    <row r="126" spans="2:13" ht="20" customHeight="1" thickTop="1" x14ac:dyDescent="0.15">
      <c r="F126" s="39"/>
      <c r="J126" s="46"/>
    </row>
    <row r="127" spans="2:13" ht="20" customHeight="1" x14ac:dyDescent="0.15">
      <c r="F127" s="39"/>
      <c r="J127" s="46"/>
    </row>
    <row r="128" spans="2:13" ht="20" customHeight="1" x14ac:dyDescent="0.15">
      <c r="F128" s="39"/>
      <c r="J128" s="46"/>
    </row>
    <row r="129" spans="2:26" ht="20" customHeight="1" x14ac:dyDescent="0.15">
      <c r="F129" s="39"/>
      <c r="J129" s="46"/>
    </row>
    <row r="130" spans="2:26" ht="20" customHeight="1" x14ac:dyDescent="0.15">
      <c r="F130" s="39"/>
      <c r="J130" s="46"/>
    </row>
    <row r="131" spans="2:26" ht="20" customHeight="1" x14ac:dyDescent="0.15">
      <c r="F131" s="39"/>
      <c r="J131" s="46"/>
    </row>
    <row r="132" spans="2:26" ht="20" customHeight="1" x14ac:dyDescent="0.15">
      <c r="F132" s="39"/>
      <c r="J132" s="46"/>
    </row>
    <row r="133" spans="2:26" ht="20" customHeight="1" x14ac:dyDescent="0.15">
      <c r="F133" s="39"/>
      <c r="J133" s="46"/>
    </row>
    <row r="134" spans="2:26" ht="20" customHeight="1" x14ac:dyDescent="0.15">
      <c r="F134" s="39"/>
      <c r="J134" s="46"/>
    </row>
    <row r="135" spans="2:26" ht="20" customHeight="1" x14ac:dyDescent="0.15">
      <c r="F135" s="39"/>
      <c r="J135" s="46"/>
    </row>
    <row r="136" spans="2:26" ht="20" customHeight="1" x14ac:dyDescent="0.15">
      <c r="F136" s="39"/>
      <c r="J136" s="46"/>
    </row>
    <row r="137" spans="2:26" ht="20" customHeight="1" x14ac:dyDescent="0.15">
      <c r="F137" s="39"/>
      <c r="J137" s="46"/>
    </row>
    <row r="138" spans="2:26" ht="20" customHeight="1" x14ac:dyDescent="0.15">
      <c r="F138" s="39"/>
      <c r="J138" s="46"/>
    </row>
    <row r="139" spans="2:26" ht="20" customHeight="1" x14ac:dyDescent="0.15">
      <c r="J139" s="46"/>
    </row>
    <row r="140" spans="2:26" ht="20" customHeight="1" x14ac:dyDescent="0.15">
      <c r="J140" s="46"/>
    </row>
    <row r="141" spans="2:26" ht="20" customHeight="1" x14ac:dyDescent="0.15">
      <c r="J141" s="46"/>
    </row>
    <row r="142" spans="2:26" ht="20" customHeight="1" x14ac:dyDescent="0.15">
      <c r="J142" s="46"/>
    </row>
    <row r="143" spans="2:26" ht="12.75" customHeight="1" x14ac:dyDescent="0.2">
      <c r="B143" s="37"/>
      <c r="C143" s="37"/>
      <c r="D143" s="37"/>
      <c r="E143" s="37"/>
      <c r="F143" s="37"/>
      <c r="G143" s="37"/>
      <c r="H143" s="37"/>
      <c r="I143" s="37"/>
      <c r="J143" s="37"/>
      <c r="K143" s="37"/>
      <c r="L143" s="37"/>
      <c r="M143" s="37"/>
      <c r="N143" s="37"/>
      <c r="O143" s="37"/>
      <c r="P143" s="37"/>
      <c r="Q143" s="37"/>
      <c r="R143" s="37"/>
      <c r="S143" s="37"/>
      <c r="T143" s="37"/>
      <c r="U143" s="37"/>
      <c r="V143" s="37"/>
      <c r="W143" s="37"/>
      <c r="X143" s="37"/>
      <c r="Y143" s="37"/>
      <c r="Z143" s="37"/>
    </row>
    <row r="144" spans="2:26" ht="19.5" customHeight="1" x14ac:dyDescent="0.15"/>
    <row r="145" spans="2:56" ht="19.5" customHeight="1" x14ac:dyDescent="0.2">
      <c r="B145" s="8" t="s">
        <v>33</v>
      </c>
    </row>
    <row r="146" spans="2:56" ht="19.5" customHeight="1" x14ac:dyDescent="0.15">
      <c r="J146" s="43">
        <f>AutomakersOLD!$D$23</f>
        <v>2022</v>
      </c>
      <c r="K146" s="43">
        <f t="shared" ref="K146:W146" si="0">IF(J146&lt;2035,J146+1,"")</f>
        <v>2023</v>
      </c>
      <c r="L146" s="43">
        <f t="shared" si="0"/>
        <v>2024</v>
      </c>
      <c r="M146" s="43">
        <f t="shared" si="0"/>
        <v>2025</v>
      </c>
      <c r="N146" s="43">
        <f t="shared" si="0"/>
        <v>2026</v>
      </c>
      <c r="O146" s="43">
        <f t="shared" si="0"/>
        <v>2027</v>
      </c>
      <c r="P146" s="43">
        <f t="shared" si="0"/>
        <v>2028</v>
      </c>
      <c r="Q146" s="43">
        <f t="shared" si="0"/>
        <v>2029</v>
      </c>
      <c r="R146" s="43">
        <f t="shared" si="0"/>
        <v>2030</v>
      </c>
      <c r="S146" s="43">
        <f t="shared" si="0"/>
        <v>2031</v>
      </c>
      <c r="T146" s="43">
        <f t="shared" si="0"/>
        <v>2032</v>
      </c>
      <c r="U146" s="43">
        <f t="shared" si="0"/>
        <v>2033</v>
      </c>
      <c r="V146" s="43">
        <f t="shared" si="0"/>
        <v>2034</v>
      </c>
      <c r="W146" s="43">
        <f t="shared" si="0"/>
        <v>2035</v>
      </c>
    </row>
    <row r="147" spans="2:56" ht="19.5" customHeight="1" thickBot="1" x14ac:dyDescent="0.2">
      <c r="D147" s="314" t="s">
        <v>286</v>
      </c>
      <c r="F147" s="315" t="str">
        <f>+B34</f>
        <v>Scope 1 emissions (tCO2e)</v>
      </c>
      <c r="G147" s="315"/>
      <c r="H147" s="315"/>
      <c r="J147" s="83">
        <f>IF(AND($D$24&gt;0,J146&lt;&gt;""),HLOOKUP(J$146,Calculations!$B$1:$AI$235,ROW(Calculations!$B$124)),"")</f>
        <v>100000</v>
      </c>
      <c r="K147" s="83">
        <f>IF(AND($D$24&gt;0,K146&lt;&gt;""),HLOOKUP(K$146,Calculations!$B$1:$AI$235,ROW(Calculations!$B$124)),"")</f>
        <v>95036.363636363647</v>
      </c>
      <c r="L147" s="83">
        <f>IF(AND($D$24&gt;0,L146&lt;&gt;""),HLOOKUP(L$146,Calculations!$B$1:$AI$235,ROW(Calculations!$B$124)),"")</f>
        <v>90072.727272727265</v>
      </c>
      <c r="M147" s="83">
        <f>IF(AND($D$24&gt;0,M146&lt;&gt;""),HLOOKUP(M$146,Calculations!$B$1:$AI$235,ROW(Calculations!$B$124)),"")</f>
        <v>85109.090909090912</v>
      </c>
      <c r="N147" s="83">
        <f>IF(AND($D$24&gt;0,N146&lt;&gt;""),HLOOKUP(N$146,Calculations!$B$1:$AI$235,ROW(Calculations!$B$124)),"")</f>
        <v>80145.454545454544</v>
      </c>
      <c r="O147" s="83">
        <f>IF(AND($D$24&gt;0,O146&lt;&gt;""),HLOOKUP(O$146,Calculations!$B$1:$AI$235,ROW(Calculations!$B$124)),"")</f>
        <v>75181.818181818177</v>
      </c>
      <c r="P147" s="83">
        <f>IF(AND($D$24&gt;0,P146&lt;&gt;""),HLOOKUP(P$146,Calculations!$B$1:$AI$235,ROW(Calculations!$B$124)),"")</f>
        <v>70218.181818181823</v>
      </c>
      <c r="Q147" s="83">
        <f>IF(AND($D$24&gt;0,Q146&lt;&gt;""),HLOOKUP(Q$146,Calculations!$B$1:$AI$235,ROW(Calculations!$B$124)),"")</f>
        <v>65254.545454545456</v>
      </c>
      <c r="R147" s="83">
        <f>IF(AND($D$24&gt;0,R146&lt;&gt;""),HLOOKUP(R$146,Calculations!$B$1:$AI$235,ROW(Calculations!$B$124)),"")</f>
        <v>60290.909090909081</v>
      </c>
      <c r="S147" s="83">
        <f>IF(AND($D$24&gt;0,S146&lt;&gt;""),HLOOKUP(S$146,Calculations!$B$1:$AI$235,ROW(Calculations!$B$124)),"")</f>
        <v>55327.272727272728</v>
      </c>
      <c r="T147" s="83">
        <f>IF(AND($D$24&gt;0,T146&lt;&gt;""),HLOOKUP(T$146,Calculations!$B$1:$AI$235,ROW(Calculations!$B$124)),"")</f>
        <v>50363.636363636368</v>
      </c>
      <c r="U147" s="83">
        <f>IF(AND($D$24&gt;0,U146&lt;&gt;""),HLOOKUP(U$146,Calculations!$B$1:$AI$235,ROW(Calculations!$B$124)),"")</f>
        <v>45399.999999999993</v>
      </c>
      <c r="V147" s="83">
        <f>IF(AND($D$24&gt;0,V146&lt;&gt;""),HLOOKUP(V$146,Calculations!$B$1:$AI$235,ROW(Calculations!$B$124)),"")</f>
        <v>40436.36363636364</v>
      </c>
      <c r="W147" s="83">
        <f>IF(AND($D$24&gt;0,W146&lt;&gt;""),HLOOKUP(W$146,Calculations!$B$1:$AI$235,ROW(Calculations!$B$124)),"")</f>
        <v>35472.727272727265</v>
      </c>
      <c r="X147" s="83" t="str">
        <f>IF(AND($D$24&gt;0,X146&lt;&gt;""),HLOOKUP(X$146,Calculations!$B$1:$AI$235,ROW(Calculations!$B$124)),"")</f>
        <v/>
      </c>
      <c r="Y147" s="83" t="str">
        <f>IF(AND($D$24&gt;0,Y146&lt;&gt;""),HLOOKUP(Y$146,Calculations!$B$1:$AI$235,ROW(Calculations!$B$124)),"")</f>
        <v/>
      </c>
      <c r="Z147" s="83" t="str">
        <f>IF(AND($D$24&gt;0,Z146&lt;&gt;""),HLOOKUP(Z$146,Calculations!$B$1:$AI$235,ROW(Calculations!$B$124)),"")</f>
        <v/>
      </c>
    </row>
    <row r="148" spans="2:56" ht="19.5" customHeight="1" thickTop="1" thickBot="1" x14ac:dyDescent="0.2">
      <c r="D148" s="314"/>
      <c r="F148" s="315" t="str">
        <f>+B35</f>
        <v>Scope 2 emissions (tCO2e)</v>
      </c>
      <c r="G148" s="315"/>
      <c r="H148" s="315"/>
      <c r="J148" s="83">
        <f>IF(AND($D$24&gt;0,J146&lt;&gt;""),HLOOKUP(J$146,Calculations!$B$1:$AI$235,ROW(Calculations!$B$125)),"")</f>
        <v>500000</v>
      </c>
      <c r="K148" s="83">
        <f>IF(AND($D$24&gt;0,K146&lt;&gt;""),HLOOKUP(K$146,Calculations!$B$1:$AI$235,ROW(Calculations!$B$125)),"")</f>
        <v>475181.81818181818</v>
      </c>
      <c r="L148" s="83">
        <f>IF(AND($D$24&gt;0,L146&lt;&gt;""),HLOOKUP(L$146,Calculations!$B$1:$AI$235,ROW(Calculations!$B$125)),"")</f>
        <v>450363.63636363635</v>
      </c>
      <c r="M148" s="83">
        <f>IF(AND($D$24&gt;0,M146&lt;&gt;""),HLOOKUP(M$146,Calculations!$B$1:$AI$235,ROW(Calculations!$B$125)),"")</f>
        <v>425545.45454545459</v>
      </c>
      <c r="N148" s="83">
        <f>IF(AND($D$24&gt;0,N146&lt;&gt;""),HLOOKUP(N$146,Calculations!$B$1:$AI$235,ROW(Calculations!$B$125)),"")</f>
        <v>400727.27272727271</v>
      </c>
      <c r="O148" s="83">
        <f>IF(AND($D$24&gt;0,O146&lt;&gt;""),HLOOKUP(O$146,Calculations!$B$1:$AI$235,ROW(Calculations!$B$125)),"")</f>
        <v>375909.09090909094</v>
      </c>
      <c r="P148" s="83">
        <f>IF(AND($D$24&gt;0,P146&lt;&gt;""),HLOOKUP(P$146,Calculations!$B$1:$AI$235,ROW(Calculations!$B$125)),"")</f>
        <v>351090.90909090912</v>
      </c>
      <c r="Q148" s="83">
        <f>IF(AND($D$24&gt;0,Q146&lt;&gt;""),HLOOKUP(Q$146,Calculations!$B$1:$AI$235,ROW(Calculations!$B$125)),"")</f>
        <v>326272.72727272729</v>
      </c>
      <c r="R148" s="83">
        <f>IF(AND($D$24&gt;0,R146&lt;&gt;""),HLOOKUP(R$146,Calculations!$B$1:$AI$235,ROW(Calculations!$B$125)),"")</f>
        <v>301454.54545454541</v>
      </c>
      <c r="S148" s="83">
        <f>IF(AND($D$24&gt;0,S146&lt;&gt;""),HLOOKUP(S$146,Calculations!$B$1:$AI$235,ROW(Calculations!$B$125)),"")</f>
        <v>276636.36363636365</v>
      </c>
      <c r="T148" s="83">
        <f>IF(AND($D$24&gt;0,T146&lt;&gt;""),HLOOKUP(T$146,Calculations!$B$1:$AI$235,ROW(Calculations!$B$125)),"")</f>
        <v>251818.18181818182</v>
      </c>
      <c r="U148" s="83">
        <f>IF(AND($D$24&gt;0,U146&lt;&gt;""),HLOOKUP(U$146,Calculations!$B$1:$AI$235,ROW(Calculations!$B$125)),"")</f>
        <v>226999.99999999997</v>
      </c>
      <c r="V148" s="83">
        <f>IF(AND($D$24&gt;0,V146&lt;&gt;""),HLOOKUP(V$146,Calculations!$B$1:$AI$235,ROW(Calculations!$B$125)),"")</f>
        <v>202181.81818181818</v>
      </c>
      <c r="W148" s="83">
        <f>IF(AND($D$24&gt;0,W146&lt;&gt;""),HLOOKUP(W$146,Calculations!$B$1:$AI$235,ROW(Calculations!$B$125)),"")</f>
        <v>177363.63636363632</v>
      </c>
      <c r="X148" s="83" t="str">
        <f>IF(AND($D$24&gt;0,X146&lt;&gt;""),HLOOKUP(X$146,Calculations!$B$1:$AI$235,ROW(Calculations!$B$125)),"")</f>
        <v/>
      </c>
      <c r="Y148" s="83" t="str">
        <f>IF(AND($D$24&gt;0,Y146&lt;&gt;""),HLOOKUP(Y$146,Calculations!$B$1:$AI$235,ROW(Calculations!$B$125)),"")</f>
        <v/>
      </c>
      <c r="Z148" s="83" t="str">
        <f>IF(AND($D$24&gt;0,Z146&lt;&gt;""),HLOOKUP(Z$146,Calculations!$B$1:$AI$235,ROW(Calculations!$B$125)),"")</f>
        <v/>
      </c>
      <c r="BA148" s="44"/>
      <c r="BB148" s="44"/>
      <c r="BC148" s="44"/>
      <c r="BD148" s="44"/>
    </row>
    <row r="149" spans="2:56" ht="19.5" customHeight="1" thickTop="1" thickBot="1" x14ac:dyDescent="0.2">
      <c r="D149" s="314"/>
      <c r="F149" s="315" t="str">
        <f>+B37</f>
        <v>Scope 1+2 emissions (tCO2e)</v>
      </c>
      <c r="G149" s="315"/>
      <c r="H149" s="315"/>
      <c r="J149" s="83">
        <f t="shared" ref="J149:Z149" si="1">IF(OR(ISNUMBER(J$147)=TRUE,ISNUMBER(J$148=TRUE)),J$147+J$148,"")</f>
        <v>600000</v>
      </c>
      <c r="K149" s="83">
        <f t="shared" si="1"/>
        <v>570218.18181818188</v>
      </c>
      <c r="L149" s="83">
        <f t="shared" si="1"/>
        <v>540436.36363636365</v>
      </c>
      <c r="M149" s="83">
        <f t="shared" si="1"/>
        <v>510654.54545454553</v>
      </c>
      <c r="N149" s="83">
        <f t="shared" si="1"/>
        <v>480872.72727272724</v>
      </c>
      <c r="O149" s="83">
        <f t="shared" si="1"/>
        <v>451090.90909090912</v>
      </c>
      <c r="P149" s="83">
        <f t="shared" si="1"/>
        <v>421309.09090909094</v>
      </c>
      <c r="Q149" s="83">
        <f t="shared" si="1"/>
        <v>391527.27272727276</v>
      </c>
      <c r="R149" s="83">
        <f t="shared" si="1"/>
        <v>361745.45454545447</v>
      </c>
      <c r="S149" s="83">
        <f t="shared" si="1"/>
        <v>331963.63636363635</v>
      </c>
      <c r="T149" s="83">
        <f t="shared" si="1"/>
        <v>302181.81818181818</v>
      </c>
      <c r="U149" s="83">
        <f t="shared" si="1"/>
        <v>272399.99999999994</v>
      </c>
      <c r="V149" s="83">
        <f t="shared" si="1"/>
        <v>242618.18181818182</v>
      </c>
      <c r="W149" s="83">
        <f t="shared" si="1"/>
        <v>212836.36363636359</v>
      </c>
      <c r="X149" s="83" t="str">
        <f t="shared" si="1"/>
        <v/>
      </c>
      <c r="Y149" s="83" t="str">
        <f t="shared" si="1"/>
        <v/>
      </c>
      <c r="Z149" s="83" t="str">
        <f t="shared" si="1"/>
        <v/>
      </c>
      <c r="BA149" s="47"/>
      <c r="BB149" s="47"/>
      <c r="BC149" s="47"/>
      <c r="BD149" s="47"/>
    </row>
    <row r="150" spans="2:56" ht="19.5" customHeight="1" thickTop="1" x14ac:dyDescent="0.15"/>
    <row r="151" spans="2:56" ht="19.5" customHeight="1" thickBot="1" x14ac:dyDescent="0.2">
      <c r="D151" s="314" t="str">
        <f>IF(AND(ISTEXT(D71)=TRUE,D75&lt;&gt;0),B78,"select a vehicle category")</f>
        <v>Near-term targets: PLDVs | Advanced Economies</v>
      </c>
      <c r="F151" s="315" t="str">
        <f>+B81</f>
        <v>select a LDV category</v>
      </c>
      <c r="G151" s="315">
        <f>+G81</f>
        <v>0</v>
      </c>
      <c r="H151" s="315" t="e">
        <f>+H81</f>
        <v>#N/A</v>
      </c>
      <c r="J151" s="83" t="e">
        <f>IF(AND($D$24&gt;0,J146&lt;&gt;""),HLOOKUP(J$146,Calculations!$B$1:$AI$235,ROW(Calculations!B130)),"")</f>
        <v>#N/A</v>
      </c>
      <c r="K151" s="83" t="e">
        <f>IF(AND($D$24&gt;0,K146&lt;&gt;""),HLOOKUP(K$146,Calculations!$B$1:$AI$235,ROW(Calculations!C130)),"")</f>
        <v>#N/A</v>
      </c>
      <c r="L151" s="83" t="e">
        <f>IF(AND($D$24&gt;0,L146&lt;&gt;""),HLOOKUP(L$146,Calculations!$B$1:$AI$235,ROW(Calculations!D130)),"")</f>
        <v>#N/A</v>
      </c>
      <c r="M151" s="83" t="e">
        <f>IF(AND($D$24&gt;0,M146&lt;&gt;""),HLOOKUP(M$146,Calculations!$B$1:$AI$235,ROW(Calculations!E130)),"")</f>
        <v>#N/A</v>
      </c>
      <c r="N151" s="83" t="e">
        <f>IF(AND($D$24&gt;0,N146&lt;&gt;""),HLOOKUP(N$146,Calculations!$B$1:$AI$235,ROW(Calculations!F130)),"")</f>
        <v>#N/A</v>
      </c>
      <c r="O151" s="83" t="e">
        <f>IF(AND($D$24&gt;0,O146&lt;&gt;""),HLOOKUP(O$146,Calculations!$B$1:$AI$235,ROW(Calculations!G130)),"")</f>
        <v>#N/A</v>
      </c>
      <c r="P151" s="83" t="e">
        <f>IF(AND($D$24&gt;0,P146&lt;&gt;""),HLOOKUP(P$146,Calculations!$B$1:$AI$235,ROW(Calculations!H130)),"")</f>
        <v>#N/A</v>
      </c>
      <c r="Q151" s="83" t="e">
        <f>IF(AND($D$24&gt;0,Q146&lt;&gt;""),HLOOKUP(Q$146,Calculations!$B$1:$AI$235,ROW(Calculations!I130)),"")</f>
        <v>#N/A</v>
      </c>
      <c r="R151" s="83" t="e">
        <f>IF(AND($D$24&gt;0,R146&lt;&gt;""),HLOOKUP(R$146,Calculations!$B$1:$AI$235,ROW(Calculations!J130)),"")</f>
        <v>#N/A</v>
      </c>
      <c r="S151" s="83" t="e">
        <f>IF(AND($D$24&gt;0,S146&lt;&gt;""),HLOOKUP(S$146,Calculations!$B$1:$AI$235,ROW(Calculations!K130)),"")</f>
        <v>#N/A</v>
      </c>
      <c r="T151" s="83" t="e">
        <f>IF(AND($D$24&gt;0,T146&lt;&gt;""),HLOOKUP(T$146,Calculations!$B$1:$AI$235,ROW(Calculations!L130)),"")</f>
        <v>#N/A</v>
      </c>
      <c r="U151" s="83" t="e">
        <f>IF(AND($D$24&gt;0,U146&lt;&gt;""),HLOOKUP(U$146,Calculations!$B$1:$AI$235,ROW(Calculations!M130)),"")</f>
        <v>#N/A</v>
      </c>
      <c r="V151" s="83" t="e">
        <f>IF(AND($D$24&gt;0,V146&lt;&gt;""),HLOOKUP(V$146,Calculations!$B$1:$AI$235,ROW(Calculations!N130)),"")</f>
        <v>#N/A</v>
      </c>
      <c r="W151" s="83" t="e">
        <f>IF(AND($D$24&gt;0,W146&lt;&gt;""),HLOOKUP(W$146,Calculations!$B$1:$AI$235,ROW(Calculations!O130)),"")</f>
        <v>#N/A</v>
      </c>
      <c r="X151" s="83" t="str">
        <f>IF(AND($D$24&gt;0,X146&lt;&gt;""),HLOOKUP(X$146,Calculations!$B$1:$AI$235,ROW(Calculations!P130)),"")</f>
        <v/>
      </c>
      <c r="Y151" s="83" t="str">
        <f>IF(AND($D$24&gt;0,Y146&lt;&gt;""),HLOOKUP(Y$146,Calculations!$B$1:$AI$235,ROW(Calculations!Q130)),"")</f>
        <v/>
      </c>
      <c r="Z151" s="83" t="str">
        <f>IF(AND($D$24&gt;0,Z146&lt;&gt;""),HLOOKUP(Z$146,Calculations!$B$1:$AI$235,ROW(Calculations!R130)),"")</f>
        <v/>
      </c>
    </row>
    <row r="152" spans="2:56" ht="19.5" customHeight="1" thickTop="1" thickBot="1" x14ac:dyDescent="0.2">
      <c r="D152" s="314"/>
      <c r="F152" s="315" t="str">
        <f>+B82</f>
        <v>select a LDV category</v>
      </c>
      <c r="G152" s="315">
        <f>+G82</f>
        <v>0</v>
      </c>
      <c r="H152" s="315" t="e">
        <f>+H82</f>
        <v>#N/A</v>
      </c>
      <c r="I152" s="45"/>
      <c r="J152" s="103" t="e">
        <f>IF(AND($D$24&gt;0,J146&lt;&gt;""),HLOOKUP(J$146,Calculations!$B$1:$AI$235,ROW(Calculations!B135)),"")</f>
        <v>#N/A</v>
      </c>
      <c r="K152" s="103" t="e">
        <f>IF(AND($D$24&gt;0,K146&lt;&gt;""),HLOOKUP(K$146,Calculations!$B$1:$AI$235,ROW(Calculations!C135)),"")</f>
        <v>#N/A</v>
      </c>
      <c r="L152" s="103" t="e">
        <f>IF(AND($D$24&gt;0,L146&lt;&gt;""),HLOOKUP(L$146,Calculations!$B$1:$AI$235,ROW(Calculations!D135)),"")</f>
        <v>#N/A</v>
      </c>
      <c r="M152" s="103" t="e">
        <f>IF(AND($D$24&gt;0,M146&lt;&gt;""),HLOOKUP(M$146,Calculations!$B$1:$AI$235,ROW(Calculations!E135)),"")</f>
        <v>#N/A</v>
      </c>
      <c r="N152" s="103" t="e">
        <f>IF(AND($D$24&gt;0,N146&lt;&gt;""),HLOOKUP(N$146,Calculations!$B$1:$AI$235,ROW(Calculations!F135)),"")</f>
        <v>#N/A</v>
      </c>
      <c r="O152" s="103" t="e">
        <f>IF(AND($D$24&gt;0,O146&lt;&gt;""),HLOOKUP(O$146,Calculations!$B$1:$AI$235,ROW(Calculations!G135)),"")</f>
        <v>#N/A</v>
      </c>
      <c r="P152" s="103" t="e">
        <f>IF(AND($D$24&gt;0,P146&lt;&gt;""),HLOOKUP(P$146,Calculations!$B$1:$AI$235,ROW(Calculations!H135)),"")</f>
        <v>#N/A</v>
      </c>
      <c r="Q152" s="103" t="e">
        <f>IF(AND($D$24&gt;0,Q146&lt;&gt;""),HLOOKUP(Q$146,Calculations!$B$1:$AI$235,ROW(Calculations!I135)),"")</f>
        <v>#N/A</v>
      </c>
      <c r="R152" s="103" t="e">
        <f>IF(AND($D$24&gt;0,R146&lt;&gt;""),HLOOKUP(R$146,Calculations!$B$1:$AI$235,ROW(Calculations!J135)),"")</f>
        <v>#N/A</v>
      </c>
      <c r="S152" s="103" t="e">
        <f>IF(AND($D$24&gt;0,S146&lt;&gt;""),HLOOKUP(S$146,Calculations!$B$1:$AI$235,ROW(Calculations!K135)),"")</f>
        <v>#N/A</v>
      </c>
      <c r="T152" s="103" t="e">
        <f>IF(AND($D$24&gt;0,T146&lt;&gt;""),HLOOKUP(T$146,Calculations!$B$1:$AI$235,ROW(Calculations!L135)),"")</f>
        <v>#N/A</v>
      </c>
      <c r="U152" s="103" t="e">
        <f>IF(AND($D$24&gt;0,U146&lt;&gt;""),HLOOKUP(U$146,Calculations!$B$1:$AI$235,ROW(Calculations!M135)),"")</f>
        <v>#N/A</v>
      </c>
      <c r="V152" s="103" t="e">
        <f>IF(AND($D$24&gt;0,V146&lt;&gt;""),HLOOKUP(V$146,Calculations!$B$1:$AI$235,ROW(Calculations!N135)),"")</f>
        <v>#N/A</v>
      </c>
      <c r="W152" s="103" t="e">
        <f>IF(AND($D$24&gt;0,W146&lt;&gt;""),HLOOKUP(W$146,Calculations!$B$1:$AI$235,ROW(Calculations!O135)),"")</f>
        <v>#N/A</v>
      </c>
      <c r="X152" s="103" t="str">
        <f>IF(AND($D$24&gt;0,X146&lt;&gt;""),HLOOKUP(X$146,Calculations!$B$1:$AI$235,ROW(Calculations!P135)),"")</f>
        <v/>
      </c>
      <c r="Y152" s="103" t="str">
        <f>IF(AND($D$24&gt;0,Y146&lt;&gt;""),HLOOKUP(Y$146,Calculations!$B$1:$AI$235,ROW(Calculations!Q135)),"")</f>
        <v/>
      </c>
      <c r="Z152" s="103" t="str">
        <f>IF(AND($D$24&gt;0,Z146&lt;&gt;""),HLOOKUP(Z$146,Calculations!$B$1:$AI$235,ROW(Calculations!R135)),"")</f>
        <v/>
      </c>
      <c r="AA152" s="81"/>
      <c r="AB152" s="81"/>
      <c r="AC152" s="81"/>
      <c r="AD152" s="81"/>
    </row>
    <row r="153" spans="2:56" ht="19.5" customHeight="1" thickTop="1" x14ac:dyDescent="0.15"/>
    <row r="154" spans="2:56" ht="19.5" customHeight="1" thickBot="1" x14ac:dyDescent="0.2">
      <c r="D154" s="314" t="str">
        <f>IF(AND(ISTEXT(D111)=TRUE,D115&lt;&gt;0),B118,"select a vehicle category")</f>
        <v>Near-term targets: Medium Duty Trucks | Advanced Economies</v>
      </c>
      <c r="F154" s="315" t="str">
        <f>+B121</f>
        <v>select a vehicle category</v>
      </c>
      <c r="G154" s="315">
        <f>+G84</f>
        <v>0</v>
      </c>
      <c r="H154" s="315">
        <f>+H84</f>
        <v>0</v>
      </c>
      <c r="J154" s="83" t="e">
        <f>IF(AND($D$24&gt;0,J149&lt;&gt;""),HLOOKUP(J$146,Calculations!$B$1:$AI$235,ROW(Calculations!E140)),"")</f>
        <v>#N/A</v>
      </c>
      <c r="K154" s="83" t="e">
        <f>IF(AND($D$24&gt;0,K149&lt;&gt;""),HLOOKUP(K$146,Calculations!$B$1:$AI$235,ROW(Calculations!F140)),"")</f>
        <v>#N/A</v>
      </c>
      <c r="L154" s="83" t="e">
        <f>IF(AND($D$24&gt;0,L149&lt;&gt;""),HLOOKUP(L$146,Calculations!$B$1:$AI$235,ROW(Calculations!G140)),"")</f>
        <v>#N/A</v>
      </c>
      <c r="M154" s="83" t="e">
        <f>IF(AND($D$24&gt;0,M149&lt;&gt;""),HLOOKUP(M$146,Calculations!$B$1:$AI$235,ROW(Calculations!H140)),"")</f>
        <v>#N/A</v>
      </c>
      <c r="N154" s="83" t="e">
        <f>IF(AND($D$24&gt;0,N149&lt;&gt;""),HLOOKUP(N$146,Calculations!$B$1:$AI$235,ROW(Calculations!I140)),"")</f>
        <v>#N/A</v>
      </c>
      <c r="O154" s="83" t="e">
        <f>IF(AND($D$24&gt;0,O149&lt;&gt;""),HLOOKUP(O$146,Calculations!$B$1:$AI$235,ROW(Calculations!J140)),"")</f>
        <v>#N/A</v>
      </c>
      <c r="P154" s="83" t="e">
        <f>IF(AND($D$24&gt;0,P149&lt;&gt;""),HLOOKUP(P$146,Calculations!$B$1:$AI$235,ROW(Calculations!K140)),"")</f>
        <v>#N/A</v>
      </c>
      <c r="Q154" s="83" t="e">
        <f>IF(AND($D$24&gt;0,Q149&lt;&gt;""),HLOOKUP(Q$146,Calculations!$B$1:$AI$235,ROW(Calculations!L140)),"")</f>
        <v>#N/A</v>
      </c>
      <c r="R154" s="83" t="e">
        <f>IF(AND($D$24&gt;0,R149&lt;&gt;""),HLOOKUP(R$146,Calculations!$B$1:$AI$235,ROW(Calculations!M140)),"")</f>
        <v>#N/A</v>
      </c>
      <c r="S154" s="83" t="e">
        <f>IF(AND($D$24&gt;0,S149&lt;&gt;""),HLOOKUP(S$146,Calculations!$B$1:$AI$235,ROW(Calculations!N140)),"")</f>
        <v>#N/A</v>
      </c>
      <c r="T154" s="83" t="e">
        <f>IF(AND($D$24&gt;0,T149&lt;&gt;""),HLOOKUP(T$146,Calculations!$B$1:$AI$235,ROW(Calculations!O140)),"")</f>
        <v>#N/A</v>
      </c>
      <c r="U154" s="83" t="e">
        <f>IF(AND($D$24&gt;0,U149&lt;&gt;""),HLOOKUP(U$146,Calculations!$B$1:$AI$235,ROW(Calculations!P140)),"")</f>
        <v>#N/A</v>
      </c>
      <c r="V154" s="83" t="e">
        <f>IF(AND($D$24&gt;0,V149&lt;&gt;""),HLOOKUP(V$146,Calculations!$B$1:$AI$235,ROW(Calculations!Q140)),"")</f>
        <v>#N/A</v>
      </c>
      <c r="W154" s="83" t="e">
        <f>IF(AND($D$24&gt;0,W149&lt;&gt;""),HLOOKUP(W$146,Calculations!$B$1:$AI$235,ROW(Calculations!R140)),"")</f>
        <v>#N/A</v>
      </c>
      <c r="X154" s="83" t="str">
        <f>IF(AND($D$24&gt;0,X149&lt;&gt;""),HLOOKUP(X$146,Calculations!$B$1:$AI$235,ROW(Calculations!S140)),"")</f>
        <v/>
      </c>
      <c r="Y154" s="83" t="str">
        <f>IF(AND($D$24&gt;0,Y149&lt;&gt;""),HLOOKUP(Y$146,Calculations!$B$1:$AI$235,ROW(Calculations!T140)),"")</f>
        <v/>
      </c>
      <c r="Z154" s="83" t="str">
        <f>IF(AND($D$24&gt;0,Z149&lt;&gt;""),HLOOKUP(Z$146,Calculations!$B$1:$AI$235,ROW(Calculations!U140)),"")</f>
        <v/>
      </c>
    </row>
    <row r="155" spans="2:56" ht="19.5" customHeight="1" thickTop="1" thickBot="1" x14ac:dyDescent="0.2">
      <c r="D155" s="314"/>
      <c r="F155" s="315" t="str">
        <f>+B122</f>
        <v>select a vehicle category</v>
      </c>
      <c r="G155" s="315">
        <f>+G85</f>
        <v>0</v>
      </c>
      <c r="H155" s="315">
        <f>+H85</f>
        <v>0</v>
      </c>
      <c r="I155" s="45"/>
      <c r="J155" s="103" t="e">
        <f>IF(AND($D$24&gt;0,J146&lt;&gt;""),HLOOKUP(J$146,Calculations!$B$1:$AI$235,ROW(Calculations!E145)),"")</f>
        <v>#N/A</v>
      </c>
      <c r="K155" s="103" t="e">
        <f>IF(AND($D$24&gt;0,K146&lt;&gt;""),HLOOKUP(K$146,Calculations!$B$1:$AI$235,ROW(Calculations!F145)),"")</f>
        <v>#N/A</v>
      </c>
      <c r="L155" s="103" t="e">
        <f>IF(AND($D$24&gt;0,L146&lt;&gt;""),HLOOKUP(L$146,Calculations!$B$1:$AI$235,ROW(Calculations!G145)),"")</f>
        <v>#N/A</v>
      </c>
      <c r="M155" s="103" t="e">
        <f>IF(AND($D$24&gt;0,M146&lt;&gt;""),HLOOKUP(M$146,Calculations!$B$1:$AI$235,ROW(Calculations!H145)),"")</f>
        <v>#N/A</v>
      </c>
      <c r="N155" s="103" t="e">
        <f>IF(AND($D$24&gt;0,N146&lt;&gt;""),HLOOKUP(N$146,Calculations!$B$1:$AI$235,ROW(Calculations!I145)),"")</f>
        <v>#N/A</v>
      </c>
      <c r="O155" s="103" t="e">
        <f>IF(AND($D$24&gt;0,O146&lt;&gt;""),HLOOKUP(O$146,Calculations!$B$1:$AI$235,ROW(Calculations!J145)),"")</f>
        <v>#N/A</v>
      </c>
      <c r="P155" s="103" t="e">
        <f>IF(AND($D$24&gt;0,P146&lt;&gt;""),HLOOKUP(P$146,Calculations!$B$1:$AI$235,ROW(Calculations!K145)),"")</f>
        <v>#N/A</v>
      </c>
      <c r="Q155" s="103" t="e">
        <f>IF(AND($D$24&gt;0,Q146&lt;&gt;""),HLOOKUP(Q$146,Calculations!$B$1:$AI$235,ROW(Calculations!L145)),"")</f>
        <v>#N/A</v>
      </c>
      <c r="R155" s="103" t="e">
        <f>IF(AND($D$24&gt;0,R146&lt;&gt;""),HLOOKUP(R$146,Calculations!$B$1:$AI$235,ROW(Calculations!M145)),"")</f>
        <v>#N/A</v>
      </c>
      <c r="S155" s="103" t="e">
        <f>IF(AND($D$24&gt;0,S146&lt;&gt;""),HLOOKUP(S$146,Calculations!$B$1:$AI$235,ROW(Calculations!N145)),"")</f>
        <v>#N/A</v>
      </c>
      <c r="T155" s="103" t="e">
        <f>IF(AND($D$24&gt;0,T146&lt;&gt;""),HLOOKUP(T$146,Calculations!$B$1:$AI$235,ROW(Calculations!O145)),"")</f>
        <v>#N/A</v>
      </c>
      <c r="U155" s="103" t="e">
        <f>IF(AND($D$24&gt;0,U146&lt;&gt;""),HLOOKUP(U$146,Calculations!$B$1:$AI$235,ROW(Calculations!P145)),"")</f>
        <v>#N/A</v>
      </c>
      <c r="V155" s="103" t="e">
        <f>IF(AND($D$24&gt;0,V146&lt;&gt;""),HLOOKUP(V$146,Calculations!$B$1:$AI$235,ROW(Calculations!Q145)),"")</f>
        <v>#N/A</v>
      </c>
      <c r="W155" s="103" t="e">
        <f>IF(AND($D$24&gt;0,W146&lt;&gt;""),HLOOKUP(W$146,Calculations!$B$1:$AI$235,ROW(Calculations!R145)),"")</f>
        <v>#N/A</v>
      </c>
      <c r="X155" s="103" t="str">
        <f>IF(AND($D$24&gt;0,X146&lt;&gt;""),HLOOKUP(X$146,Calculations!$B$1:$AI$235,ROW(Calculations!S145)),"")</f>
        <v/>
      </c>
      <c r="Y155" s="103" t="str">
        <f>IF(AND($D$24&gt;0,Y146&lt;&gt;""),HLOOKUP(Y$146,Calculations!$B$1:$AI$235,ROW(Calculations!T145)),"")</f>
        <v/>
      </c>
      <c r="Z155" s="103" t="str">
        <f>IF(AND($D$24&gt;0,Z146&lt;&gt;""),HLOOKUP(Z$146,Calculations!$B$1:$AI$235,ROW(Calculations!U145)),"")</f>
        <v/>
      </c>
    </row>
    <row r="156" spans="2:56" ht="19.5" customHeight="1" thickTop="1" x14ac:dyDescent="0.15">
      <c r="J156" s="48"/>
      <c r="K156" s="48"/>
      <c r="L156" s="48"/>
      <c r="M156" s="48"/>
      <c r="N156" s="48"/>
      <c r="O156" s="48"/>
      <c r="P156" s="48"/>
      <c r="Q156" s="48"/>
      <c r="R156" s="48"/>
      <c r="S156" s="48"/>
      <c r="T156" s="48"/>
      <c r="U156" s="48"/>
      <c r="V156" s="48"/>
      <c r="W156" s="48"/>
      <c r="X156" s="48"/>
      <c r="Y156" s="48"/>
      <c r="Z156" s="48"/>
      <c r="AA156" s="48"/>
      <c r="AB156" s="48"/>
      <c r="AC156" s="48"/>
      <c r="AD156" s="48"/>
      <c r="AF156" s="48"/>
      <c r="AG156" s="48"/>
      <c r="AH156" s="48"/>
      <c r="AI156" s="48"/>
      <c r="AJ156" s="48"/>
      <c r="AK156" s="48"/>
      <c r="AL156" s="48"/>
      <c r="AM156" s="48"/>
      <c r="AN156" s="48"/>
      <c r="AO156" s="48"/>
      <c r="AP156" s="48"/>
      <c r="AQ156" s="48"/>
      <c r="AR156" s="48"/>
      <c r="AS156" s="48"/>
      <c r="AT156" s="48"/>
      <c r="AU156" s="48"/>
      <c r="AV156" s="48"/>
      <c r="AW156" s="48"/>
      <c r="AX156" s="48"/>
      <c r="AY156" s="48"/>
      <c r="AZ156" s="48"/>
      <c r="BA156" s="48"/>
    </row>
    <row r="157" spans="2:56" ht="19.5" customHeight="1" x14ac:dyDescent="0.15">
      <c r="AT157" s="48"/>
      <c r="AU157" s="48"/>
      <c r="AV157" s="48"/>
      <c r="AW157" s="48"/>
      <c r="AX157" s="48"/>
      <c r="AY157" s="48"/>
      <c r="AZ157" s="48"/>
      <c r="BA157" s="48"/>
      <c r="BB157" s="48"/>
      <c r="BC157" s="48"/>
      <c r="BD157" s="48"/>
    </row>
    <row r="158" spans="2:56" ht="19.5" customHeight="1" x14ac:dyDescent="0.15">
      <c r="AT158" s="48"/>
      <c r="AU158" s="48"/>
      <c r="AV158" s="48"/>
      <c r="AW158" s="48"/>
      <c r="AX158" s="48"/>
      <c r="AY158" s="48"/>
      <c r="AZ158" s="48"/>
      <c r="BA158" s="48"/>
      <c r="BB158" s="48"/>
      <c r="BC158" s="48"/>
      <c r="BD158" s="48"/>
    </row>
    <row r="159" spans="2:56" ht="19.5" customHeight="1" x14ac:dyDescent="0.15">
      <c r="AT159" s="48"/>
      <c r="AU159" s="48"/>
      <c r="AV159" s="48"/>
      <c r="AW159" s="48"/>
      <c r="AX159" s="48"/>
      <c r="AY159" s="48"/>
      <c r="AZ159" s="48"/>
      <c r="BA159" s="48"/>
      <c r="BB159" s="48"/>
      <c r="BC159" s="48"/>
      <c r="BD159" s="48"/>
    </row>
    <row r="160" spans="2:56" ht="19.5" customHeight="1" x14ac:dyDescent="0.15">
      <c r="AT160" s="48"/>
      <c r="AU160" s="48"/>
      <c r="AV160" s="48"/>
      <c r="AW160" s="48"/>
      <c r="AX160" s="48"/>
      <c r="AY160" s="48"/>
      <c r="AZ160" s="48"/>
      <c r="BA160" s="48"/>
      <c r="BB160" s="48"/>
      <c r="BC160" s="48"/>
      <c r="BD160" s="48"/>
    </row>
    <row r="161" ht="19.5" customHeight="1" x14ac:dyDescent="0.15"/>
    <row r="162" ht="19.5" customHeight="1" x14ac:dyDescent="0.15"/>
    <row r="163" ht="19.5" customHeight="1" x14ac:dyDescent="0.15"/>
    <row r="164" ht="19.5" customHeight="1" x14ac:dyDescent="0.15"/>
    <row r="165" ht="19.5" customHeight="1" x14ac:dyDescent="0.15"/>
    <row r="166" ht="19.5" customHeight="1" x14ac:dyDescent="0.15"/>
    <row r="167" ht="19.5" customHeight="1" x14ac:dyDescent="0.15"/>
    <row r="168" ht="19.5" customHeight="1" x14ac:dyDescent="0.15"/>
    <row r="169" ht="19.5" customHeight="1" x14ac:dyDescent="0.15"/>
  </sheetData>
  <mergeCells count="28">
    <mergeCell ref="J23:Q29"/>
    <mergeCell ref="D9:K9"/>
    <mergeCell ref="D10:K10"/>
    <mergeCell ref="D11:K11"/>
    <mergeCell ref="D12:K12"/>
    <mergeCell ref="B20:H20"/>
    <mergeCell ref="D125:L125"/>
    <mergeCell ref="D39:L39"/>
    <mergeCell ref="D40:L40"/>
    <mergeCell ref="D42:L42"/>
    <mergeCell ref="D43:L43"/>
    <mergeCell ref="B67:H67"/>
    <mergeCell ref="B68:H68"/>
    <mergeCell ref="D84:L84"/>
    <mergeCell ref="D85:L85"/>
    <mergeCell ref="B107:H107"/>
    <mergeCell ref="B108:H108"/>
    <mergeCell ref="D124:L124"/>
    <mergeCell ref="D154:D155"/>
    <mergeCell ref="F154:H154"/>
    <mergeCell ref="F155:H155"/>
    <mergeCell ref="D147:D149"/>
    <mergeCell ref="F147:H147"/>
    <mergeCell ref="F148:H148"/>
    <mergeCell ref="F149:H149"/>
    <mergeCell ref="D151:D152"/>
    <mergeCell ref="F151:H151"/>
    <mergeCell ref="F152:H152"/>
  </mergeCells>
  <conditionalFormatting sqref="B25">
    <cfRule type="cellIs" dxfId="25" priority="25" operator="lessThan">
      <formula>10</formula>
    </cfRule>
    <cfRule type="cellIs" dxfId="24" priority="24" operator="lessThan">
      <formula>100</formula>
    </cfRule>
  </conditionalFormatting>
  <conditionalFormatting sqref="B28:B29 D28:D29">
    <cfRule type="expression" dxfId="23" priority="13">
      <formula>$D$27&lt;=$D$23</formula>
    </cfRule>
  </conditionalFormatting>
  <conditionalFormatting sqref="B34:B35 B37 F147:F149">
    <cfRule type="expression" dxfId="22" priority="20">
      <formula>ISNUMBER($D$24)=FALSE</formula>
    </cfRule>
  </conditionalFormatting>
  <conditionalFormatting sqref="B81:B82 I149:I151 F151:H152 I153:I154 F154:H155">
    <cfRule type="expression" dxfId="21" priority="22">
      <formula>ISTEXT($D$71)=FALSE</formula>
    </cfRule>
  </conditionalFormatting>
  <conditionalFormatting sqref="B121:B122">
    <cfRule type="expression" dxfId="20" priority="8">
      <formula>ISTEXT($D$71)=FALSE</formula>
    </cfRule>
  </conditionalFormatting>
  <conditionalFormatting sqref="C43:D43">
    <cfRule type="cellIs" dxfId="19" priority="2" operator="lessThan">
      <formula>10</formula>
    </cfRule>
    <cfRule type="cellIs" dxfId="18" priority="1" operator="lessThan">
      <formula>100</formula>
    </cfRule>
  </conditionalFormatting>
  <conditionalFormatting sqref="C84:D85">
    <cfRule type="cellIs" dxfId="17" priority="14" operator="lessThan">
      <formula>100</formula>
    </cfRule>
    <cfRule type="cellIs" dxfId="16" priority="15" operator="lessThan">
      <formula>10</formula>
    </cfRule>
  </conditionalFormatting>
  <conditionalFormatting sqref="C124:D125">
    <cfRule type="cellIs" dxfId="15" priority="5" operator="lessThan">
      <formula>10</formula>
    </cfRule>
    <cfRule type="cellIs" dxfId="14" priority="4" operator="lessThan">
      <formula>100</formula>
    </cfRule>
  </conditionalFormatting>
  <conditionalFormatting sqref="D33:D42 C39:C42 D44:D62 D64">
    <cfRule type="cellIs" dxfId="12" priority="18" operator="lessThan">
      <formula>100</formula>
    </cfRule>
    <cfRule type="cellIs" dxfId="11" priority="19" operator="lessThan">
      <formula>10</formula>
    </cfRule>
  </conditionalFormatting>
  <conditionalFormatting sqref="D80">
    <cfRule type="cellIs" dxfId="10" priority="16" operator="lessThan">
      <formula>100</formula>
    </cfRule>
    <cfRule type="cellIs" dxfId="9" priority="17" operator="lessThan">
      <formula>10</formula>
    </cfRule>
  </conditionalFormatting>
  <conditionalFormatting sqref="D102 D104">
    <cfRule type="cellIs" dxfId="8" priority="11" operator="lessThan">
      <formula>10</formula>
    </cfRule>
    <cfRule type="cellIs" dxfId="7" priority="10" operator="lessThan">
      <formula>100</formula>
    </cfRule>
  </conditionalFormatting>
  <conditionalFormatting sqref="D120">
    <cfRule type="cellIs" dxfId="6" priority="7" operator="lessThan">
      <formula>10</formula>
    </cfRule>
    <cfRule type="cellIs" dxfId="5" priority="6" operator="lessThan">
      <formula>100</formula>
    </cfRule>
  </conditionalFormatting>
  <conditionalFormatting sqref="J146:W149 X147:Z149 J152:AD152 J156:AD156 AF156:BA156 AT157:BD160">
    <cfRule type="expression" dxfId="2" priority="21">
      <formula>OR($D$23=0,$D$24=0)</formula>
    </cfRule>
  </conditionalFormatting>
  <conditionalFormatting sqref="J151:Z151">
    <cfRule type="expression" dxfId="1" priority="12">
      <formula>OR($D$23=0,$D$24=0)</formula>
    </cfRule>
  </conditionalFormatting>
  <conditionalFormatting sqref="J154:Z155">
    <cfRule type="expression" dxfId="0" priority="3">
      <formula>OR($D$23=0,$D$24=0)</formula>
    </cfRule>
  </conditionalFormatting>
  <dataValidations count="1">
    <dataValidation type="decimal" allowBlank="1" showInputMessage="1" showErrorMessage="1" sqref="D76 D116" xr:uid="{881F167F-CAB8-4724-9A20-950D99B19595}">
      <formula1>0</formula1>
      <formula2>100</formula2>
    </dataValidation>
  </dataValidations>
  <hyperlinks>
    <hyperlink ref="F5" r:id="rId1" xr:uid="{D1FAD3EA-6728-480C-B229-C5A1207E51E5}"/>
    <hyperlink ref="B32" location="'Automakers | Near-term targets'!D140" display="Review all target modelling data" xr:uid="{11AC376C-789E-4129-BFA5-7D5CA0D440F9}"/>
    <hyperlink ref="B79" location="'Automakers | Near-term targets'!D144" display="Review all target modelling data" xr:uid="{72E76B0C-B9F2-4901-A735-231184608FE2}"/>
    <hyperlink ref="F73" location="'Automakers | Near-term targets'!D23" display="Same as Section 1 above" xr:uid="{59645C19-1B4D-4B20-B688-49C7F6E6B0D9}"/>
    <hyperlink ref="F74" location="'Automakers | Near-term targets'!D26" display="Same as Section 1 above" xr:uid="{029F1484-CD5C-43BB-AD2C-1F36DBC1B882}"/>
    <hyperlink ref="F113" location="'Automakers | Near-term targets'!D23" display="Same as above" xr:uid="{05A64FDC-18E1-4218-A522-21E677372EE0}"/>
    <hyperlink ref="F114" location="'Automakers | Near-term targets'!D26" display="Same as above" xr:uid="{AFD3DACF-1FC4-48F2-A007-1A86EFB01064}"/>
    <hyperlink ref="B119" location="'Automakers | Near-term targets'!D147" display="Review all target modelling data" xr:uid="{668E5C29-DA5D-4940-B6BF-92EAD100970F}"/>
  </hyperlinks>
  <pageMargins left="0.7" right="0.7" top="0.75" bottom="0.75" header="0.3" footer="0.3"/>
  <pageSetup paperSize="9" orientation="portrait" horizontalDpi="4294967294" r:id="rId2"/>
  <drawing r:id="rId3"/>
  <extLst>
    <ext xmlns:x14="http://schemas.microsoft.com/office/spreadsheetml/2009/9/main" uri="{78C0D931-6437-407d-A8EE-F0AAD7539E65}">
      <x14:conditionalFormattings>
        <x14:conditionalFormatting xmlns:xm="http://schemas.microsoft.com/office/excel/2006/main">
          <x14:cfRule type="expression" priority="26" id="{9F3CA498-CDBD-4ED7-B87C-70A98CE6FB06}">
            <xm:f>AND($D$72=Lists!$N$2,OR($D$71=Lists!$B$4))</xm:f>
            <x14:dxf>
              <font>
                <color theme="0"/>
              </font>
              <numFmt numFmtId="169" formatCode=";;;"/>
              <fill>
                <patternFill patternType="none">
                  <bgColor auto="1"/>
                </patternFill>
              </fill>
              <border>
                <left/>
                <right/>
                <top/>
                <bottom/>
                <vertical/>
                <horizontal/>
              </border>
            </x14:dxf>
          </x14:cfRule>
          <xm:sqref>B25</xm:sqref>
        </x14:conditionalFormatting>
        <x14:conditionalFormatting xmlns:xm="http://schemas.microsoft.com/office/excel/2006/main">
          <x14:cfRule type="expression" priority="27" id="{3600026A-328C-4554-AEE6-761DD778A3F7}">
            <xm:f>AND($D$72=Lists!$N$2,OR($D$71=Lists!$B$4))</xm:f>
            <x14:dxf>
              <font>
                <color theme="0"/>
              </font>
              <fill>
                <patternFill>
                  <bgColor theme="0"/>
                </patternFill>
              </fill>
            </x14:dxf>
          </x14:cfRule>
          <xm:sqref>D25 F25 F29</xm:sqref>
        </x14:conditionalFormatting>
        <x14:conditionalFormatting xmlns:xm="http://schemas.microsoft.com/office/excel/2006/main">
          <x14:cfRule type="expression" priority="23" id="{F688C109-6968-43F8-B9A2-30488DD4E85E}">
            <xm:f>$D$72=Lists!$N$3</xm:f>
            <x14:dxf>
              <font>
                <color theme="0"/>
              </font>
            </x14:dxf>
          </x14:cfRule>
          <xm:sqref>F75:F76 F126:F138</xm:sqref>
        </x14:conditionalFormatting>
        <x14:conditionalFormatting xmlns:xm="http://schemas.microsoft.com/office/excel/2006/main">
          <x14:cfRule type="expression" priority="9" id="{A8C175C0-11E9-4369-8C37-4A0AF7C29715}">
            <xm:f>$D$72=Lists!$N$3</xm:f>
            <x14:dxf>
              <font>
                <color theme="0"/>
              </font>
            </x14:dxf>
          </x14:cfRule>
          <xm:sqref>F115:F117</xm:sqref>
        </x14:conditionalFormatting>
      </x14:conditionalFormattings>
    </ext>
    <ext xmlns:x14="http://schemas.microsoft.com/office/spreadsheetml/2009/9/main" uri="{CCE6A557-97BC-4b89-ADB6-D9C93CAAB3DF}">
      <x14:dataValidations xmlns:xm="http://schemas.microsoft.com/office/excel/2006/main" count="6">
        <x14:dataValidation type="list" allowBlank="1" showInputMessage="1" showErrorMessage="1" xr:uid="{AC82240E-FA24-4E68-BDC0-402B2C1BD5B2}">
          <x14:formula1>
            <xm:f>Lists!$B$4:$B$7</xm:f>
          </x14:formula1>
          <xm:sqref>D111</xm:sqref>
        </x14:dataValidation>
        <x14:dataValidation type="list" allowBlank="1" showInputMessage="1" showErrorMessage="1" prompt="Base and target years: Targets must cover a minimum of 5 years and a maximum of 10 years from the date the target is submitted to the SBTi for an official validation" xr:uid="{21674975-2D84-4C6C-974A-8139EE8CAC24}">
          <x14:formula1>
            <xm:f>Lists!$I$2:$I$8</xm:f>
          </x14:formula1>
          <xm:sqref>D27</xm:sqref>
        </x14:dataValidation>
        <x14:dataValidation type="list" allowBlank="1" showInputMessage="1" showErrorMessage="1" prompt="Base and target years: Targets must cover a minimum of 5 years and a maximum of 10 years from the date the target is submitted to the SBTi for an official validation" xr:uid="{15C255EB-DC18-4B88-AE3A-3AF69A2EDA47}">
          <x14:formula1>
            <xm:f>Lists!$H$2:$H$14</xm:f>
          </x14:formula1>
          <xm:sqref>D26</xm:sqref>
        </x14:dataValidation>
        <x14:dataValidation type="list" allowBlank="1" showInputMessage="1" showErrorMessage="1" prompt="Base and target years: Targets must cover a minimum of 5 years and a maximum of 10 years from the date the target is submitted to the SBTi for an official validation" xr:uid="{97B461A8-16E3-4F2B-9A30-893DC2CEF0C0}">
          <x14:formula1>
            <xm:f>Lists!$G$4:$G$9</xm:f>
          </x14:formula1>
          <xm:sqref>D23</xm:sqref>
        </x14:dataValidation>
        <x14:dataValidation type="list" allowBlank="1" showInputMessage="1" showErrorMessage="1" xr:uid="{532840F1-58F1-472B-9941-5473747C040F}">
          <x14:formula1>
            <xm:f>Lists!$F$2:$F$5</xm:f>
          </x14:formula1>
          <xm:sqref>D70 D110</xm:sqref>
        </x14:dataValidation>
        <x14:dataValidation type="list" allowBlank="1" showInputMessage="1" showErrorMessage="1" xr:uid="{09E71235-736C-4ECF-9D8E-D853F3F6E4D6}">
          <x14:formula1>
            <xm:f>Lists!B2:B3</xm:f>
          </x14:formula1>
          <xm:sqref>D71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rgb="FFF5A81C"/>
  </sheetPr>
  <dimension ref="B1:T34"/>
  <sheetViews>
    <sheetView zoomScale="90" zoomScaleNormal="90" workbookViewId="0">
      <selection activeCell="I10" sqref="I10"/>
    </sheetView>
  </sheetViews>
  <sheetFormatPr baseColWidth="10" defaultColWidth="11.5" defaultRowHeight="13" x14ac:dyDescent="0.15"/>
  <cols>
    <col min="1" max="1" width="3.5" style="6" customWidth="1"/>
    <col min="2" max="4" width="11.5" style="6" customWidth="1"/>
    <col min="5" max="16384" width="11.5" style="6"/>
  </cols>
  <sheetData>
    <row r="1" spans="2:20" ht="19.5" customHeight="1" x14ac:dyDescent="0.15"/>
    <row r="2" spans="2:20" ht="19.5" customHeight="1" x14ac:dyDescent="0.15"/>
    <row r="3" spans="2:20" ht="33.75" customHeight="1" x14ac:dyDescent="0.15">
      <c r="G3" s="246" t="str">
        <f>+README!F3</f>
        <v>SBTi Automotive Target-Setting Tool | DRAFT VERSION</v>
      </c>
      <c r="H3" s="246"/>
      <c r="I3" s="246"/>
      <c r="J3" s="246"/>
      <c r="K3" s="246"/>
      <c r="L3" s="246"/>
      <c r="M3" s="246"/>
      <c r="N3" s="246"/>
      <c r="O3" s="246"/>
      <c r="P3" s="246"/>
      <c r="Q3" s="16"/>
      <c r="R3" s="16"/>
      <c r="S3" s="16"/>
      <c r="T3" s="16"/>
    </row>
    <row r="4" spans="2:20" ht="19.5" customHeight="1" x14ac:dyDescent="0.15"/>
    <row r="5" spans="2:20" ht="19.5" customHeight="1" x14ac:dyDescent="0.15">
      <c r="G5" s="13" t="s">
        <v>28</v>
      </c>
      <c r="H5" s="23"/>
      <c r="I5" s="23">
        <f>+README!H5</f>
        <v>0.2</v>
      </c>
    </row>
    <row r="6" spans="2:20" ht="19.5" customHeight="1" x14ac:dyDescent="0.15">
      <c r="G6" s="13" t="s">
        <v>26</v>
      </c>
      <c r="H6" s="14"/>
      <c r="I6" s="15" t="s">
        <v>27</v>
      </c>
    </row>
    <row r="7" spans="2:20" ht="16" x14ac:dyDescent="0.2">
      <c r="B7" s="24"/>
      <c r="C7" s="24"/>
      <c r="D7" s="24"/>
      <c r="E7" s="24"/>
      <c r="F7" s="24"/>
      <c r="G7" s="24"/>
      <c r="H7" s="24"/>
      <c r="I7" s="24"/>
      <c r="J7" s="24"/>
      <c r="K7" s="24"/>
      <c r="L7" s="24"/>
      <c r="M7" s="24"/>
      <c r="N7" s="24"/>
      <c r="O7" s="24"/>
      <c r="P7" s="24"/>
    </row>
    <row r="8" spans="2:20" ht="16" x14ac:dyDescent="0.15">
      <c r="B8" s="25"/>
      <c r="C8" s="25"/>
      <c r="D8" s="25"/>
      <c r="E8" s="25"/>
      <c r="F8" s="25"/>
      <c r="G8" s="25"/>
      <c r="H8" s="25"/>
      <c r="I8" s="25"/>
      <c r="J8" s="25"/>
      <c r="K8" s="25"/>
      <c r="L8" s="25"/>
      <c r="M8" s="25"/>
      <c r="N8" s="25"/>
      <c r="O8" s="25"/>
      <c r="P8" s="25"/>
    </row>
    <row r="9" spans="2:20" ht="25" x14ac:dyDescent="0.15">
      <c r="B9" s="22" t="s">
        <v>34</v>
      </c>
      <c r="C9" s="28"/>
      <c r="D9" s="28"/>
      <c r="E9" s="28"/>
      <c r="F9" s="28"/>
      <c r="G9" s="28"/>
      <c r="H9" s="28"/>
      <c r="I9" s="28"/>
      <c r="J9" s="28"/>
      <c r="K9" s="28"/>
      <c r="L9" s="28"/>
      <c r="M9" s="28"/>
      <c r="N9" s="28"/>
      <c r="O9" s="28"/>
      <c r="P9" s="28"/>
    </row>
    <row r="10" spans="2:20" s="27" customFormat="1" x14ac:dyDescent="0.15">
      <c r="B10" s="26"/>
      <c r="C10" s="26"/>
      <c r="D10" s="26"/>
      <c r="E10" s="26"/>
      <c r="F10" s="26"/>
      <c r="G10" s="26"/>
      <c r="H10" s="26"/>
      <c r="I10" s="26"/>
      <c r="J10" s="26"/>
      <c r="K10" s="26"/>
      <c r="L10" s="26"/>
      <c r="M10" s="26"/>
      <c r="N10" s="26"/>
      <c r="O10" s="26"/>
      <c r="P10" s="26"/>
    </row>
    <row r="11" spans="2:20" ht="25" x14ac:dyDescent="0.15">
      <c r="B11" s="17" t="s">
        <v>237</v>
      </c>
      <c r="C11" s="20"/>
      <c r="D11" s="20"/>
      <c r="E11" s="20"/>
      <c r="F11" s="20"/>
      <c r="G11" s="20"/>
      <c r="H11" s="20"/>
      <c r="I11" s="20"/>
      <c r="J11" s="20"/>
      <c r="K11" s="20"/>
      <c r="L11" s="20"/>
      <c r="M11" s="20"/>
      <c r="N11" s="20"/>
      <c r="O11" s="20"/>
      <c r="P11" s="20"/>
    </row>
    <row r="12" spans="2:20" ht="25" x14ac:dyDescent="0.15">
      <c r="B12" s="17"/>
      <c r="C12" s="20"/>
      <c r="D12" s="20"/>
      <c r="E12" s="20"/>
      <c r="F12" s="20"/>
      <c r="G12" s="20"/>
      <c r="H12" s="20"/>
      <c r="I12" s="20"/>
      <c r="J12" s="20"/>
      <c r="K12" s="20"/>
      <c r="L12" s="20"/>
      <c r="M12" s="20"/>
      <c r="N12" s="20"/>
      <c r="O12" s="20"/>
      <c r="P12" s="20"/>
    </row>
    <row r="13" spans="2:20" s="23" customFormat="1" ht="33.75" customHeight="1" x14ac:dyDescent="0.15">
      <c r="B13" s="262" t="s">
        <v>35</v>
      </c>
      <c r="C13" s="262"/>
      <c r="D13" s="262"/>
      <c r="E13" s="19"/>
      <c r="F13" s="257" t="s">
        <v>323</v>
      </c>
      <c r="G13" s="257"/>
      <c r="H13" s="257"/>
      <c r="I13" s="29"/>
      <c r="J13" s="259" t="s">
        <v>324</v>
      </c>
      <c r="K13" s="259"/>
      <c r="L13" s="259"/>
      <c r="M13" s="29"/>
      <c r="N13" s="261" t="s">
        <v>49</v>
      </c>
      <c r="O13" s="261"/>
      <c r="P13" s="261"/>
    </row>
    <row r="14" spans="2:20" s="23" customFormat="1" ht="33.75" customHeight="1" x14ac:dyDescent="0.15">
      <c r="B14" s="262"/>
      <c r="C14" s="262"/>
      <c r="D14" s="262"/>
      <c r="E14" s="19"/>
      <c r="F14" s="257"/>
      <c r="G14" s="257"/>
      <c r="H14" s="257"/>
      <c r="I14" s="29"/>
      <c r="J14" s="259"/>
      <c r="K14" s="259"/>
      <c r="L14" s="259"/>
      <c r="M14" s="29"/>
      <c r="N14" s="261"/>
      <c r="O14" s="261"/>
      <c r="P14" s="261"/>
    </row>
    <row r="15" spans="2:20" s="23" customFormat="1" ht="33.75" customHeight="1" x14ac:dyDescent="0.15">
      <c r="B15" s="263" t="s">
        <v>39</v>
      </c>
      <c r="C15" s="263"/>
      <c r="D15" s="263"/>
      <c r="E15" s="18"/>
      <c r="F15" s="258" t="s">
        <v>325</v>
      </c>
      <c r="G15" s="258"/>
      <c r="H15" s="258"/>
      <c r="I15" s="30"/>
      <c r="J15" s="260" t="s">
        <v>326</v>
      </c>
      <c r="K15" s="260"/>
      <c r="L15" s="260"/>
      <c r="M15" s="30"/>
      <c r="N15" s="265" t="s">
        <v>327</v>
      </c>
      <c r="O15" s="265"/>
      <c r="P15" s="265"/>
    </row>
    <row r="16" spans="2:20" s="23" customFormat="1" ht="33.75" customHeight="1" x14ac:dyDescent="0.15">
      <c r="B16" s="263"/>
      <c r="C16" s="263"/>
      <c r="D16" s="263"/>
      <c r="E16" s="18"/>
      <c r="F16" s="258"/>
      <c r="G16" s="258"/>
      <c r="H16" s="258"/>
      <c r="I16" s="30"/>
      <c r="J16" s="260"/>
      <c r="K16" s="260"/>
      <c r="L16" s="260"/>
      <c r="M16" s="30"/>
      <c r="N16" s="265"/>
      <c r="O16" s="265"/>
      <c r="P16" s="265"/>
    </row>
    <row r="17" spans="2:16" ht="33.75" customHeight="1" x14ac:dyDescent="0.15">
      <c r="B17" s="263"/>
      <c r="C17" s="263"/>
      <c r="D17" s="263"/>
      <c r="E17" s="9"/>
      <c r="F17" s="258"/>
      <c r="G17" s="258"/>
      <c r="H17" s="258"/>
      <c r="I17" s="31"/>
      <c r="J17" s="260"/>
      <c r="K17" s="260"/>
      <c r="L17" s="260"/>
      <c r="M17" s="31"/>
      <c r="N17" s="266" t="s">
        <v>37</v>
      </c>
      <c r="O17" s="266"/>
      <c r="P17" s="266"/>
    </row>
    <row r="18" spans="2:16" ht="33.75" customHeight="1" x14ac:dyDescent="0.2">
      <c r="C18" s="9"/>
      <c r="D18" s="9"/>
      <c r="E18" s="9"/>
      <c r="F18" s="9"/>
      <c r="G18" s="9"/>
      <c r="H18" s="9"/>
      <c r="I18" s="9"/>
      <c r="J18" s="9"/>
      <c r="K18" s="9"/>
      <c r="L18" s="32" t="s">
        <v>36</v>
      </c>
      <c r="M18" s="9"/>
      <c r="N18" s="9"/>
      <c r="O18" s="9"/>
      <c r="P18" s="9"/>
    </row>
    <row r="19" spans="2:16" ht="33.75" customHeight="1" x14ac:dyDescent="0.15">
      <c r="C19" s="21"/>
      <c r="D19" s="21"/>
      <c r="E19" s="21"/>
      <c r="F19" s="21"/>
      <c r="G19" s="21"/>
      <c r="H19" s="21"/>
      <c r="I19" s="21"/>
      <c r="J19" s="21"/>
      <c r="K19" s="21"/>
      <c r="L19" s="21"/>
      <c r="M19" s="21"/>
      <c r="N19" s="21"/>
      <c r="O19" s="21"/>
      <c r="P19" s="21"/>
    </row>
    <row r="20" spans="2:16" ht="33.75" customHeight="1" x14ac:dyDescent="0.15">
      <c r="B20" s="17" t="s">
        <v>262</v>
      </c>
      <c r="C20" s="17"/>
      <c r="D20" s="21"/>
      <c r="E20" s="21"/>
      <c r="G20" s="21"/>
      <c r="H20" s="21"/>
      <c r="I20" s="21"/>
      <c r="J20" s="21"/>
      <c r="K20" s="21"/>
      <c r="L20" s="21"/>
      <c r="M20" s="21"/>
      <c r="N20" s="21"/>
      <c r="O20" s="21"/>
      <c r="P20" s="21"/>
    </row>
    <row r="21" spans="2:16" ht="33.75" customHeight="1" thickBot="1" x14ac:dyDescent="0.2">
      <c r="B21" s="264" t="s">
        <v>38</v>
      </c>
      <c r="C21" s="264"/>
      <c r="D21" s="264"/>
      <c r="E21" s="264"/>
      <c r="F21" s="264"/>
      <c r="G21" s="264"/>
      <c r="H21" s="264"/>
      <c r="I21" s="264"/>
      <c r="J21" s="264"/>
      <c r="K21" s="264"/>
      <c r="L21" s="264"/>
      <c r="M21" s="21"/>
      <c r="N21" s="21"/>
      <c r="O21" s="21"/>
      <c r="P21" s="21"/>
    </row>
    <row r="22" spans="2:16" ht="33.75" customHeight="1" thickTop="1" thickBot="1" x14ac:dyDescent="0.2">
      <c r="B22" s="264" t="s">
        <v>218</v>
      </c>
      <c r="C22" s="264"/>
      <c r="D22" s="264"/>
      <c r="E22" s="264"/>
      <c r="F22" s="264"/>
      <c r="G22" s="264"/>
      <c r="H22" s="264"/>
      <c r="I22" s="264"/>
      <c r="J22" s="264"/>
      <c r="K22" s="264"/>
      <c r="L22" s="264"/>
      <c r="M22" s="21"/>
      <c r="N22" s="21"/>
      <c r="O22" s="21"/>
      <c r="P22" s="21"/>
    </row>
    <row r="23" spans="2:16" ht="33.75" customHeight="1" thickTop="1" thickBot="1" x14ac:dyDescent="0.2">
      <c r="B23" s="264" t="s">
        <v>219</v>
      </c>
      <c r="C23" s="264"/>
      <c r="D23" s="264"/>
      <c r="E23" s="264"/>
      <c r="F23" s="264"/>
      <c r="G23" s="264"/>
      <c r="H23" s="264"/>
      <c r="I23" s="264"/>
      <c r="J23" s="264"/>
      <c r="K23" s="264"/>
      <c r="L23" s="264"/>
      <c r="M23" s="21"/>
      <c r="N23" s="21"/>
      <c r="O23" s="21"/>
      <c r="P23" s="21"/>
    </row>
    <row r="24" spans="2:16" ht="33.75" customHeight="1" thickTop="1" thickBot="1" x14ac:dyDescent="0.2">
      <c r="B24" s="264" t="s">
        <v>226</v>
      </c>
      <c r="C24" s="264"/>
      <c r="D24" s="264"/>
      <c r="E24" s="264"/>
      <c r="F24" s="264"/>
      <c r="G24" s="264"/>
      <c r="H24" s="264"/>
      <c r="I24" s="264"/>
      <c r="J24" s="264"/>
      <c r="K24" s="264"/>
      <c r="L24" s="264"/>
      <c r="M24" s="21"/>
      <c r="N24" s="21"/>
      <c r="O24" s="21"/>
      <c r="P24" s="21"/>
    </row>
    <row r="25" spans="2:16" ht="33.75" customHeight="1" thickTop="1" thickBot="1" x14ac:dyDescent="0.2">
      <c r="B25" s="264" t="s">
        <v>228</v>
      </c>
      <c r="C25" s="264"/>
      <c r="D25" s="264"/>
      <c r="E25" s="264"/>
      <c r="F25" s="264"/>
      <c r="G25" s="264"/>
      <c r="H25" s="264"/>
      <c r="I25" s="264"/>
      <c r="J25" s="264"/>
      <c r="K25" s="264"/>
      <c r="L25" s="264"/>
      <c r="M25" s="21"/>
      <c r="N25" s="21"/>
      <c r="O25" s="21"/>
      <c r="P25" s="21"/>
    </row>
    <row r="26" spans="2:16" ht="33.75" customHeight="1" thickTop="1" thickBot="1" x14ac:dyDescent="0.2">
      <c r="B26" s="264" t="s">
        <v>229</v>
      </c>
      <c r="C26" s="264"/>
      <c r="D26" s="264"/>
      <c r="E26" s="264"/>
      <c r="F26" s="264"/>
      <c r="G26" s="264"/>
      <c r="H26" s="264"/>
      <c r="I26" s="264"/>
      <c r="J26" s="264"/>
      <c r="K26" s="264"/>
      <c r="L26" s="264"/>
      <c r="M26" s="21"/>
      <c r="N26" s="21"/>
      <c r="O26" s="21"/>
      <c r="P26" s="21"/>
    </row>
    <row r="27" spans="2:16" ht="33.75" customHeight="1" thickTop="1" thickBot="1" x14ac:dyDescent="0.2">
      <c r="B27" s="264" t="s">
        <v>220</v>
      </c>
      <c r="C27" s="264"/>
      <c r="D27" s="264"/>
      <c r="E27" s="264"/>
      <c r="F27" s="264"/>
      <c r="G27" s="264"/>
      <c r="H27" s="264"/>
      <c r="I27" s="264"/>
      <c r="J27" s="264"/>
      <c r="K27" s="264"/>
      <c r="L27" s="264"/>
      <c r="M27" s="21"/>
      <c r="N27" s="21"/>
      <c r="O27" s="21"/>
      <c r="P27" s="21"/>
    </row>
    <row r="28" spans="2:16" ht="33.75" customHeight="1" thickTop="1" thickBot="1" x14ac:dyDescent="0.2">
      <c r="B28" s="84" t="s">
        <v>51</v>
      </c>
      <c r="C28" s="84"/>
      <c r="D28" s="84"/>
      <c r="E28" s="84"/>
      <c r="F28" s="84"/>
      <c r="G28" s="84"/>
      <c r="H28" s="84"/>
      <c r="I28" s="84"/>
      <c r="J28" s="84"/>
      <c r="K28" s="84"/>
      <c r="L28" s="84"/>
      <c r="M28" s="21"/>
      <c r="N28" s="21"/>
      <c r="O28" s="21"/>
      <c r="P28" s="21"/>
    </row>
    <row r="29" spans="2:16" ht="33.75" customHeight="1" thickTop="1" thickBot="1" x14ac:dyDescent="0.2">
      <c r="B29" s="264" t="s">
        <v>230</v>
      </c>
      <c r="C29" s="264"/>
      <c r="D29" s="264"/>
      <c r="E29" s="264"/>
      <c r="F29" s="264"/>
      <c r="G29" s="264"/>
      <c r="H29" s="264"/>
      <c r="I29" s="264"/>
      <c r="J29" s="264"/>
      <c r="K29" s="264"/>
      <c r="L29" s="264"/>
      <c r="M29" s="21"/>
      <c r="N29" s="21"/>
      <c r="O29" s="21"/>
      <c r="P29" s="21"/>
    </row>
    <row r="30" spans="2:16" ht="33.75" customHeight="1" thickTop="1" thickBot="1" x14ac:dyDescent="0.2">
      <c r="B30" s="264" t="s">
        <v>221</v>
      </c>
      <c r="C30" s="264"/>
      <c r="D30" s="264"/>
      <c r="E30" s="264"/>
      <c r="F30" s="264"/>
      <c r="G30" s="264"/>
      <c r="H30" s="264"/>
      <c r="I30" s="264"/>
      <c r="J30" s="264"/>
      <c r="K30" s="264"/>
      <c r="L30" s="264"/>
      <c r="M30" s="21"/>
      <c r="N30" s="21"/>
      <c r="O30" s="21"/>
      <c r="P30" s="21"/>
    </row>
    <row r="31" spans="2:16" ht="19.5" customHeight="1" thickTop="1" x14ac:dyDescent="0.15">
      <c r="B31" s="23"/>
      <c r="C31" s="23"/>
      <c r="D31" s="23"/>
      <c r="E31" s="23"/>
      <c r="F31" s="23"/>
      <c r="G31" s="23"/>
      <c r="H31" s="23"/>
      <c r="I31" s="23"/>
      <c r="J31" s="23"/>
      <c r="K31" s="23"/>
      <c r="L31" s="23"/>
      <c r="M31" s="23"/>
      <c r="N31" s="23"/>
      <c r="O31" s="23"/>
      <c r="P31" s="23"/>
    </row>
    <row r="32" spans="2:16" ht="19.5" customHeight="1" x14ac:dyDescent="0.15">
      <c r="B32" s="23"/>
      <c r="C32" s="23"/>
      <c r="D32" s="23"/>
      <c r="E32" s="23"/>
      <c r="F32" s="23"/>
      <c r="G32" s="23"/>
      <c r="H32" s="23"/>
      <c r="I32" s="23"/>
      <c r="J32" s="23"/>
      <c r="K32" s="23"/>
      <c r="L32" s="23"/>
      <c r="M32" s="23"/>
      <c r="N32" s="23"/>
      <c r="O32" s="23"/>
      <c r="P32" s="23"/>
    </row>
    <row r="33" spans="2:16" ht="19.5" customHeight="1" x14ac:dyDescent="0.15">
      <c r="B33" s="23"/>
      <c r="C33" s="23"/>
      <c r="D33" s="23"/>
      <c r="E33" s="23"/>
      <c r="F33" s="23"/>
      <c r="G33" s="23"/>
      <c r="H33" s="23"/>
      <c r="I33" s="23"/>
      <c r="J33" s="23"/>
      <c r="K33" s="23"/>
      <c r="L33" s="23"/>
      <c r="M33" s="23"/>
      <c r="N33" s="23"/>
      <c r="O33" s="23"/>
      <c r="P33" s="23"/>
    </row>
    <row r="34" spans="2:16" x14ac:dyDescent="0.15">
      <c r="B34" s="23"/>
      <c r="C34" s="23"/>
      <c r="D34" s="23"/>
      <c r="E34" s="23"/>
      <c r="F34" s="23"/>
      <c r="G34" s="23"/>
      <c r="H34" s="23"/>
      <c r="I34" s="23"/>
      <c r="J34" s="23"/>
      <c r="K34" s="23"/>
      <c r="L34" s="23"/>
      <c r="M34" s="23"/>
      <c r="N34" s="23"/>
      <c r="O34" s="23"/>
      <c r="P34" s="23"/>
    </row>
  </sheetData>
  <mergeCells count="19">
    <mergeCell ref="B30:L30"/>
    <mergeCell ref="B29:L29"/>
    <mergeCell ref="N15:P16"/>
    <mergeCell ref="N17:P17"/>
    <mergeCell ref="B21:L21"/>
    <mergeCell ref="B22:L22"/>
    <mergeCell ref="B27:L27"/>
    <mergeCell ref="B13:D14"/>
    <mergeCell ref="B15:D17"/>
    <mergeCell ref="B25:L25"/>
    <mergeCell ref="B26:L26"/>
    <mergeCell ref="B23:L23"/>
    <mergeCell ref="B24:L24"/>
    <mergeCell ref="G3:P3"/>
    <mergeCell ref="F13:H14"/>
    <mergeCell ref="F15:H17"/>
    <mergeCell ref="J13:L14"/>
    <mergeCell ref="J15:L17"/>
    <mergeCell ref="N13:P14"/>
  </mergeCells>
  <hyperlinks>
    <hyperlink ref="I6" r:id="rId1" xr:uid="{00000000-0004-0000-0100-000000000000}"/>
    <hyperlink ref="N17:P17" location="README!B25" display="Review data references here. " xr:uid="{00000000-0004-0000-0100-000001000000}"/>
    <hyperlink ref="B22:L22" r:id="rId2" display="SBTi Step by step process " xr:uid="{00000000-0004-0000-0100-000002000000}"/>
    <hyperlink ref="B23:L23" r:id="rId3" display="SBTi Resources" xr:uid="{00000000-0004-0000-0100-000003000000}"/>
    <hyperlink ref="B28:L28" r:id="rId4" display="Foundations of Science-based Target Setting" xr:uid="{00000000-0004-0000-0100-000007000000}"/>
    <hyperlink ref="B21:L21" r:id="rId5" display="Science Based Targets initiative website" xr:uid="{00000000-0004-0000-0100-000008000000}"/>
    <hyperlink ref="B25:L25" r:id="rId6" display="SBTi Criteria Assessment Indicators" xr:uid="{C6EE632A-AF76-473C-93BE-29E9CCCCCFA1}"/>
    <hyperlink ref="B26:L26" r:id="rId7" display="SBTi Procedure for Validation of SBTi Targets" xr:uid="{7FFF1AC1-3DEA-4F6D-B112-CA4228CC3D85}"/>
    <hyperlink ref="B27:L27" r:id="rId8" display="SBTi Corporate Target Submission Form" xr:uid="{395A88F2-2B56-47A6-9165-530DCB3A6730}"/>
    <hyperlink ref="B30:L30" r:id="rId9" display="SBTi Sector Guidance" xr:uid="{BF3F6178-4C25-438C-AB7C-92EF1BA3BEA2}"/>
    <hyperlink ref="B24:L24" r:id="rId10" display="SBTi Criteria and Recommendations " xr:uid="{13355AFE-414B-4520-A0B0-16174191A288}"/>
    <hyperlink ref="B29:L29" r:id="rId11" display="SBTi Corporate Net-Zero Standard" xr:uid="{A23BA02A-4E5D-4300-8F03-C1C833F0CE3C}"/>
  </hyperlinks>
  <pageMargins left="0.7" right="0.7" top="0.75" bottom="0.75" header="0.3" footer="0.3"/>
  <drawing r:id="rId1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1">
    <tabColor rgb="FF7030A0"/>
  </sheetPr>
  <dimension ref="B2:BD198"/>
  <sheetViews>
    <sheetView showGridLines="0" zoomScaleNormal="100" workbookViewId="0">
      <selection activeCell="D10" sqref="D10:K10"/>
    </sheetView>
  </sheetViews>
  <sheetFormatPr baseColWidth="10" defaultColWidth="9.1640625" defaultRowHeight="13" x14ac:dyDescent="0.15"/>
  <cols>
    <col min="1" max="1" width="2.5" customWidth="1"/>
    <col min="2" max="2" width="63.33203125" customWidth="1"/>
    <col min="3" max="3" width="3" customWidth="1"/>
    <col min="4" max="4" width="31.1640625" customWidth="1"/>
    <col min="5" max="5" width="2.83203125" customWidth="1"/>
    <col min="6" max="6" width="31.1640625" customWidth="1"/>
    <col min="7" max="7" width="2.83203125" customWidth="1"/>
    <col min="8" max="8" width="31.1640625" customWidth="1"/>
    <col min="9" max="9" width="2.83203125" customWidth="1"/>
    <col min="10" max="12" width="14.5" customWidth="1"/>
    <col min="13" max="34" width="11.5" customWidth="1"/>
  </cols>
  <sheetData>
    <row r="2" spans="2:26" ht="20" customHeight="1" x14ac:dyDescent="0.25">
      <c r="C2" s="33"/>
    </row>
    <row r="3" spans="2:26" ht="33.5" customHeight="1" x14ac:dyDescent="0.15">
      <c r="D3" s="117" t="str">
        <f>+README!F3</f>
        <v>SBTi Automotive Target-Setting Tool | DRAFT VERSION</v>
      </c>
      <c r="E3" s="117"/>
      <c r="F3" s="117"/>
      <c r="G3" s="117"/>
      <c r="H3" s="117"/>
      <c r="I3" s="117"/>
      <c r="J3" s="117"/>
      <c r="K3" s="117"/>
      <c r="L3" s="117"/>
      <c r="M3" s="117"/>
    </row>
    <row r="4" spans="2:26" ht="20" customHeight="1" x14ac:dyDescent="0.15">
      <c r="D4" s="35" t="s">
        <v>28</v>
      </c>
      <c r="E4" s="34"/>
      <c r="F4" s="34">
        <f>+README!H5</f>
        <v>0.2</v>
      </c>
    </row>
    <row r="5" spans="2:26" ht="20" customHeight="1" x14ac:dyDescent="0.15">
      <c r="D5" s="35" t="s">
        <v>26</v>
      </c>
      <c r="E5" s="34"/>
      <c r="F5" s="36" t="s">
        <v>442</v>
      </c>
    </row>
    <row r="6" spans="2:26" ht="12.75" customHeight="1" x14ac:dyDescent="0.2">
      <c r="B6" s="24"/>
      <c r="C6" s="24"/>
      <c r="D6" s="24"/>
      <c r="E6" s="24"/>
      <c r="F6" s="24"/>
      <c r="G6" s="24"/>
      <c r="H6" s="24"/>
      <c r="I6" s="24"/>
      <c r="J6" s="24"/>
      <c r="K6" s="24"/>
      <c r="L6" s="24"/>
      <c r="M6" s="24"/>
      <c r="N6" s="24"/>
      <c r="O6" s="24"/>
      <c r="P6" s="24"/>
      <c r="Q6" s="24"/>
      <c r="R6" s="24"/>
      <c r="S6" s="24"/>
      <c r="T6" s="24"/>
      <c r="U6" s="24"/>
      <c r="V6" s="24"/>
      <c r="W6" s="24"/>
      <c r="X6" s="24"/>
      <c r="Y6" s="24"/>
      <c r="Z6" s="24"/>
    </row>
    <row r="7" spans="2:26" ht="30" customHeight="1" x14ac:dyDescent="0.2">
      <c r="B7" s="8"/>
      <c r="D7" s="276" t="s">
        <v>439</v>
      </c>
      <c r="E7" s="276"/>
      <c r="F7" s="276"/>
      <c r="G7" s="276"/>
      <c r="H7" s="276"/>
      <c r="I7" s="276"/>
      <c r="J7" s="276"/>
      <c r="K7" s="276"/>
    </row>
    <row r="8" spans="2:26" ht="20" customHeight="1" thickBot="1" x14ac:dyDescent="0.2">
      <c r="B8" s="139" t="s">
        <v>437</v>
      </c>
      <c r="C8" s="109"/>
      <c r="D8" s="109"/>
      <c r="E8" s="109"/>
      <c r="F8" s="109"/>
      <c r="G8" s="109"/>
      <c r="H8" s="109"/>
      <c r="I8" s="109"/>
      <c r="J8" s="109"/>
      <c r="K8" s="109"/>
      <c r="L8" s="109"/>
      <c r="M8" s="109"/>
      <c r="N8" s="109"/>
      <c r="O8" s="109"/>
      <c r="P8" s="109"/>
      <c r="Q8" s="109"/>
      <c r="R8" s="109"/>
      <c r="S8" s="109"/>
      <c r="T8" s="109"/>
      <c r="U8" s="109"/>
      <c r="V8" s="109"/>
      <c r="W8" s="109"/>
      <c r="X8" s="109"/>
      <c r="Y8" s="109"/>
      <c r="Z8" s="109"/>
    </row>
    <row r="9" spans="2:26" ht="42" customHeight="1" x14ac:dyDescent="0.15">
      <c r="B9" s="107" t="s">
        <v>292</v>
      </c>
      <c r="C9" s="106"/>
      <c r="D9" s="279" t="s">
        <v>446</v>
      </c>
      <c r="E9" s="279"/>
      <c r="F9" s="279"/>
      <c r="G9" s="279"/>
      <c r="H9" s="279"/>
      <c r="I9" s="279"/>
      <c r="J9" s="279"/>
      <c r="K9" s="279"/>
    </row>
    <row r="10" spans="2:26" ht="42" customHeight="1" x14ac:dyDescent="0.15">
      <c r="B10" s="107" t="s">
        <v>354</v>
      </c>
      <c r="C10" s="106"/>
      <c r="D10" s="279" t="s">
        <v>444</v>
      </c>
      <c r="E10" s="279"/>
      <c r="F10" s="279"/>
      <c r="G10" s="279"/>
      <c r="H10" s="279"/>
      <c r="I10" s="279"/>
      <c r="J10" s="279"/>
      <c r="K10" s="279"/>
    </row>
    <row r="11" spans="2:26" ht="30" customHeight="1" x14ac:dyDescent="0.15">
      <c r="B11" s="107" t="s">
        <v>351</v>
      </c>
      <c r="C11" s="106"/>
      <c r="D11" s="279" t="s">
        <v>445</v>
      </c>
      <c r="E11" s="279"/>
      <c r="F11" s="279"/>
      <c r="G11" s="279"/>
      <c r="H11" s="279"/>
      <c r="I11" s="279"/>
      <c r="J11" s="279"/>
      <c r="K11" s="279"/>
    </row>
    <row r="12" spans="2:26" ht="18" customHeight="1" x14ac:dyDescent="0.15">
      <c r="B12" s="107" t="s">
        <v>295</v>
      </c>
      <c r="C12" s="106"/>
      <c r="D12" s="279" t="s">
        <v>296</v>
      </c>
      <c r="E12" s="279"/>
      <c r="F12" s="279"/>
      <c r="G12" s="279"/>
      <c r="H12" s="279"/>
      <c r="I12" s="279"/>
      <c r="J12" s="279"/>
      <c r="K12" s="279"/>
    </row>
    <row r="13" spans="2:26" ht="18" customHeight="1" x14ac:dyDescent="0.15">
      <c r="B13" s="107" t="s">
        <v>396</v>
      </c>
      <c r="C13" s="106"/>
      <c r="D13" s="279" t="s">
        <v>436</v>
      </c>
      <c r="E13" s="279"/>
      <c r="F13" s="279"/>
      <c r="G13" s="279"/>
      <c r="H13" s="279"/>
      <c r="I13" s="279"/>
      <c r="J13" s="279"/>
      <c r="K13" s="279"/>
    </row>
    <row r="14" spans="2:26" x14ac:dyDescent="0.15">
      <c r="B14" s="107"/>
      <c r="C14" s="106"/>
      <c r="D14" s="93"/>
      <c r="E14" s="93"/>
      <c r="F14" s="93"/>
      <c r="G14" s="93"/>
      <c r="H14" s="93"/>
      <c r="I14" s="93"/>
      <c r="J14" s="93"/>
      <c r="K14" s="93"/>
    </row>
    <row r="15" spans="2:26" ht="18" customHeight="1" x14ac:dyDescent="0.15">
      <c r="B15" s="107"/>
      <c r="C15" s="106"/>
      <c r="D15" s="161" t="s">
        <v>298</v>
      </c>
      <c r="E15" s="162"/>
      <c r="F15" s="163" t="s">
        <v>299</v>
      </c>
      <c r="G15" s="162"/>
      <c r="H15" s="164" t="s">
        <v>331</v>
      </c>
      <c r="I15" s="93"/>
      <c r="J15" s="93"/>
      <c r="K15" s="93"/>
    </row>
    <row r="16" spans="2:26" ht="20" customHeight="1" x14ac:dyDescent="0.2">
      <c r="B16" s="8"/>
    </row>
    <row r="17" spans="2:26" ht="12.75" hidden="1" customHeight="1" x14ac:dyDescent="0.2">
      <c r="B17" s="37"/>
      <c r="C17" s="37"/>
      <c r="D17" s="37"/>
      <c r="E17" s="37"/>
      <c r="F17" s="37"/>
      <c r="G17" s="37"/>
      <c r="H17" s="37"/>
      <c r="I17" s="37"/>
      <c r="J17" s="37"/>
      <c r="K17" s="37"/>
      <c r="L17" s="37"/>
      <c r="M17" s="37"/>
      <c r="N17" s="37"/>
      <c r="O17" s="37"/>
      <c r="P17" s="37"/>
      <c r="Q17" s="37"/>
      <c r="R17" s="37"/>
      <c r="S17" s="37"/>
      <c r="T17" s="37"/>
      <c r="U17" s="37"/>
      <c r="V17" s="37"/>
      <c r="W17" s="37"/>
      <c r="X17" s="37"/>
      <c r="Y17" s="37"/>
      <c r="Z17" s="37"/>
    </row>
    <row r="18" spans="2:26" ht="20" hidden="1" customHeight="1" x14ac:dyDescent="0.2">
      <c r="B18" s="8"/>
    </row>
    <row r="19" spans="2:26" ht="20" hidden="1" customHeight="1" x14ac:dyDescent="0.25">
      <c r="B19" s="7" t="s">
        <v>355</v>
      </c>
      <c r="D19" s="54"/>
    </row>
    <row r="20" spans="2:26" ht="12.75" hidden="1" customHeight="1" x14ac:dyDescent="0.15">
      <c r="D20" s="55"/>
      <c r="J20" s="1"/>
    </row>
    <row r="21" spans="2:26" ht="18" hidden="1" customHeight="1" x14ac:dyDescent="0.15">
      <c r="B21" s="280" t="s">
        <v>332</v>
      </c>
      <c r="C21" s="280"/>
      <c r="D21" s="280"/>
      <c r="E21" s="280"/>
      <c r="F21" s="280"/>
      <c r="G21" s="280"/>
      <c r="H21" s="280"/>
      <c r="J21" s="1"/>
    </row>
    <row r="22" spans="2:26" ht="12.75" hidden="1" customHeight="1" thickBot="1" x14ac:dyDescent="0.2">
      <c r="D22" s="55"/>
      <c r="J22" s="1"/>
    </row>
    <row r="23" spans="2:26" ht="20" hidden="1" customHeight="1" thickTop="1" thickBot="1" x14ac:dyDescent="0.2">
      <c r="B23" s="38" t="s">
        <v>222</v>
      </c>
      <c r="D23" s="165" t="s">
        <v>356</v>
      </c>
      <c r="F23" t="s">
        <v>222</v>
      </c>
      <c r="K23" s="1"/>
      <c r="R23" s="41"/>
      <c r="S23" s="41"/>
      <c r="T23" s="41"/>
    </row>
    <row r="24" spans="2:26" ht="20" hidden="1" customHeight="1" thickTop="1" thickBot="1" x14ac:dyDescent="0.2">
      <c r="B24" s="40" t="s">
        <v>0</v>
      </c>
      <c r="C24" s="3" t="str">
        <f>""</f>
        <v/>
      </c>
      <c r="D24" s="166">
        <v>2022</v>
      </c>
      <c r="E24" s="3" t="str">
        <f>""</f>
        <v/>
      </c>
      <c r="F24" s="39" t="s">
        <v>197</v>
      </c>
      <c r="H24" s="85"/>
      <c r="J24" s="269"/>
      <c r="K24" s="269"/>
      <c r="L24" s="269"/>
      <c r="M24" s="269"/>
      <c r="N24" s="269"/>
      <c r="O24" s="269"/>
      <c r="P24" s="269"/>
      <c r="Q24" s="269"/>
      <c r="R24" s="41"/>
      <c r="S24" s="41"/>
      <c r="T24" s="41"/>
    </row>
    <row r="25" spans="2:26" ht="20" hidden="1" customHeight="1" thickTop="1" thickBot="1" x14ac:dyDescent="0.2">
      <c r="B25" s="68" t="s">
        <v>263</v>
      </c>
      <c r="C25" s="3" t="str">
        <f>""</f>
        <v/>
      </c>
      <c r="D25" s="167">
        <v>100000</v>
      </c>
      <c r="E25" s="3" t="str">
        <f>""</f>
        <v/>
      </c>
      <c r="F25" s="39" t="s">
        <v>47</v>
      </c>
      <c r="H25" s="85"/>
      <c r="J25" s="269"/>
      <c r="K25" s="269"/>
      <c r="L25" s="269"/>
      <c r="M25" s="269"/>
      <c r="N25" s="269"/>
      <c r="O25" s="269"/>
      <c r="P25" s="269"/>
      <c r="Q25" s="269"/>
      <c r="R25" s="41"/>
      <c r="S25" s="41"/>
      <c r="T25" s="41"/>
    </row>
    <row r="26" spans="2:26" ht="20" hidden="1" customHeight="1" thickTop="1" thickBot="1" x14ac:dyDescent="0.2">
      <c r="B26" s="69" t="s">
        <v>91</v>
      </c>
      <c r="C26" s="3" t="str">
        <f>""</f>
        <v/>
      </c>
      <c r="D26" s="167">
        <v>500000</v>
      </c>
      <c r="E26" s="3" t="str">
        <f>""</f>
        <v/>
      </c>
      <c r="F26" s="39" t="s">
        <v>47</v>
      </c>
      <c r="H26" s="85"/>
      <c r="J26" s="269"/>
      <c r="K26" s="269"/>
      <c r="L26" s="269"/>
      <c r="M26" s="269"/>
      <c r="N26" s="269"/>
      <c r="O26" s="269"/>
      <c r="P26" s="269"/>
      <c r="Q26" s="269"/>
      <c r="R26" s="41"/>
      <c r="S26" s="41"/>
      <c r="T26" s="41"/>
    </row>
    <row r="27" spans="2:26" ht="20" hidden="1" customHeight="1" thickTop="1" thickBot="1" x14ac:dyDescent="0.2">
      <c r="B27" s="40" t="s">
        <v>1</v>
      </c>
      <c r="C27" s="3" t="str">
        <f>""</f>
        <v/>
      </c>
      <c r="D27" s="166">
        <v>2033</v>
      </c>
      <c r="E27" s="3"/>
      <c r="F27" s="39" t="s">
        <v>198</v>
      </c>
      <c r="J27" s="269"/>
      <c r="K27" s="269"/>
      <c r="L27" s="269"/>
      <c r="M27" s="269"/>
      <c r="N27" s="269"/>
      <c r="O27" s="269"/>
      <c r="P27" s="269"/>
      <c r="Q27" s="269"/>
      <c r="R27" s="41"/>
      <c r="S27" s="41"/>
      <c r="T27" s="41"/>
    </row>
    <row r="28" spans="2:26" ht="20" hidden="1" customHeight="1" thickTop="1" thickBot="1" x14ac:dyDescent="0.2">
      <c r="B28" s="40" t="s">
        <v>90</v>
      </c>
      <c r="C28" s="3" t="str">
        <f>""</f>
        <v/>
      </c>
      <c r="D28" s="166">
        <v>2022</v>
      </c>
      <c r="E28" s="3" t="str">
        <f>""</f>
        <v/>
      </c>
      <c r="F28" s="39" t="s">
        <v>307</v>
      </c>
      <c r="H28" s="85"/>
      <c r="J28" s="269"/>
      <c r="K28" s="269"/>
      <c r="L28" s="269"/>
      <c r="M28" s="269"/>
      <c r="N28" s="269"/>
      <c r="O28" s="269"/>
      <c r="P28" s="269"/>
      <c r="Q28" s="269"/>
    </row>
    <row r="29" spans="2:26" ht="20" hidden="1" customHeight="1" thickTop="1" thickBot="1" x14ac:dyDescent="0.2">
      <c r="B29" s="68" t="s">
        <v>202</v>
      </c>
      <c r="C29" s="3" t="str">
        <f>""</f>
        <v/>
      </c>
      <c r="D29" s="167">
        <v>95000</v>
      </c>
      <c r="E29" s="3" t="str">
        <f>""</f>
        <v/>
      </c>
      <c r="F29" s="39" t="str">
        <f>IF(D28&lt;=D24,"If selected base year is the most recent year available, no input is required","tCO2e")</f>
        <v>If selected base year is the most recent year available, no input is required</v>
      </c>
      <c r="J29" s="269"/>
      <c r="K29" s="269"/>
      <c r="L29" s="269"/>
      <c r="M29" s="269"/>
      <c r="N29" s="269"/>
      <c r="O29" s="269"/>
      <c r="P29" s="269"/>
      <c r="Q29" s="269"/>
    </row>
    <row r="30" spans="2:26" ht="20" hidden="1" customHeight="1" thickTop="1" thickBot="1" x14ac:dyDescent="0.2">
      <c r="B30" s="68" t="s">
        <v>92</v>
      </c>
      <c r="C30" s="3" t="str">
        <f>""</f>
        <v/>
      </c>
      <c r="D30" s="167">
        <v>550000</v>
      </c>
      <c r="E30" s="3" t="str">
        <f>""</f>
        <v/>
      </c>
      <c r="F30" s="39" t="str">
        <f>IF(D28&lt;=D24,"If selected base year is the most recent year available, no input is required","tCO2e")</f>
        <v>If selected base year is the most recent year available, no input is required</v>
      </c>
      <c r="J30" s="269"/>
      <c r="K30" s="269"/>
      <c r="L30" s="269"/>
      <c r="M30" s="269"/>
      <c r="N30" s="269"/>
      <c r="O30" s="269"/>
      <c r="P30" s="269"/>
      <c r="Q30" s="269"/>
    </row>
    <row r="31" spans="2:26" ht="20" hidden="1" customHeight="1" thickTop="1" x14ac:dyDescent="0.15">
      <c r="K31" s="41"/>
      <c r="L31" s="41"/>
      <c r="M31" s="41"/>
      <c r="N31" s="41"/>
      <c r="O31" s="41"/>
      <c r="P31" s="41"/>
      <c r="Q31" s="41"/>
      <c r="R31" s="72"/>
      <c r="S31" s="72"/>
      <c r="T31" s="72"/>
    </row>
    <row r="32" spans="2:26" ht="20" hidden="1" customHeight="1" x14ac:dyDescent="0.2">
      <c r="B32" s="100" t="s">
        <v>287</v>
      </c>
      <c r="K32" s="41"/>
      <c r="L32" s="41"/>
      <c r="M32" s="41"/>
      <c r="N32" s="41"/>
      <c r="O32" s="41"/>
      <c r="P32" s="41"/>
      <c r="Q32" s="41"/>
      <c r="R32" s="72"/>
      <c r="S32" s="72"/>
      <c r="T32" s="72"/>
    </row>
    <row r="33" spans="2:20" hidden="1" x14ac:dyDescent="0.15">
      <c r="B33" s="168" t="s">
        <v>32</v>
      </c>
      <c r="K33" s="41"/>
      <c r="L33" s="41"/>
      <c r="M33" s="41"/>
      <c r="N33" s="41"/>
      <c r="O33" s="41"/>
      <c r="P33" s="41"/>
      <c r="Q33" s="41"/>
      <c r="R33" s="72"/>
      <c r="S33" s="72"/>
      <c r="T33" s="72"/>
    </row>
    <row r="34" spans="2:20" ht="37.5" hidden="1" customHeight="1" x14ac:dyDescent="0.15">
      <c r="B34" s="1"/>
      <c r="D34" s="43" t="str">
        <f>+CONCATENATE("Base year ","(",D24,")")</f>
        <v>Base year (2022)</v>
      </c>
      <c r="E34" s="44"/>
      <c r="F34" s="43" t="str">
        <f>IF(D28&gt;D24,CONCATENATE("Most recent year ","(",D28,")"),CONCATENATE("Same as base year ","(",D28,")"))</f>
        <v>Same as base year (2022)</v>
      </c>
      <c r="G34" s="34"/>
      <c r="H34" s="43" t="str">
        <f>+CONCATENATE("Target year ","(",D27,")")</f>
        <v>Target year (2033)</v>
      </c>
      <c r="I34" s="34"/>
      <c r="J34" s="70" t="s">
        <v>196</v>
      </c>
      <c r="K34" s="70" t="s">
        <v>195</v>
      </c>
      <c r="L34" s="70" t="s">
        <v>101</v>
      </c>
      <c r="M34" s="71"/>
    </row>
    <row r="35" spans="2:20" ht="19.5" hidden="1" customHeight="1" thickBot="1" x14ac:dyDescent="0.2">
      <c r="B35" s="38" t="str">
        <f>IF(ISNUMBER($D$25)=TRUE,"Scope 1 emissions (tCO2e)","enter emissions data")</f>
        <v>Scope 1 emissions (tCO2e)</v>
      </c>
      <c r="D35" s="56">
        <f>IF(D25="","",D25)</f>
        <v>100000</v>
      </c>
      <c r="E35" s="1"/>
      <c r="F35" s="56" t="str">
        <f>IF(AND(ISNUMBER(D28),D28&gt;D24,D25&gt;=0,ISNUMBER(D29),D29&gt;=0),D29,"-----")</f>
        <v>-----</v>
      </c>
      <c r="H35" s="56">
        <f>+IF(D25="","",D35*(1-L35))</f>
        <v>45399.999999999993</v>
      </c>
      <c r="J35" s="82" t="str">
        <f>IF(Calculations!D9&gt;0,Calculations!D9,"-----")</f>
        <v>-----</v>
      </c>
      <c r="K35" s="82" t="str">
        <f>IF(Calculations!$D$9&gt;=0.9,"Maint. target",IF(AND($D$28&gt;$D$24,Calculations!$D$9&gt;0,Calculations!$D$15&gt;0),Calculations!$D$15,"Not required"))</f>
        <v>Not required</v>
      </c>
      <c r="L35" s="82">
        <f>+IF($D$35="","",Calculations!$D$18)</f>
        <v>0.54600000000000004</v>
      </c>
      <c r="M35" s="71"/>
    </row>
    <row r="36" spans="2:20" ht="19.5" hidden="1" customHeight="1" thickTop="1" thickBot="1" x14ac:dyDescent="0.2">
      <c r="B36" s="38" t="str">
        <f>IF(ISNUMBER($D$26)=TRUE,"Scope 2 emissions (tCO2e)","enter emissions data")</f>
        <v>Scope 2 emissions (tCO2e)</v>
      </c>
      <c r="D36" s="57">
        <f>IF(D26="","",D26)</f>
        <v>500000</v>
      </c>
      <c r="E36" s="1"/>
      <c r="F36" s="57" t="str">
        <f>IF(AND(ISNUMBER(D28),D28&gt;D24,D26&gt;=0,ISNUMBER(D30),D30&gt;=0),D30,"-----")</f>
        <v>-----</v>
      </c>
      <c r="H36" s="57">
        <f>+IF(D26="","",D36*(1-L36))</f>
        <v>226999.99999999997</v>
      </c>
      <c r="J36" s="82" t="str">
        <f>IF(Calculations!D10&gt;0,Calculations!D10,"-----")</f>
        <v>-----</v>
      </c>
      <c r="K36" s="82" t="str">
        <f>IF(Calculations!$D$10&gt;=0.9,"Maint. target",IF(AND($D$28&gt;$D$24,Calculations!$D$10&gt;0,Calculations!$D$22&gt;0),Calculations!$D$22,"Not required"))</f>
        <v>Not required</v>
      </c>
      <c r="L36" s="82">
        <f>+IF($D$36="","",Calculations!$D$25)</f>
        <v>0.54600000000000004</v>
      </c>
      <c r="M36" s="71"/>
    </row>
    <row r="37" spans="2:20" ht="9" hidden="1" customHeight="1" thickTop="1" thickBot="1" x14ac:dyDescent="0.2">
      <c r="B37" s="71"/>
      <c r="C37" s="71"/>
      <c r="D37" s="71"/>
      <c r="E37" s="71"/>
      <c r="F37" s="71"/>
      <c r="G37" s="71"/>
      <c r="H37" s="71"/>
      <c r="I37" s="71"/>
      <c r="J37" s="71"/>
      <c r="K37" s="71"/>
      <c r="L37" s="71"/>
      <c r="M37" s="71"/>
    </row>
    <row r="38" spans="2:20" ht="19.5" hidden="1" customHeight="1" thickTop="1" thickBot="1" x14ac:dyDescent="0.2">
      <c r="B38" s="38" t="str">
        <f>IF(AND(ISNUMBER($D$25),ISNUMBER($D$26))=TRUE,"Scope 1+2 emissions (tCO2e)","enter emissions data")</f>
        <v>Scope 1+2 emissions (tCO2e)</v>
      </c>
      <c r="D38" s="58">
        <f>IF(OR(D25="",D26=""),"",$D$35+$D$36)</f>
        <v>600000</v>
      </c>
      <c r="E38" s="1"/>
      <c r="F38" s="58" t="str">
        <f>IF(AND(ISNUMBER(F35),ISNUMBER(F36)),F35+F36,"----")</f>
        <v>----</v>
      </c>
      <c r="H38" s="58">
        <f>IF(OR(D25="",D26=""),"",H35+H36)</f>
        <v>272399.99999999994</v>
      </c>
      <c r="J38" s="82" t="str">
        <f>IF(ISNUMBER(F38),(1-F38/D38),"----")</f>
        <v>----</v>
      </c>
      <c r="K38" s="82">
        <f>IF(OR($D$29="",$D$30=""),"-----",$L$38-(1-(Calculations!D16+Calculations!D23)/$D$38))</f>
        <v>0</v>
      </c>
      <c r="L38" s="82">
        <f>+IF(OR($D$38="",$H$38=""),"",1-$H$38/$D$38)</f>
        <v>0.54600000000000004</v>
      </c>
    </row>
    <row r="39" spans="2:20" ht="9" hidden="1" customHeight="1" thickTop="1" thickBot="1" x14ac:dyDescent="0.2"/>
    <row r="40" spans="2:20" ht="19.5" hidden="1" customHeight="1" thickTop="1" thickBot="1" x14ac:dyDescent="0.2">
      <c r="B40" s="38" t="s">
        <v>223</v>
      </c>
      <c r="D40" s="270" t="str">
        <f>IF(OR(ISBLANK($D$23),ISBLANK($D$24),ISBLANK($D$25),ISBLANK($D$27)), "Enter data in Section 1", $D$23&amp;" commits to reduce Scope 1 emissions "&amp;(ROUNDUP(TRUNC($L$35,4),3)*100)&amp;"%"&amp;" by "&amp;$D$27&amp;" from a "&amp;$D$24&amp;" base year.")</f>
        <v>NFG commits to reduce Scope 1 emissions 54.6% by 2033 from a 2022 base year.</v>
      </c>
      <c r="E40" s="270"/>
      <c r="F40" s="270"/>
      <c r="G40" s="270"/>
      <c r="H40" s="270"/>
      <c r="I40" s="270"/>
      <c r="J40" s="270"/>
      <c r="K40" s="270"/>
      <c r="L40" s="270"/>
    </row>
    <row r="41" spans="2:20" ht="19.5" hidden="1" customHeight="1" thickTop="1" thickBot="1" x14ac:dyDescent="0.2">
      <c r="B41" s="40" t="s">
        <v>224</v>
      </c>
      <c r="D41" s="268" t="str">
        <f>IF(OR(ISBLANK($D$23),ISBLANK($D$24),ISBLANK($D$26),ISBLANK($D$27)), "Enter data in Section 1", $D$23&amp;" commits to reduce Scope 2 emissions "&amp;(ROUNDUP(TRUNC($L$36,4),3)*100)&amp;"%"&amp;" by "&amp;$D$27&amp;" from a "&amp;$D$24&amp;" base year.")</f>
        <v>NFG commits to reduce Scope 2 emissions 54.6% by 2033 from a 2022 base year.</v>
      </c>
      <c r="E41" s="268"/>
      <c r="F41" s="268"/>
      <c r="G41" s="268"/>
      <c r="H41" s="268"/>
      <c r="I41" s="268"/>
      <c r="J41" s="268"/>
      <c r="K41" s="268"/>
      <c r="L41" s="268"/>
    </row>
    <row r="42" spans="2:20" ht="9.5" hidden="1" customHeight="1" thickTop="1" thickBot="1" x14ac:dyDescent="0.2">
      <c r="B42" s="108"/>
      <c r="D42" s="102"/>
      <c r="E42" s="102"/>
      <c r="F42" s="102"/>
      <c r="G42" s="102"/>
      <c r="H42" s="102"/>
      <c r="I42" s="102"/>
      <c r="J42" s="102"/>
      <c r="K42" s="62"/>
      <c r="L42" s="62"/>
    </row>
    <row r="43" spans="2:20" ht="19.5" hidden="1" customHeight="1" thickTop="1" thickBot="1" x14ac:dyDescent="0.2">
      <c r="B43" s="38" t="s">
        <v>225</v>
      </c>
      <c r="D43" s="270" t="str" cm="1">
        <f t="array" ref="D43">IF(OR(ISBLANK($D$23),ISBLANK($D$24),ISBLANK($D$25:$D$27)), "Enter data in Section 1", $D$23&amp;" commits to reduce scope 1 and 2 emissions "&amp;(ROUNDUP(TRUNC($L$38,4),3)*100)&amp;"%"&amp;" by "&amp;$D$27&amp;" from a "&amp;$D$24&amp;" base year.")</f>
        <v>NFG commits to reduce scope 1 and 2 emissions 54.6% by 2033 from a 2022 base year.</v>
      </c>
      <c r="E43" s="270"/>
      <c r="F43" s="270"/>
      <c r="G43" s="270"/>
      <c r="H43" s="270"/>
      <c r="I43" s="270"/>
      <c r="J43" s="270"/>
      <c r="K43" s="270"/>
      <c r="L43" s="270"/>
    </row>
    <row r="44" spans="2:20" ht="19.5" hidden="1" customHeight="1" thickTop="1" x14ac:dyDescent="0.15">
      <c r="B44" s="94" t="s">
        <v>348</v>
      </c>
      <c r="D44" s="271" t="s">
        <v>349</v>
      </c>
      <c r="E44" s="271"/>
      <c r="F44" s="271"/>
      <c r="G44" s="271"/>
      <c r="H44" s="271"/>
      <c r="I44" s="271"/>
      <c r="J44" s="271"/>
      <c r="K44" s="271"/>
      <c r="L44" s="271"/>
    </row>
    <row r="45" spans="2:20" ht="19.5" hidden="1" customHeight="1" x14ac:dyDescent="0.15">
      <c r="K45" s="66"/>
    </row>
    <row r="46" spans="2:20" ht="19.5" hidden="1" customHeight="1" x14ac:dyDescent="0.15"/>
    <row r="47" spans="2:20" ht="19.5" hidden="1" customHeight="1" x14ac:dyDescent="0.15"/>
    <row r="48" spans="2:20" ht="19.5" hidden="1" customHeight="1" x14ac:dyDescent="0.15"/>
    <row r="49" spans="2:26" ht="19.5" hidden="1" customHeight="1" x14ac:dyDescent="0.15"/>
    <row r="50" spans="2:26" ht="19.5" hidden="1" customHeight="1" x14ac:dyDescent="0.15"/>
    <row r="51" spans="2:26" ht="19.5" hidden="1" customHeight="1" x14ac:dyDescent="0.15"/>
    <row r="52" spans="2:26" ht="19.5" hidden="1" customHeight="1" x14ac:dyDescent="0.15"/>
    <row r="53" spans="2:26" ht="19.5" hidden="1" customHeight="1" x14ac:dyDescent="0.15"/>
    <row r="54" spans="2:26" ht="19.5" hidden="1" customHeight="1" x14ac:dyDescent="0.15"/>
    <row r="55" spans="2:26" ht="19.5" hidden="1" customHeight="1" x14ac:dyDescent="0.15"/>
    <row r="56" spans="2:26" ht="19.5" hidden="1" customHeight="1" x14ac:dyDescent="0.15"/>
    <row r="57" spans="2:26" ht="19.5" hidden="1" customHeight="1" x14ac:dyDescent="0.15"/>
    <row r="58" spans="2:26" ht="19.5" hidden="1" customHeight="1" x14ac:dyDescent="0.15"/>
    <row r="59" spans="2:26" ht="19.5" hidden="1" customHeight="1" x14ac:dyDescent="0.15"/>
    <row r="60" spans="2:26" ht="19.5" hidden="1" customHeight="1" x14ac:dyDescent="0.15"/>
    <row r="61" spans="2:26" ht="19.5" hidden="1" customHeight="1" x14ac:dyDescent="0.15"/>
    <row r="62" spans="2:26" ht="19.5" hidden="1" customHeight="1" x14ac:dyDescent="0.15"/>
    <row r="63" spans="2:26" ht="19.5" hidden="1" customHeight="1" x14ac:dyDescent="0.15"/>
    <row r="64" spans="2:26" ht="12.75" customHeight="1" x14ac:dyDescent="0.2">
      <c r="B64" s="37"/>
      <c r="C64" s="37"/>
      <c r="D64" s="37"/>
      <c r="E64" s="37"/>
      <c r="F64" s="37"/>
      <c r="G64" s="37"/>
      <c r="H64" s="37"/>
      <c r="I64" s="37"/>
      <c r="J64" s="37"/>
      <c r="K64" s="37"/>
      <c r="L64" s="37"/>
      <c r="M64" s="37"/>
      <c r="N64" s="37"/>
      <c r="O64" s="37"/>
      <c r="P64" s="37"/>
      <c r="Q64" s="37"/>
      <c r="R64" s="37"/>
      <c r="S64" s="37"/>
      <c r="T64" s="37"/>
      <c r="U64" s="37"/>
      <c r="V64" s="37"/>
      <c r="W64" s="37"/>
      <c r="X64" s="37"/>
      <c r="Y64" s="37"/>
      <c r="Z64" s="37"/>
    </row>
    <row r="65" spans="2:19" ht="12.75" customHeight="1" x14ac:dyDescent="0.15">
      <c r="D65" s="42"/>
      <c r="F65" s="5"/>
      <c r="S65" s="64"/>
    </row>
    <row r="66" spans="2:19" ht="20" customHeight="1" x14ac:dyDescent="0.15">
      <c r="B66" s="169" t="s">
        <v>392</v>
      </c>
    </row>
    <row r="67" spans="2:19" ht="18" customHeight="1" x14ac:dyDescent="0.2">
      <c r="B67" s="7"/>
    </row>
    <row r="68" spans="2:19" ht="18" customHeight="1" x14ac:dyDescent="0.15">
      <c r="B68" s="272" t="s">
        <v>441</v>
      </c>
      <c r="C68" s="272"/>
      <c r="D68" s="272"/>
      <c r="E68" s="272"/>
      <c r="F68" s="272"/>
      <c r="G68" s="272"/>
      <c r="H68" s="272"/>
    </row>
    <row r="69" spans="2:19" ht="18" customHeight="1" x14ac:dyDescent="0.15">
      <c r="B69" s="272" t="s">
        <v>333</v>
      </c>
      <c r="C69" s="272"/>
      <c r="D69" s="272"/>
      <c r="E69" s="272"/>
      <c r="F69" s="272"/>
      <c r="G69" s="272"/>
      <c r="H69" s="272"/>
    </row>
    <row r="70" spans="2:19" ht="18" customHeight="1" thickBot="1" x14ac:dyDescent="0.2"/>
    <row r="71" spans="2:19" ht="18" customHeight="1" thickTop="1" thickBot="1" x14ac:dyDescent="0.2">
      <c r="B71" s="38" t="s">
        <v>222</v>
      </c>
      <c r="D71" s="50"/>
      <c r="F71" s="39" t="s">
        <v>222</v>
      </c>
    </row>
    <row r="72" spans="2:19" ht="20" customHeight="1" thickTop="1" thickBot="1" x14ac:dyDescent="0.2">
      <c r="B72" s="38" t="s">
        <v>3</v>
      </c>
      <c r="C72" s="3"/>
      <c r="D72" s="50"/>
      <c r="E72" s="3"/>
      <c r="F72" s="39" t="s">
        <v>361</v>
      </c>
    </row>
    <row r="73" spans="2:19" ht="20" customHeight="1" thickTop="1" thickBot="1" x14ac:dyDescent="0.2">
      <c r="B73" s="40" t="s">
        <v>238</v>
      </c>
      <c r="C73" s="3" t="str">
        <f>""</f>
        <v/>
      </c>
      <c r="D73" s="49"/>
      <c r="E73" s="3" t="str">
        <f>""</f>
        <v/>
      </c>
      <c r="F73" s="39" t="s">
        <v>362</v>
      </c>
    </row>
    <row r="74" spans="2:19" ht="20" customHeight="1" thickTop="1" thickBot="1" x14ac:dyDescent="0.2">
      <c r="B74" s="38" t="s">
        <v>267</v>
      </c>
      <c r="C74" s="3"/>
      <c r="D74" s="49"/>
      <c r="E74" s="3"/>
      <c r="F74" s="39" t="s">
        <v>197</v>
      </c>
    </row>
    <row r="75" spans="2:19" ht="20" customHeight="1" thickTop="1" thickBot="1" x14ac:dyDescent="0.2">
      <c r="B75" s="38" t="s">
        <v>261</v>
      </c>
      <c r="C75" s="3"/>
      <c r="D75" s="49"/>
      <c r="E75" s="3"/>
      <c r="F75" s="39" t="s">
        <v>198</v>
      </c>
    </row>
    <row r="76" spans="2:19" ht="20" customHeight="1" thickTop="1" thickBot="1" x14ac:dyDescent="0.2">
      <c r="B76" s="40" t="s">
        <v>429</v>
      </c>
      <c r="C76" s="3"/>
      <c r="D76" s="95"/>
      <c r="F76" s="39" t="s">
        <v>264</v>
      </c>
    </row>
    <row r="77" spans="2:19" ht="20" customHeight="1" thickTop="1" thickBot="1" x14ac:dyDescent="0.2">
      <c r="B77" s="40" t="s">
        <v>430</v>
      </c>
      <c r="C77" s="3"/>
      <c r="D77" s="96"/>
      <c r="F77" s="39" t="s">
        <v>288</v>
      </c>
    </row>
    <row r="78" spans="2:19" ht="20" customHeight="1" thickTop="1" x14ac:dyDescent="0.15"/>
    <row r="79" spans="2:19" ht="20" customHeight="1" x14ac:dyDescent="0.2">
      <c r="B79" s="100" t="str">
        <f>CONCATENATE("Target results: ",D73&amp;" | "&amp;D72)</f>
        <v xml:space="preserve">Target results:  | </v>
      </c>
      <c r="D79" s="64"/>
      <c r="E79" s="64"/>
      <c r="F79" s="64"/>
    </row>
    <row r="80" spans="2:19" x14ac:dyDescent="0.15">
      <c r="B80" s="168"/>
    </row>
    <row r="81" spans="2:13" ht="37.5" customHeight="1" x14ac:dyDescent="0.15">
      <c r="B81" s="1"/>
      <c r="D81" s="43" t="str">
        <f>+CONCATENATE("Base year ","(",D74,")")</f>
        <v>Base year ()</v>
      </c>
      <c r="E81" s="44"/>
      <c r="F81" s="43" t="str">
        <f>+CONCATENATE("Target year ","(",D75,")")</f>
        <v>Target year ()</v>
      </c>
      <c r="G81" s="34"/>
      <c r="H81" s="43" t="s">
        <v>423</v>
      </c>
      <c r="I81" s="34"/>
      <c r="J81" s="70"/>
      <c r="K81" s="70"/>
      <c r="L81" s="70"/>
      <c r="M81" s="71"/>
    </row>
    <row r="82" spans="2:13" ht="30" customHeight="1" thickBot="1" x14ac:dyDescent="0.2">
      <c r="B82" s="171" t="str">
        <f>+Calculations!B130</f>
        <v>select a LDV category</v>
      </c>
      <c r="D82" s="59" t="str">
        <f>+IF(AND(D74="",D76=""),"",D76)</f>
        <v/>
      </c>
      <c r="E82" s="172"/>
      <c r="F82" s="59" t="str">
        <f>+IF(AND(D74="",D76=""),"",Calculations!D132)</f>
        <v/>
      </c>
      <c r="H82" s="105" t="str">
        <f>IF(F82&lt;=0,100%,IF(AND(D82="",F82=""),"",ROUNDUP(TRUNC(1-F82/D82,4),3)))</f>
        <v/>
      </c>
    </row>
    <row r="83" spans="2:13" ht="30" customHeight="1" thickTop="1" thickBot="1" x14ac:dyDescent="0.2">
      <c r="B83" s="171" t="str">
        <f>Calculations!B135</f>
        <v>select a LDV category</v>
      </c>
      <c r="D83" s="173" t="str">
        <f>+IF(AND(D74="",D77=""),"",D77)</f>
        <v/>
      </c>
      <c r="E83" s="174"/>
      <c r="F83" s="173" t="str">
        <f>+IF(AND(D74="",D76=""),"",ROUNDUP(TRUNC(Calculations!D137,4),3))</f>
        <v/>
      </c>
      <c r="H83" s="104" t="str">
        <f>+IF(AND(D83="",F83=""),"",F83/D83-1)</f>
        <v/>
      </c>
    </row>
    <row r="84" spans="2:13" ht="19.75" customHeight="1" thickTop="1" thickBot="1" x14ac:dyDescent="0.2"/>
    <row r="85" spans="2:13" ht="30" customHeight="1" thickTop="1" thickBot="1" x14ac:dyDescent="0.2">
      <c r="B85" s="171" t="s">
        <v>431</v>
      </c>
      <c r="D85" s="275" t="str" cm="1">
        <f t="array" ref="D85">IF(OR(ISBLANK(D72:D77),ISBLANK(F82:F83)),"Enter data in Section 1",$D$71&amp;" commits to reduce the average scope 1, scope 2 and scope 3 category 1, category 11 and category 12 aggregated GHG emission intensity covering vehicles sold in "&amp;D73&amp;" and "&amp;D72&amp;" by "&amp;(ROUNDUP(TRUNC(H82,4),3)*100)&amp;"%"&amp;" by "&amp;D75&amp;" relative to "&amp;D74)</f>
        <v>Enter data in Section 1</v>
      </c>
      <c r="E85" s="275"/>
      <c r="F85" s="275"/>
      <c r="G85" s="275"/>
      <c r="H85" s="275"/>
      <c r="I85" s="275"/>
      <c r="J85" s="275"/>
      <c r="K85" s="275"/>
      <c r="L85" s="275"/>
    </row>
    <row r="86" spans="2:13" ht="20" customHeight="1" thickTop="1" thickBot="1" x14ac:dyDescent="0.2">
      <c r="B86" s="175" t="s">
        <v>432</v>
      </c>
      <c r="D86" s="268" t="str" cm="1">
        <f t="array" ref="D86">IF(OR(ISBLANK(D72:D77),ISBLANK(F82:F83)),"Enter data in Section 1",$D$71&amp;" commits to increase the sales share of its low-emission vehicles in "&amp;D73&amp;" across all countries by "&amp;(ROUNDUP(TRUNC(F83,4),3)*100)&amp;"%"&amp;" by "&amp;D75&amp;" relative to "&amp;D74)</f>
        <v>Enter data in Section 1</v>
      </c>
      <c r="E86" s="268"/>
      <c r="F86" s="268"/>
      <c r="G86" s="268"/>
      <c r="H86" s="268"/>
      <c r="I86" s="268"/>
      <c r="J86" s="268"/>
      <c r="K86" s="268"/>
      <c r="L86" s="268"/>
    </row>
    <row r="87" spans="2:13" ht="20" customHeight="1" thickTop="1" x14ac:dyDescent="0.15">
      <c r="D87" s="99"/>
    </row>
    <row r="88" spans="2:13" ht="20" customHeight="1" x14ac:dyDescent="0.15"/>
    <row r="89" spans="2:13" ht="20" customHeight="1" x14ac:dyDescent="0.15"/>
    <row r="90" spans="2:13" ht="20" customHeight="1" x14ac:dyDescent="0.15"/>
    <row r="91" spans="2:13" ht="20" customHeight="1" x14ac:dyDescent="0.15"/>
    <row r="92" spans="2:13" ht="20" customHeight="1" x14ac:dyDescent="0.15"/>
    <row r="93" spans="2:13" ht="20" customHeight="1" x14ac:dyDescent="0.15"/>
    <row r="94" spans="2:13" ht="20" customHeight="1" x14ac:dyDescent="0.15"/>
    <row r="95" spans="2:13" ht="20" customHeight="1" x14ac:dyDescent="0.15"/>
    <row r="96" spans="2:13" ht="20" customHeight="1" x14ac:dyDescent="0.15"/>
    <row r="97" spans="2:26" ht="20" customHeight="1" x14ac:dyDescent="0.15"/>
    <row r="98" spans="2:26" ht="20" customHeight="1" x14ac:dyDescent="0.15"/>
    <row r="99" spans="2:26" ht="20" customHeight="1" x14ac:dyDescent="0.15"/>
    <row r="100" spans="2:26" ht="20" customHeight="1" x14ac:dyDescent="0.15"/>
    <row r="101" spans="2:26" ht="20" customHeight="1" x14ac:dyDescent="0.15"/>
    <row r="102" spans="2:26" ht="20" customHeight="1" x14ac:dyDescent="0.15">
      <c r="J102" s="46"/>
    </row>
    <row r="103" spans="2:26" ht="19.5" customHeight="1" x14ac:dyDescent="0.15"/>
    <row r="104" spans="2:26" ht="12.75" customHeight="1" x14ac:dyDescent="0.2">
      <c r="B104" s="37"/>
      <c r="C104" s="37"/>
      <c r="D104" s="37"/>
      <c r="E104" s="37"/>
      <c r="F104" s="37"/>
      <c r="G104" s="37"/>
      <c r="H104" s="37"/>
      <c r="I104" s="37"/>
      <c r="J104" s="37"/>
      <c r="K104" s="37"/>
      <c r="L104" s="37"/>
      <c r="M104" s="37"/>
      <c r="N104" s="37"/>
      <c r="O104" s="37"/>
      <c r="P104" s="37"/>
      <c r="Q104" s="37"/>
      <c r="R104" s="37"/>
      <c r="S104" s="37"/>
      <c r="T104" s="37"/>
      <c r="U104" s="37"/>
      <c r="V104" s="37"/>
      <c r="W104" s="37"/>
      <c r="X104" s="37"/>
      <c r="Y104" s="37"/>
      <c r="Z104" s="37"/>
    </row>
    <row r="105" spans="2:26" ht="12.75" customHeight="1" x14ac:dyDescent="0.15">
      <c r="D105" s="42"/>
      <c r="F105" s="5"/>
      <c r="S105" s="64"/>
    </row>
    <row r="106" spans="2:26" ht="20" customHeight="1" x14ac:dyDescent="0.2">
      <c r="B106" s="7" t="s">
        <v>380</v>
      </c>
    </row>
    <row r="107" spans="2:26" ht="18" customHeight="1" x14ac:dyDescent="0.2">
      <c r="B107" s="7"/>
    </row>
    <row r="108" spans="2:26" ht="18" customHeight="1" x14ac:dyDescent="0.15">
      <c r="B108" s="272" t="s">
        <v>441</v>
      </c>
      <c r="C108" s="272"/>
      <c r="D108" s="272"/>
      <c r="E108" s="272"/>
      <c r="F108" s="272"/>
      <c r="G108" s="272"/>
      <c r="H108" s="272"/>
    </row>
    <row r="109" spans="2:26" ht="18" customHeight="1" x14ac:dyDescent="0.15">
      <c r="B109" s="272" t="s">
        <v>333</v>
      </c>
      <c r="C109" s="272"/>
      <c r="D109" s="272"/>
      <c r="E109" s="272"/>
      <c r="F109" s="272"/>
      <c r="G109" s="272"/>
      <c r="H109" s="272"/>
    </row>
    <row r="110" spans="2:26" ht="18" customHeight="1" thickBot="1" x14ac:dyDescent="0.2">
      <c r="J110" s="46"/>
    </row>
    <row r="111" spans="2:26" ht="18" customHeight="1" thickTop="1" thickBot="1" x14ac:dyDescent="0.2">
      <c r="B111" s="38" t="s">
        <v>428</v>
      </c>
      <c r="D111" s="58" t="str">
        <f>IF(ISTEXT($D$71)=TRUE,$D71,"")</f>
        <v/>
      </c>
      <c r="J111" s="46"/>
    </row>
    <row r="112" spans="2:26" ht="20" customHeight="1" thickTop="1" thickBot="1" x14ac:dyDescent="0.2">
      <c r="B112" s="38" t="s">
        <v>3</v>
      </c>
      <c r="C112" s="3"/>
      <c r="D112" s="50"/>
      <c r="E112" s="3"/>
      <c r="F112" s="39" t="s">
        <v>361</v>
      </c>
      <c r="J112" s="46"/>
    </row>
    <row r="113" spans="2:13" ht="20" customHeight="1" thickTop="1" thickBot="1" x14ac:dyDescent="0.2">
      <c r="B113" s="40" t="s">
        <v>238</v>
      </c>
      <c r="C113" s="3" t="str">
        <f>""</f>
        <v/>
      </c>
      <c r="D113" s="49"/>
      <c r="E113" s="3" t="str">
        <f>""</f>
        <v/>
      </c>
      <c r="F113" s="39" t="s">
        <v>362</v>
      </c>
      <c r="J113" s="46"/>
    </row>
    <row r="114" spans="2:13" ht="20" customHeight="1" thickTop="1" thickBot="1" x14ac:dyDescent="0.2">
      <c r="B114" s="38" t="s">
        <v>267</v>
      </c>
      <c r="C114" s="3"/>
      <c r="D114" s="49"/>
      <c r="E114" s="3"/>
      <c r="F114" s="39" t="s">
        <v>197</v>
      </c>
      <c r="J114" s="46"/>
    </row>
    <row r="115" spans="2:13" ht="20" customHeight="1" thickTop="1" thickBot="1" x14ac:dyDescent="0.2">
      <c r="B115" s="38" t="s">
        <v>261</v>
      </c>
      <c r="C115" s="3"/>
      <c r="D115" s="49"/>
      <c r="E115" s="3"/>
      <c r="F115" s="39" t="s">
        <v>198</v>
      </c>
      <c r="J115" s="46"/>
    </row>
    <row r="116" spans="2:13" ht="20" customHeight="1" thickTop="1" thickBot="1" x14ac:dyDescent="0.2">
      <c r="B116" s="40" t="s">
        <v>429</v>
      </c>
      <c r="C116" s="3"/>
      <c r="D116" s="95"/>
      <c r="F116" s="39" t="s">
        <v>264</v>
      </c>
      <c r="J116" s="46"/>
    </row>
    <row r="117" spans="2:13" ht="20" customHeight="1" thickTop="1" thickBot="1" x14ac:dyDescent="0.2">
      <c r="B117" s="40" t="s">
        <v>430</v>
      </c>
      <c r="C117" s="3"/>
      <c r="D117" s="96"/>
      <c r="F117" s="39" t="s">
        <v>288</v>
      </c>
      <c r="J117" s="46"/>
    </row>
    <row r="118" spans="2:13" ht="20" customHeight="1" thickTop="1" x14ac:dyDescent="0.15">
      <c r="F118" s="39"/>
      <c r="J118" s="46"/>
    </row>
    <row r="119" spans="2:13" ht="20" customHeight="1" x14ac:dyDescent="0.2">
      <c r="B119" s="100" t="str">
        <f>CONCATENATE("Target results: ",D113&amp;" | "&amp;D112)</f>
        <v xml:space="preserve">Target results:  | </v>
      </c>
      <c r="D119" s="8"/>
      <c r="F119" s="64"/>
    </row>
    <row r="120" spans="2:13" x14ac:dyDescent="0.15">
      <c r="B120" s="168"/>
    </row>
    <row r="121" spans="2:13" ht="37.5" customHeight="1" x14ac:dyDescent="0.15">
      <c r="B121" s="1"/>
      <c r="D121" s="43" t="str">
        <f>+CONCATENATE("Base year ","(",D114,")")</f>
        <v>Base year ()</v>
      </c>
      <c r="E121" s="44"/>
      <c r="F121" s="43" t="str">
        <f>+CONCATENATE("Target year ","(",D115,")")</f>
        <v>Target year ()</v>
      </c>
      <c r="G121" s="34"/>
      <c r="H121" s="43" t="s">
        <v>423</v>
      </c>
      <c r="I121" s="34"/>
      <c r="J121" s="70"/>
      <c r="K121" s="70"/>
      <c r="L121" s="70"/>
      <c r="M121" s="71"/>
    </row>
    <row r="122" spans="2:13" ht="30" customHeight="1" thickBot="1" x14ac:dyDescent="0.2">
      <c r="B122" s="171" t="str">
        <f>Calculations!B140</f>
        <v>select a vehicle category</v>
      </c>
      <c r="D122" s="59" t="str">
        <f>+IF(AND(D114="",D116=""),"",D116)</f>
        <v/>
      </c>
      <c r="E122" s="172"/>
      <c r="F122" s="59" t="str">
        <f>+IF(AND(D114="",D116=""),"",Calculations!D142)</f>
        <v/>
      </c>
      <c r="H122" s="105" t="str">
        <f>IF(F122&lt;=0,100%,IF(AND(D122="",F122=""),"",ROUNDUP(TRUNC(1-F122/D122,4),3)))</f>
        <v/>
      </c>
    </row>
    <row r="123" spans="2:13" ht="30" customHeight="1" thickTop="1" thickBot="1" x14ac:dyDescent="0.2">
      <c r="B123" s="171" t="str">
        <f>Calculations!B145</f>
        <v>select a vehicle category</v>
      </c>
      <c r="D123" s="173" t="str">
        <f>+IF(AND(D114="",D117=""),"",D117)</f>
        <v/>
      </c>
      <c r="E123" s="174"/>
      <c r="F123" s="173" t="str">
        <f>+IF(AND(D114="",D116=""),"",ROUNDUP(TRUNC(Calculations!D147,4),3))</f>
        <v/>
      </c>
      <c r="H123" s="104" t="str">
        <f>+IF(AND(D123="",F123=""),"",F123/D123-1)</f>
        <v/>
      </c>
    </row>
    <row r="124" spans="2:13" ht="20" customHeight="1" thickTop="1" thickBot="1" x14ac:dyDescent="0.2"/>
    <row r="125" spans="2:13" ht="30" customHeight="1" thickTop="1" thickBot="1" x14ac:dyDescent="0.2">
      <c r="B125" s="171" t="s">
        <v>431</v>
      </c>
      <c r="D125" s="275" t="str" cm="1">
        <f t="array" ref="D125">IF(OR(ISBLANK(D112:D117),ISBLANK(F122:F123)),"Enter data in Section 2",$D$71&amp;" commits to reduce the average scope 1, scope 2 and scope 3 category 1, category 11 and category 12 aggregated GHG emission intensity covering vehicles sold in "&amp;D113&amp;" and "&amp;D112&amp;" by "&amp;(ROUNDUP(TRUNC(H122,4),3)*100)&amp;"%"&amp;" by "&amp;D115&amp;" relative to "&amp;D114)</f>
        <v>Enter data in Section 2</v>
      </c>
      <c r="E125" s="275"/>
      <c r="F125" s="275"/>
      <c r="G125" s="275"/>
      <c r="H125" s="275"/>
      <c r="I125" s="275"/>
      <c r="J125" s="275"/>
      <c r="K125" s="275"/>
      <c r="L125" s="275"/>
    </row>
    <row r="126" spans="2:13" ht="19.75" customHeight="1" thickTop="1" thickBot="1" x14ac:dyDescent="0.2">
      <c r="B126" s="175" t="s">
        <v>432</v>
      </c>
      <c r="D126" s="268" t="str" cm="1">
        <f t="array" ref="D126">IF(OR(ISBLANK(D112:D117),ISBLANK(F122:F123)),"Enter data in Section 2",$D$71&amp;" commits to increase the sales share of its low-emission vehicles in "&amp;D113&amp;" across all countries by "&amp;(ROUNDUP(TRUNC(F123,4),3)*100)&amp;"%"&amp;" by "&amp;D115&amp;" relative to "&amp;D114)</f>
        <v>Enter data in Section 2</v>
      </c>
      <c r="E126" s="268"/>
      <c r="F126" s="268"/>
      <c r="G126" s="268"/>
      <c r="H126" s="268"/>
      <c r="I126" s="268"/>
      <c r="J126" s="268"/>
      <c r="K126" s="268"/>
      <c r="L126" s="268"/>
    </row>
    <row r="127" spans="2:13" ht="20" customHeight="1" thickTop="1" x14ac:dyDescent="0.15">
      <c r="F127" s="39"/>
      <c r="J127" s="46"/>
    </row>
    <row r="128" spans="2:13" ht="20" customHeight="1" x14ac:dyDescent="0.15">
      <c r="F128" s="39"/>
      <c r="J128" s="46"/>
    </row>
    <row r="129" spans="2:26" ht="20" customHeight="1" x14ac:dyDescent="0.15">
      <c r="F129" s="39"/>
      <c r="J129" s="46"/>
    </row>
    <row r="130" spans="2:26" ht="20" customHeight="1" x14ac:dyDescent="0.15">
      <c r="F130" s="39"/>
      <c r="J130" s="46"/>
    </row>
    <row r="131" spans="2:26" ht="20" customHeight="1" x14ac:dyDescent="0.15">
      <c r="F131" s="39"/>
      <c r="J131" s="46"/>
    </row>
    <row r="132" spans="2:26" ht="20" customHeight="1" x14ac:dyDescent="0.15">
      <c r="F132" s="39"/>
      <c r="J132" s="46"/>
    </row>
    <row r="133" spans="2:26" ht="20" customHeight="1" x14ac:dyDescent="0.15">
      <c r="F133" s="39"/>
      <c r="J133" s="46"/>
    </row>
    <row r="134" spans="2:26" ht="20" customHeight="1" x14ac:dyDescent="0.15">
      <c r="F134" s="39"/>
      <c r="J134" s="46"/>
    </row>
    <row r="135" spans="2:26" ht="20" customHeight="1" x14ac:dyDescent="0.15">
      <c r="F135" s="39"/>
      <c r="J135" s="46"/>
    </row>
    <row r="136" spans="2:26" ht="20" customHeight="1" x14ac:dyDescent="0.15">
      <c r="F136" s="39"/>
      <c r="J136" s="46"/>
    </row>
    <row r="137" spans="2:26" ht="20" customHeight="1" x14ac:dyDescent="0.15">
      <c r="F137" s="39"/>
      <c r="J137" s="46"/>
    </row>
    <row r="138" spans="2:26" ht="20" customHeight="1" x14ac:dyDescent="0.15">
      <c r="F138" s="39"/>
      <c r="J138" s="46"/>
    </row>
    <row r="139" spans="2:26" ht="20" customHeight="1" x14ac:dyDescent="0.15">
      <c r="F139" s="39"/>
      <c r="J139" s="46"/>
    </row>
    <row r="140" spans="2:26" ht="20" customHeight="1" x14ac:dyDescent="0.15">
      <c r="J140" s="46"/>
    </row>
    <row r="141" spans="2:26" ht="20" customHeight="1" x14ac:dyDescent="0.15">
      <c r="J141" s="46"/>
    </row>
    <row r="142" spans="2:26" ht="20" customHeight="1" x14ac:dyDescent="0.15">
      <c r="J142" s="46"/>
    </row>
    <row r="143" spans="2:26" ht="20" customHeight="1" x14ac:dyDescent="0.15">
      <c r="J143" s="46"/>
    </row>
    <row r="144" spans="2:26" ht="12.75" customHeight="1" x14ac:dyDescent="0.2">
      <c r="B144" s="37"/>
      <c r="C144" s="37"/>
      <c r="D144" s="37"/>
      <c r="E144" s="37"/>
      <c r="F144" s="37"/>
      <c r="G144" s="37"/>
      <c r="H144" s="37"/>
      <c r="I144" s="37"/>
      <c r="J144" s="37"/>
      <c r="K144" s="37"/>
      <c r="L144" s="37"/>
      <c r="M144" s="37"/>
      <c r="N144" s="37"/>
      <c r="O144" s="37"/>
      <c r="P144" s="37"/>
      <c r="Q144" s="37"/>
      <c r="R144" s="37"/>
      <c r="S144" s="37"/>
      <c r="T144" s="37"/>
      <c r="U144" s="37"/>
      <c r="V144" s="37"/>
      <c r="W144" s="37"/>
      <c r="X144" s="37"/>
      <c r="Y144" s="37"/>
      <c r="Z144" s="37"/>
    </row>
    <row r="145" spans="2:19" ht="12.75" customHeight="1" x14ac:dyDescent="0.15">
      <c r="D145" s="42"/>
      <c r="F145" s="5"/>
      <c r="S145" s="64"/>
    </row>
    <row r="146" spans="2:19" ht="20" customHeight="1" x14ac:dyDescent="0.2">
      <c r="B146" s="7" t="s">
        <v>390</v>
      </c>
    </row>
    <row r="147" spans="2:19" ht="18" customHeight="1" x14ac:dyDescent="0.2">
      <c r="B147" s="7"/>
    </row>
    <row r="148" spans="2:19" ht="18" customHeight="1" x14ac:dyDescent="0.15">
      <c r="B148" s="272" t="s">
        <v>375</v>
      </c>
      <c r="C148" s="272"/>
      <c r="D148" s="272"/>
      <c r="E148" s="272"/>
      <c r="F148" s="272"/>
      <c r="G148" s="272"/>
      <c r="H148" s="272"/>
    </row>
    <row r="149" spans="2:19" ht="19.75" customHeight="1" thickBot="1" x14ac:dyDescent="0.2">
      <c r="D149" s="42"/>
      <c r="F149" s="5"/>
      <c r="S149" s="64"/>
    </row>
    <row r="150" spans="2:19" ht="19.75" customHeight="1" thickTop="1" thickBot="1" x14ac:dyDescent="0.2">
      <c r="B150" s="38" t="s">
        <v>428</v>
      </c>
      <c r="D150" s="58" t="str">
        <f>IF(ISTEXT($D$71)=TRUE,$D71,"")</f>
        <v/>
      </c>
      <c r="F150" s="5"/>
      <c r="S150" s="64"/>
    </row>
    <row r="151" spans="2:19" ht="19.75" customHeight="1" thickTop="1" thickBot="1" x14ac:dyDescent="0.2">
      <c r="B151" s="38" t="s">
        <v>267</v>
      </c>
      <c r="C151" s="3"/>
      <c r="D151" s="49"/>
      <c r="E151" s="3"/>
      <c r="F151" s="39" t="s">
        <v>197</v>
      </c>
      <c r="S151" s="64"/>
    </row>
    <row r="152" spans="2:19" ht="19.75" customHeight="1" thickTop="1" thickBot="1" x14ac:dyDescent="0.2">
      <c r="B152" s="38" t="s">
        <v>261</v>
      </c>
      <c r="C152" s="3"/>
      <c r="D152" s="49"/>
      <c r="E152" s="3"/>
      <c r="F152" s="39" t="s">
        <v>198</v>
      </c>
      <c r="S152" s="64"/>
    </row>
    <row r="153" spans="2:19" ht="19.75" customHeight="1" thickTop="1" thickBot="1" x14ac:dyDescent="0.2">
      <c r="B153" s="40" t="s">
        <v>426</v>
      </c>
      <c r="C153" s="3"/>
      <c r="D153" s="95"/>
      <c r="F153" s="39" t="s">
        <v>264</v>
      </c>
      <c r="S153" s="64"/>
    </row>
    <row r="154" spans="2:19" ht="19.75" customHeight="1" thickTop="1" x14ac:dyDescent="0.15">
      <c r="D154" s="42"/>
      <c r="F154" s="5"/>
      <c r="S154" s="64"/>
    </row>
    <row r="155" spans="2:19" ht="19.75" customHeight="1" x14ac:dyDescent="0.2">
      <c r="B155" s="100" t="s">
        <v>433</v>
      </c>
      <c r="D155" s="42"/>
      <c r="F155" s="5"/>
      <c r="S155" s="64"/>
    </row>
    <row r="156" spans="2:19" ht="19.75" customHeight="1" x14ac:dyDescent="0.2">
      <c r="B156" s="100"/>
      <c r="D156" s="42"/>
      <c r="F156" s="5"/>
      <c r="S156" s="64"/>
    </row>
    <row r="157" spans="2:19" ht="19.75" customHeight="1" x14ac:dyDescent="0.15">
      <c r="B157" s="1"/>
      <c r="D157" s="43" t="str">
        <f>+CONCATENATE("Base year ","(",D151,")")</f>
        <v>Base year ()</v>
      </c>
      <c r="E157" s="44"/>
      <c r="F157" s="43" t="str">
        <f>+CONCATENATE("Target year ","(",D152,")")</f>
        <v>Target year ()</v>
      </c>
      <c r="G157" s="34"/>
      <c r="H157" s="43" t="s">
        <v>423</v>
      </c>
      <c r="I157" s="34"/>
      <c r="J157" s="70"/>
      <c r="K157" s="70"/>
      <c r="L157" s="70"/>
      <c r="S157" s="64"/>
    </row>
    <row r="158" spans="2:19" ht="30" customHeight="1" thickBot="1" x14ac:dyDescent="0.2">
      <c r="B158" s="38" t="str">
        <f>+Calculations!B72</f>
        <v>Scope 3 category 1 intensity target</v>
      </c>
      <c r="D158" s="59" t="str">
        <f>+IF(AND(D153="",D151=""),"",D153)</f>
        <v/>
      </c>
      <c r="E158" s="172"/>
      <c r="F158" s="59" t="str">
        <f>+IF(AND(D152="",D153=""),"",Calculations!$D$72)</f>
        <v/>
      </c>
      <c r="H158" s="105" t="str">
        <f>IF(F158&lt;=0,100%,IF(AND(D158="",F158=""),"",ROUNDUP(TRUNC(1-F158/D158,4),3)))</f>
        <v/>
      </c>
      <c r="S158" s="64"/>
    </row>
    <row r="159" spans="2:19" ht="19.75" customHeight="1" thickTop="1" x14ac:dyDescent="0.15">
      <c r="S159" s="64"/>
    </row>
    <row r="160" spans="2:19" ht="30" customHeight="1" thickBot="1" x14ac:dyDescent="0.2">
      <c r="B160" s="38" t="s">
        <v>469</v>
      </c>
      <c r="D160" s="278" t="str" cm="1">
        <f t="array" ref="D160">IF(OR(ISBLANK(D151:D153),ISBLANK(F158)),"Enter data in Section 3",$D$71&amp;" commits to reduce scope 3 category 1 emissions by "&amp;(ROUNDUP(TRUNC(H158,4),3)*100)&amp;"%"&amp;" by "&amp;D152&amp;" from a "&amp;D151&amp;" base year")</f>
        <v>Enter data in Section 3</v>
      </c>
      <c r="E160" s="278"/>
      <c r="F160" s="278"/>
      <c r="G160" s="278"/>
      <c r="H160" s="278"/>
      <c r="I160" s="278"/>
      <c r="J160" s="278"/>
      <c r="K160" s="278"/>
      <c r="L160" s="278"/>
      <c r="S160" s="64"/>
    </row>
    <row r="161" spans="4:19" ht="19.75" customHeight="1" thickTop="1" x14ac:dyDescent="0.15">
      <c r="D161" s="42"/>
      <c r="F161" s="196"/>
      <c r="S161" s="64"/>
    </row>
    <row r="162" spans="4:19" ht="19.75" customHeight="1" x14ac:dyDescent="0.15">
      <c r="D162" s="42"/>
      <c r="F162" s="5"/>
      <c r="S162" s="64"/>
    </row>
    <row r="163" spans="4:19" ht="19.75" customHeight="1" x14ac:dyDescent="0.15">
      <c r="D163" s="42"/>
      <c r="F163" s="5"/>
      <c r="S163" s="64"/>
    </row>
    <row r="164" spans="4:19" ht="19.75" customHeight="1" x14ac:dyDescent="0.15">
      <c r="D164" s="42"/>
      <c r="F164" s="5"/>
      <c r="S164" s="64"/>
    </row>
    <row r="165" spans="4:19" ht="19.75" customHeight="1" x14ac:dyDescent="0.15">
      <c r="D165" s="42"/>
      <c r="F165" s="5"/>
      <c r="S165" s="64"/>
    </row>
    <row r="166" spans="4:19" ht="19.75" customHeight="1" x14ac:dyDescent="0.15">
      <c r="D166" s="42"/>
      <c r="F166" s="5"/>
      <c r="S166" s="64"/>
    </row>
    <row r="167" spans="4:19" ht="19.75" customHeight="1" x14ac:dyDescent="0.15">
      <c r="D167" s="42"/>
      <c r="F167" s="5"/>
      <c r="S167" s="64"/>
    </row>
    <row r="168" spans="4:19" ht="19.75" customHeight="1" x14ac:dyDescent="0.15">
      <c r="D168" s="42"/>
      <c r="F168" s="5"/>
      <c r="S168" s="64"/>
    </row>
    <row r="169" spans="4:19" ht="19.75" customHeight="1" x14ac:dyDescent="0.15">
      <c r="D169" s="42"/>
      <c r="F169" s="5"/>
      <c r="S169" s="64"/>
    </row>
    <row r="170" spans="4:19" ht="19.75" customHeight="1" x14ac:dyDescent="0.15">
      <c r="D170" s="42"/>
      <c r="F170" s="5"/>
      <c r="S170" s="64"/>
    </row>
    <row r="171" spans="4:19" ht="19.75" customHeight="1" x14ac:dyDescent="0.15">
      <c r="D171" s="42"/>
      <c r="F171" s="5"/>
      <c r="S171" s="64"/>
    </row>
    <row r="172" spans="4:19" ht="19.75" customHeight="1" x14ac:dyDescent="0.15">
      <c r="D172" s="42"/>
      <c r="F172" s="5"/>
      <c r="S172" s="64"/>
    </row>
    <row r="173" spans="4:19" ht="19.75" customHeight="1" x14ac:dyDescent="0.15">
      <c r="D173" s="42"/>
      <c r="F173" s="5"/>
      <c r="S173" s="64"/>
    </row>
    <row r="174" spans="4:19" ht="19.75" customHeight="1" x14ac:dyDescent="0.15">
      <c r="D174" s="42"/>
      <c r="F174" s="5"/>
      <c r="S174" s="64"/>
    </row>
    <row r="175" spans="4:19" ht="19.75" customHeight="1" x14ac:dyDescent="0.15">
      <c r="D175" s="42"/>
      <c r="F175" s="5"/>
      <c r="S175" s="64"/>
    </row>
    <row r="176" spans="4:19" ht="19.75" customHeight="1" x14ac:dyDescent="0.15">
      <c r="D176" s="42"/>
      <c r="F176" s="5"/>
      <c r="S176" s="64"/>
    </row>
    <row r="177" spans="2:56" ht="19.75" customHeight="1" x14ac:dyDescent="0.15">
      <c r="D177" s="42"/>
      <c r="F177" s="5"/>
      <c r="S177" s="64"/>
    </row>
    <row r="178" spans="2:56" ht="12.75" customHeight="1" x14ac:dyDescent="0.2">
      <c r="B178" s="37"/>
      <c r="C178" s="37"/>
      <c r="D178" s="37"/>
      <c r="E178" s="37"/>
      <c r="F178" s="37"/>
      <c r="G178" s="37"/>
      <c r="H178" s="37"/>
      <c r="I178" s="37"/>
      <c r="J178" s="37"/>
      <c r="K178" s="37"/>
      <c r="L178" s="37"/>
      <c r="M178" s="37"/>
      <c r="N178" s="37"/>
      <c r="O178" s="37"/>
      <c r="P178" s="37"/>
      <c r="Q178" s="37"/>
      <c r="R178" s="37"/>
      <c r="S178" s="37"/>
      <c r="T178" s="37"/>
      <c r="U178" s="37"/>
      <c r="V178" s="37"/>
      <c r="W178" s="37"/>
      <c r="X178" s="37"/>
      <c r="Y178" s="37"/>
      <c r="Z178" s="37"/>
    </row>
    <row r="179" spans="2:56" ht="12.75" customHeight="1" x14ac:dyDescent="0.15">
      <c r="D179" s="42"/>
      <c r="F179" s="5"/>
      <c r="S179" s="64"/>
    </row>
    <row r="180" spans="2:56" ht="19.5" customHeight="1" x14ac:dyDescent="0.2">
      <c r="B180" s="7" t="s">
        <v>33</v>
      </c>
    </row>
    <row r="181" spans="2:56" ht="19.5" customHeight="1" x14ac:dyDescent="0.15">
      <c r="J181" s="43">
        <f>Automakers!$D$74</f>
        <v>0</v>
      </c>
      <c r="K181" s="43">
        <f t="shared" ref="K181:W181" si="0">IF(J181&lt;2035,J181+1,"")</f>
        <v>1</v>
      </c>
      <c r="L181" s="43">
        <f t="shared" si="0"/>
        <v>2</v>
      </c>
      <c r="M181" s="43">
        <f t="shared" si="0"/>
        <v>3</v>
      </c>
      <c r="N181" s="43">
        <f t="shared" si="0"/>
        <v>4</v>
      </c>
      <c r="O181" s="43">
        <f t="shared" si="0"/>
        <v>5</v>
      </c>
      <c r="P181" s="43">
        <f t="shared" si="0"/>
        <v>6</v>
      </c>
      <c r="Q181" s="43">
        <f t="shared" si="0"/>
        <v>7</v>
      </c>
      <c r="R181" s="43">
        <f t="shared" si="0"/>
        <v>8</v>
      </c>
      <c r="S181" s="43">
        <f t="shared" si="0"/>
        <v>9</v>
      </c>
      <c r="T181" s="43">
        <f t="shared" si="0"/>
        <v>10</v>
      </c>
      <c r="U181" s="43">
        <f t="shared" si="0"/>
        <v>11</v>
      </c>
      <c r="V181" s="43">
        <f t="shared" si="0"/>
        <v>12</v>
      </c>
      <c r="W181" s="43">
        <f t="shared" si="0"/>
        <v>13</v>
      </c>
    </row>
    <row r="182" spans="2:56" ht="36" customHeight="1" thickBot="1" x14ac:dyDescent="0.2">
      <c r="D182" s="277" t="str">
        <f>+B66</f>
        <v>Section 1. Target setting for light-duty vehicles (Passenger cars and LCVs)</v>
      </c>
      <c r="F182" s="267" t="str">
        <f>+B82</f>
        <v>select a LDV category</v>
      </c>
      <c r="G182" s="267">
        <f>+G82</f>
        <v>0</v>
      </c>
      <c r="H182" s="267" t="str">
        <f>+H82</f>
        <v/>
      </c>
      <c r="J182" s="83" t="str">
        <f>IF(AND($D$76&gt;0,J181&lt;&gt;""),HLOOKUP(J$181,Calculations!$B$1:$AI$235,ROW(Calculations!B130)),"")</f>
        <v/>
      </c>
      <c r="K182" s="83" t="str">
        <f>IF(AND($D$76&gt;0,K181&lt;&gt;""),HLOOKUP(K$181,Calculations!$B$1:$AI$235,ROW(Calculations!C130)),"")</f>
        <v/>
      </c>
      <c r="L182" s="83" t="str">
        <f>IF(AND($D$76&gt;0,L181&lt;&gt;""),HLOOKUP(L$181,Calculations!$B$1:$AI$235,ROW(Calculations!D130)),"")</f>
        <v/>
      </c>
      <c r="M182" s="83" t="str">
        <f>IF(AND($D$76&gt;0,M181&lt;&gt;""),HLOOKUP(M$181,Calculations!$B$1:$AI$235,ROW(Calculations!E130)),"")</f>
        <v/>
      </c>
      <c r="N182" s="83" t="str">
        <f>IF(AND($D$76&gt;0,N181&lt;&gt;""),HLOOKUP(N$181,Calculations!$B$1:$AI$235,ROW(Calculations!F130)),"")</f>
        <v/>
      </c>
      <c r="O182" s="83" t="str">
        <f>IF(AND($D$76&gt;0,O181&lt;&gt;""),HLOOKUP(O$181,Calculations!$B$1:$AI$235,ROW(Calculations!G130)),"")</f>
        <v/>
      </c>
      <c r="P182" s="83" t="str">
        <f>IF(AND($D$76&gt;0,P181&lt;&gt;""),HLOOKUP(P$181,Calculations!$B$1:$AI$235,ROW(Calculations!H130)),"")</f>
        <v/>
      </c>
      <c r="Q182" s="83" t="str">
        <f>IF(AND($D$76&gt;0,Q181&lt;&gt;""),HLOOKUP(Q$181,Calculations!$B$1:$AI$235,ROW(Calculations!I130)),"")</f>
        <v/>
      </c>
      <c r="R182" s="83" t="str">
        <f>IF(AND($D$76&gt;0,R181&lt;&gt;""),HLOOKUP(R$181,Calculations!$B$1:$AI$235,ROW(Calculations!J130)),"")</f>
        <v/>
      </c>
      <c r="S182" s="83" t="str">
        <f>IF(AND($D$76&gt;0,S181&lt;&gt;""),HLOOKUP(S$181,Calculations!$B$1:$AI$235,ROW(Calculations!K130)),"")</f>
        <v/>
      </c>
      <c r="T182" s="83" t="str">
        <f>IF(AND($D$76&gt;0,T181&lt;&gt;""),HLOOKUP(T$181,Calculations!$B$1:$AI$235,ROW(Calculations!L130)),"")</f>
        <v/>
      </c>
      <c r="U182" s="83" t="str">
        <f>IF(AND($D$76&gt;0,U181&lt;&gt;""),HLOOKUP(U$181,Calculations!$B$1:$AI$235,ROW(Calculations!M130)),"")</f>
        <v/>
      </c>
      <c r="V182" s="83" t="str">
        <f>IF(AND($D$76&gt;0,V181&lt;&gt;""),HLOOKUP(V$181,Calculations!$B$1:$AI$235,ROW(Calculations!N130)),"")</f>
        <v/>
      </c>
      <c r="W182" s="83" t="str">
        <f>IF(AND($D$76&gt;0,W181&lt;&gt;""),HLOOKUP(W$181,Calculations!$B$1:$AI$235,ROW(Calculations!O130)),"")</f>
        <v/>
      </c>
      <c r="X182" s="83" t="str">
        <f>IF(AND($D$76&gt;0,X181&lt;&gt;""),HLOOKUP(X$181,Calculations!$B$1:$AI$235,ROW(Calculations!P130)),"")</f>
        <v/>
      </c>
      <c r="Y182" s="83" t="str">
        <f>IF(AND($D$76&gt;0,Y181&lt;&gt;""),HLOOKUP(Y$181,Calculations!$B$1:$AI$235,ROW(Calculations!Q130)),"")</f>
        <v/>
      </c>
      <c r="Z182" s="83" t="str">
        <f>IF(AND($D$76&gt;0,Z181&lt;&gt;""),HLOOKUP(Z$181,Calculations!$B$1:$AI$235,ROW(Calculations!R130)),"")</f>
        <v/>
      </c>
    </row>
    <row r="183" spans="2:56" ht="36" customHeight="1" thickTop="1" thickBot="1" x14ac:dyDescent="0.2">
      <c r="D183" s="277"/>
      <c r="F183" s="267" t="str">
        <f>+B83</f>
        <v>select a LDV category</v>
      </c>
      <c r="G183" s="267">
        <f>+G83</f>
        <v>0</v>
      </c>
      <c r="H183" s="267" t="str">
        <f>+H83</f>
        <v/>
      </c>
      <c r="I183" s="45"/>
      <c r="J183" s="176" t="str">
        <f>IF(AND($D$77&gt;0,J181&lt;&gt;""),HLOOKUP(J$181,Calculations!$B$1:$AI$235,ROW(Calculations!B135)),"")</f>
        <v/>
      </c>
      <c r="K183" s="176" t="str">
        <f>IF(AND($D$77&gt;0,K181&lt;&gt;""),HLOOKUP(K$181,Calculations!$B$1:$AI$235,ROW(Calculations!C135)),"")</f>
        <v/>
      </c>
      <c r="L183" s="176" t="str">
        <f>IF(AND($D$77&gt;0,L181&lt;&gt;""),HLOOKUP(L$181,Calculations!$B$1:$AI$235,ROW(Calculations!D135)),"")</f>
        <v/>
      </c>
      <c r="M183" s="176" t="str">
        <f>IF(AND($D$77&gt;0,M181&lt;&gt;""),HLOOKUP(M$181,Calculations!$B$1:$AI$235,ROW(Calculations!E135)),"")</f>
        <v/>
      </c>
      <c r="N183" s="176" t="str">
        <f>IF(AND($D$77&gt;0,N181&lt;&gt;""),HLOOKUP(N$181,Calculations!$B$1:$AI$235,ROW(Calculations!F135)),"")</f>
        <v/>
      </c>
      <c r="O183" s="176" t="str">
        <f>IF(AND($D$77&gt;0,O181&lt;&gt;""),HLOOKUP(O$181,Calculations!$B$1:$AI$235,ROW(Calculations!G135)),"")</f>
        <v/>
      </c>
      <c r="P183" s="176" t="str">
        <f>IF(AND($D$77&gt;0,P181&lt;&gt;""),HLOOKUP(P$181,Calculations!$B$1:$AI$235,ROW(Calculations!H135)),"")</f>
        <v/>
      </c>
      <c r="Q183" s="176" t="str">
        <f>IF(AND($D$77&gt;0,Q181&lt;&gt;""),HLOOKUP(Q$181,Calculations!$B$1:$AI$235,ROW(Calculations!I135)),"")</f>
        <v/>
      </c>
      <c r="R183" s="176" t="str">
        <f>IF(AND($D$77&gt;0,R181&lt;&gt;""),HLOOKUP(R$181,Calculations!$B$1:$AI$235,ROW(Calculations!J135)),"")</f>
        <v/>
      </c>
      <c r="S183" s="176" t="str">
        <f>IF(AND($D$77&gt;0,S181&lt;&gt;""),HLOOKUP(S$181,Calculations!$B$1:$AI$235,ROW(Calculations!K135)),"")</f>
        <v/>
      </c>
      <c r="T183" s="176" t="str">
        <f>IF(AND($D$77&gt;0,T181&lt;&gt;""),HLOOKUP(T$181,Calculations!$B$1:$AI$235,ROW(Calculations!L135)),"")</f>
        <v/>
      </c>
      <c r="U183" s="176" t="str">
        <f>IF(AND($D$77&gt;0,U181&lt;&gt;""),HLOOKUP(U$181,Calculations!$B$1:$AI$235,ROW(Calculations!M135)),"")</f>
        <v/>
      </c>
      <c r="V183" s="176" t="str">
        <f>IF(AND($D$77&gt;0,V181&lt;&gt;""),HLOOKUP(V$181,Calculations!$B$1:$AI$235,ROW(Calculations!N135)),"")</f>
        <v/>
      </c>
      <c r="W183" s="176" t="str">
        <f>IF(AND($D$77&gt;0,W181&lt;&gt;""),HLOOKUP(W$181,Calculations!$B$1:$AI$235,ROW(Calculations!O135)),"")</f>
        <v/>
      </c>
      <c r="X183" s="176" t="str">
        <f>IF(AND($D$77&gt;0,X181&lt;&gt;""),HLOOKUP(X$181,Calculations!$B$1:$AI$235,ROW(Calculations!P135)),"")</f>
        <v/>
      </c>
      <c r="Y183" s="176" t="str">
        <f>IF(AND($D$77&gt;0,Y181&lt;&gt;""),HLOOKUP(Y$181,Calculations!$B$1:$AI$235,ROW(Calculations!Q135)),"")</f>
        <v/>
      </c>
      <c r="Z183" s="176" t="str">
        <f>IF(AND($D$77&gt;0,Z181&lt;&gt;""),HLOOKUP(Z$181,Calculations!$B$1:$AI$235,ROW(Calculations!R135)),"")</f>
        <v/>
      </c>
      <c r="AA183" s="81"/>
      <c r="AB183" s="81"/>
      <c r="AC183" s="81"/>
      <c r="AD183" s="81"/>
    </row>
    <row r="184" spans="2:56" ht="36" customHeight="1" thickTop="1" thickBot="1" x14ac:dyDescent="0.2">
      <c r="D184" s="273" t="str">
        <f>+B106</f>
        <v>Section 2. Target setting for non light-duty vehicles (2&amp;3 wheelers, buses, medium and heavy duty trucks)</v>
      </c>
      <c r="F184" s="267" t="str">
        <f>+B122</f>
        <v>select a vehicle category</v>
      </c>
      <c r="G184" s="267">
        <f>+G85</f>
        <v>0</v>
      </c>
      <c r="H184" s="267">
        <f>+H85</f>
        <v>0</v>
      </c>
      <c r="J184" s="83" t="str">
        <f>IF(AND($D$116&gt;0,J181&lt;&gt;""),HLOOKUP(J$181,Calculations!$B$1:$AI$235,ROW(Calculations!E140)),"")</f>
        <v/>
      </c>
      <c r="K184" s="83" t="str">
        <f>IF(AND($D$116&gt;0,K181&lt;&gt;""),HLOOKUP(K$181,Calculations!$B$1:$AI$235,ROW(Calculations!F140)),"")</f>
        <v/>
      </c>
      <c r="L184" s="83" t="str">
        <f>IF(AND($D$116&gt;0,L181&lt;&gt;""),HLOOKUP(L$181,Calculations!$B$1:$AI$235,ROW(Calculations!G140)),"")</f>
        <v/>
      </c>
      <c r="M184" s="83" t="str">
        <f>IF(AND($D$116&gt;0,M181&lt;&gt;""),HLOOKUP(M$181,Calculations!$B$1:$AI$235,ROW(Calculations!H140)),"")</f>
        <v/>
      </c>
      <c r="N184" s="83" t="str">
        <f>IF(AND($D$116&gt;0,N181&lt;&gt;""),HLOOKUP(N$181,Calculations!$B$1:$AI$235,ROW(Calculations!I140)),"")</f>
        <v/>
      </c>
      <c r="O184" s="83" t="str">
        <f>IF(AND($D$116&gt;0,O181&lt;&gt;""),HLOOKUP(O$181,Calculations!$B$1:$AI$235,ROW(Calculations!J140)),"")</f>
        <v/>
      </c>
      <c r="P184" s="83" t="str">
        <f>IF(AND($D$116&gt;0,P181&lt;&gt;""),HLOOKUP(P$181,Calculations!$B$1:$AI$235,ROW(Calculations!K140)),"")</f>
        <v/>
      </c>
      <c r="Q184" s="83" t="str">
        <f>IF(AND($D$116&gt;0,Q181&lt;&gt;""),HLOOKUP(Q$181,Calculations!$B$1:$AI$235,ROW(Calculations!L140)),"")</f>
        <v/>
      </c>
      <c r="R184" s="83" t="str">
        <f>IF(AND($D$116&gt;0,R181&lt;&gt;""),HLOOKUP(R$181,Calculations!$B$1:$AI$235,ROW(Calculations!M140)),"")</f>
        <v/>
      </c>
      <c r="S184" s="83" t="str">
        <f>IF(AND($D$116&gt;0,S181&lt;&gt;""),HLOOKUP(S$181,Calculations!$B$1:$AI$235,ROW(Calculations!N140)),"")</f>
        <v/>
      </c>
      <c r="T184" s="83" t="str">
        <f>IF(AND($D$116&gt;0,T181&lt;&gt;""),HLOOKUP(T$181,Calculations!$B$1:$AI$235,ROW(Calculations!O140)),"")</f>
        <v/>
      </c>
      <c r="U184" s="83" t="str">
        <f>IF(AND($D$116&gt;0,U181&lt;&gt;""),HLOOKUP(U$181,Calculations!$B$1:$AI$235,ROW(Calculations!P140)),"")</f>
        <v/>
      </c>
      <c r="V184" s="83" t="str">
        <f>IF(AND($D$116&gt;0,V181&lt;&gt;""),HLOOKUP(V$181,Calculations!$B$1:$AI$235,ROW(Calculations!Q140)),"")</f>
        <v/>
      </c>
      <c r="W184" s="83" t="str">
        <f>IF(AND($D$116&gt;0,W181&lt;&gt;""),HLOOKUP(W$181,Calculations!$B$1:$AI$235,ROW(Calculations!R140)),"")</f>
        <v/>
      </c>
      <c r="X184" s="83" t="str">
        <f>IF(AND($D$116&gt;0,X181&lt;&gt;""),HLOOKUP(X$181,Calculations!$B$1:$AI$235,ROW(Calculations!S140)),"")</f>
        <v/>
      </c>
      <c r="Y184" s="83" t="str">
        <f>IF(AND($D$116&gt;0,Y181&lt;&gt;""),HLOOKUP(Y$181,Calculations!$B$1:$AI$235,ROW(Calculations!T140)),"")</f>
        <v/>
      </c>
      <c r="Z184" s="83" t="str">
        <f>IF(AND($D$116&gt;0,Z181&lt;&gt;""),HLOOKUP(Z$181,Calculations!$B$1:$AI$235,ROW(Calculations!U140)),"")</f>
        <v/>
      </c>
    </row>
    <row r="185" spans="2:56" ht="36" customHeight="1" thickTop="1" thickBot="1" x14ac:dyDescent="0.2">
      <c r="D185" s="274"/>
      <c r="F185" s="267" t="str">
        <f>+B123</f>
        <v>select a vehicle category</v>
      </c>
      <c r="G185" s="267">
        <f>+G86</f>
        <v>0</v>
      </c>
      <c r="H185" s="267">
        <f>+H86</f>
        <v>0</v>
      </c>
      <c r="I185" s="45"/>
      <c r="J185" s="176" t="str">
        <f>IF(AND($D$117&gt;0,J181&lt;&gt;""),HLOOKUP(J$181,Calculations!$B$1:$AI$235,ROW(Calculations!E145)),"")</f>
        <v/>
      </c>
      <c r="K185" s="176" t="str">
        <f>IF(AND($D$117&gt;0,K181&lt;&gt;""),HLOOKUP(K$181,Calculations!$B$1:$AI$235,ROW(Calculations!F145)),"")</f>
        <v/>
      </c>
      <c r="L185" s="176" t="str">
        <f>IF(AND($D$117&gt;0,L181&lt;&gt;""),HLOOKUP(L$181,Calculations!$B$1:$AI$235,ROW(Calculations!G145)),"")</f>
        <v/>
      </c>
      <c r="M185" s="176" t="str">
        <f>IF(AND($D$117&gt;0,M181&lt;&gt;""),HLOOKUP(M$181,Calculations!$B$1:$AI$235,ROW(Calculations!H145)),"")</f>
        <v/>
      </c>
      <c r="N185" s="176" t="str">
        <f>IF(AND($D$117&gt;0,N181&lt;&gt;""),HLOOKUP(N$181,Calculations!$B$1:$AI$235,ROW(Calculations!I145)),"")</f>
        <v/>
      </c>
      <c r="O185" s="176" t="str">
        <f>IF(AND($D$117&gt;0,O181&lt;&gt;""),HLOOKUP(O$181,Calculations!$B$1:$AI$235,ROW(Calculations!J145)),"")</f>
        <v/>
      </c>
      <c r="P185" s="176" t="str">
        <f>IF(AND($D$117&gt;0,P181&lt;&gt;""),HLOOKUP(P$181,Calculations!$B$1:$AI$235,ROW(Calculations!K145)),"")</f>
        <v/>
      </c>
      <c r="Q185" s="176" t="str">
        <f>IF(AND($D$117&gt;0,Q181&lt;&gt;""),HLOOKUP(Q$181,Calculations!$B$1:$AI$235,ROW(Calculations!L145)),"")</f>
        <v/>
      </c>
      <c r="R185" s="176" t="str">
        <f>IF(AND($D$117&gt;0,R181&lt;&gt;""),HLOOKUP(R$181,Calculations!$B$1:$AI$235,ROW(Calculations!M145)),"")</f>
        <v/>
      </c>
      <c r="S185" s="176" t="str">
        <f>IF(AND($D$117&gt;0,S181&lt;&gt;""),HLOOKUP(S$181,Calculations!$B$1:$AI$235,ROW(Calculations!N145)),"")</f>
        <v/>
      </c>
      <c r="T185" s="176" t="str">
        <f>IF(AND($D$117&gt;0,T181&lt;&gt;""),HLOOKUP(T$181,Calculations!$B$1:$AI$235,ROW(Calculations!O145)),"")</f>
        <v/>
      </c>
      <c r="U185" s="176" t="str">
        <f>IF(AND($D$117&gt;0,U181&lt;&gt;""),HLOOKUP(U$181,Calculations!$B$1:$AI$235,ROW(Calculations!P145)),"")</f>
        <v/>
      </c>
      <c r="V185" s="176" t="str">
        <f>IF(AND($D$117&gt;0,V181&lt;&gt;""),HLOOKUP(V$181,Calculations!$B$1:$AI$235,ROW(Calculations!Q145)),"")</f>
        <v/>
      </c>
      <c r="W185" s="176" t="str">
        <f>IF(AND($D$117&gt;0,W181&lt;&gt;""),HLOOKUP(W$181,Calculations!$B$1:$AI$235,ROW(Calculations!R145)),"")</f>
        <v/>
      </c>
      <c r="X185" s="176" t="str">
        <f>IF(AND($D$117&gt;0,X181&lt;&gt;""),HLOOKUP(X$181,Calculations!$B$1:$AI$235,ROW(Calculations!S145)),"")</f>
        <v/>
      </c>
      <c r="Y185" s="176" t="str">
        <f>IF(AND($D$117&gt;0,Y181&lt;&gt;""),HLOOKUP(Y$181,Calculations!$B$1:$AI$235,ROW(Calculations!T145)),"")</f>
        <v/>
      </c>
      <c r="Z185" s="176" t="str">
        <f>IF(AND($D$117&gt;0,Z181&lt;&gt;""),HLOOKUP(Z$181,Calculations!$B$1:$AI$235,ROW(Calculations!U145)),"")</f>
        <v/>
      </c>
    </row>
    <row r="186" spans="2:56" ht="36" customHeight="1" thickTop="1" thickBot="1" x14ac:dyDescent="0.2">
      <c r="D186" s="205" t="str">
        <f>+B146</f>
        <v>Section 3. Target setting for scope 3 category 1 emissions</v>
      </c>
      <c r="F186" s="267" t="str">
        <f>B158</f>
        <v>Scope 3 category 1 intensity target</v>
      </c>
      <c r="G186" s="267">
        <f>+G88</f>
        <v>0</v>
      </c>
      <c r="H186" s="267">
        <f>+H88</f>
        <v>0</v>
      </c>
      <c r="J186" s="83" t="str">
        <f>IF(AND($D$151&gt;0,J181&lt;&gt;""),HLOOKUP(J$181,Calculations!$B$1:$AI$235,ROW(Calculations!E150)),"")</f>
        <v/>
      </c>
      <c r="K186" s="83" t="str">
        <f>IF(AND($D$151&gt;0,K181&lt;&gt;""),HLOOKUP(K$181,Calculations!$B$1:$AI$235,ROW(Calculations!F150)),"")</f>
        <v/>
      </c>
      <c r="L186" s="83" t="str">
        <f>IF(AND($D$151&gt;0,L181&lt;&gt;""),HLOOKUP(L$181,Calculations!$B$1:$AI$235,ROW(Calculations!G150)),"")</f>
        <v/>
      </c>
      <c r="M186" s="83" t="str">
        <f>IF(AND($D$151&gt;0,M181&lt;&gt;""),HLOOKUP(M$181,Calculations!$B$1:$AI$235,ROW(Calculations!H150)),"")</f>
        <v/>
      </c>
      <c r="N186" s="83" t="str">
        <f>IF(AND($D$151&gt;0,N181&lt;&gt;""),HLOOKUP(N$181,Calculations!$B$1:$AI$235,ROW(Calculations!I150)),"")</f>
        <v/>
      </c>
      <c r="O186" s="83" t="str">
        <f>IF(AND($D$151&gt;0,O181&lt;&gt;""),HLOOKUP(O$181,Calculations!$B$1:$AI$235,ROW(Calculations!J150)),"")</f>
        <v/>
      </c>
      <c r="P186" s="83" t="str">
        <f>IF(AND($D$151&gt;0,P181&lt;&gt;""),HLOOKUP(P$181,Calculations!$B$1:$AI$235,ROW(Calculations!K150)),"")</f>
        <v/>
      </c>
      <c r="Q186" s="83" t="str">
        <f>IF(AND($D$151&gt;0,Q181&lt;&gt;""),HLOOKUP(Q$181,Calculations!$B$1:$AI$235,ROW(Calculations!L150)),"")</f>
        <v/>
      </c>
      <c r="R186" s="83" t="str">
        <f>IF(AND($D$151&gt;0,R181&lt;&gt;""),HLOOKUP(R$181,Calculations!$B$1:$AI$235,ROW(Calculations!M150)),"")</f>
        <v/>
      </c>
      <c r="S186" s="83" t="str">
        <f>IF(AND($D$151&gt;0,S181&lt;&gt;""),HLOOKUP(S$181,Calculations!$B$1:$AI$235,ROW(Calculations!N150)),"")</f>
        <v/>
      </c>
      <c r="T186" s="83" t="str">
        <f>IF(AND($D$151&gt;0,T181&lt;&gt;""),HLOOKUP(T$181,Calculations!$B$1:$AI$235,ROW(Calculations!O150)),"")</f>
        <v/>
      </c>
      <c r="U186" s="83" t="str">
        <f>IF(AND($D$151&gt;0,U181&lt;&gt;""),HLOOKUP(U$181,Calculations!$B$1:$AI$235,ROW(Calculations!P150)),"")</f>
        <v/>
      </c>
      <c r="V186" s="83" t="str">
        <f>IF(AND($D$151&gt;0,V181&lt;&gt;""),HLOOKUP(V$181,Calculations!$B$1:$AI$235,ROW(Calculations!Q150)),"")</f>
        <v/>
      </c>
      <c r="W186" s="83" t="str">
        <f>IF(AND($D$151&gt;0,W181&lt;&gt;""),HLOOKUP(W$181,Calculations!$B$1:$AI$235,ROW(Calculations!R150)),"")</f>
        <v/>
      </c>
      <c r="X186" s="83" t="str">
        <f>IF(AND($D$151&gt;0,X181&lt;&gt;""),HLOOKUP(X$181,Calculations!$B$1:$AI$235,ROW(Calculations!S150)),"")</f>
        <v/>
      </c>
      <c r="Y186" s="83" t="str">
        <f>IF(AND($D$151&gt;0,Y181&lt;&gt;""),HLOOKUP(Y$181,Calculations!$B$1:$AI$235,ROW(Calculations!T150)),"")</f>
        <v/>
      </c>
      <c r="Z186" s="83" t="str">
        <f>IF(AND($D$151&gt;0,Z181&lt;&gt;""),HLOOKUP(Z$181,Calculations!$B$1:$AI$235,ROW(Calculations!U150)),"")</f>
        <v/>
      </c>
      <c r="AT186" s="48"/>
      <c r="AU186" s="48"/>
      <c r="AV186" s="48"/>
      <c r="AW186" s="48"/>
      <c r="AX186" s="48"/>
      <c r="AY186" s="48"/>
      <c r="AZ186" s="48"/>
      <c r="BA186" s="48"/>
      <c r="BB186" s="48"/>
      <c r="BC186" s="48"/>
      <c r="BD186" s="48"/>
    </row>
    <row r="187" spans="2:56" ht="19.5" customHeight="1" thickTop="1" x14ac:dyDescent="0.15">
      <c r="AT187" s="48"/>
      <c r="AU187" s="48"/>
      <c r="AV187" s="48"/>
      <c r="AW187" s="48"/>
      <c r="AX187" s="48"/>
      <c r="AY187" s="48"/>
      <c r="AZ187" s="48"/>
      <c r="BA187" s="48"/>
      <c r="BB187" s="48"/>
      <c r="BC187" s="48"/>
      <c r="BD187" s="48"/>
    </row>
    <row r="188" spans="2:56" ht="19.5" customHeight="1" x14ac:dyDescent="0.15">
      <c r="AT188" s="48"/>
      <c r="AU188" s="48"/>
      <c r="AV188" s="48"/>
      <c r="AW188" s="48"/>
      <c r="AX188" s="48"/>
      <c r="AY188" s="48"/>
      <c r="AZ188" s="48"/>
      <c r="BA188" s="48"/>
      <c r="BB188" s="48"/>
      <c r="BC188" s="48"/>
      <c r="BD188" s="48"/>
    </row>
    <row r="189" spans="2:56" ht="19.5" customHeight="1" x14ac:dyDescent="0.15">
      <c r="AT189" s="48"/>
      <c r="AU189" s="48"/>
      <c r="AV189" s="48"/>
      <c r="AW189" s="48"/>
      <c r="AX189" s="48"/>
      <c r="AY189" s="48"/>
      <c r="AZ189" s="48"/>
      <c r="BA189" s="48"/>
      <c r="BB189" s="48"/>
      <c r="BC189" s="48"/>
      <c r="BD189" s="48"/>
    </row>
    <row r="190" spans="2:56" ht="19.5" customHeight="1" x14ac:dyDescent="0.15"/>
    <row r="191" spans="2:56" ht="19.5" customHeight="1" x14ac:dyDescent="0.15"/>
    <row r="192" spans="2:56" ht="19.5" customHeight="1" x14ac:dyDescent="0.15"/>
    <row r="193" ht="19.5" customHeight="1" x14ac:dyDescent="0.15"/>
    <row r="194" ht="19.5" customHeight="1" x14ac:dyDescent="0.15"/>
    <row r="195" ht="19.5" customHeight="1" x14ac:dyDescent="0.15"/>
    <row r="196" ht="19.5" customHeight="1" x14ac:dyDescent="0.15"/>
    <row r="197" ht="19.5" customHeight="1" x14ac:dyDescent="0.15"/>
    <row r="198" ht="19.5" customHeight="1" x14ac:dyDescent="0.15"/>
  </sheetData>
  <sheetProtection algorithmName="SHA-512" hashValue="V+LKEe/UIrFIf7aVfu+uHdFPjUOiP3OF4n7mJ9uL1zsxSNdJfpQZprwL9KewPzV/87g9jC/W0mreqr2+yEc9NA==" saltValue="Xxnh0xP7C/R+/JmP8vNRew==" spinCount="100000" sheet="1" objects="1" scenarios="1"/>
  <mergeCells count="29">
    <mergeCell ref="D7:K7"/>
    <mergeCell ref="F182:H182"/>
    <mergeCell ref="F183:H183"/>
    <mergeCell ref="D182:D183"/>
    <mergeCell ref="B148:H148"/>
    <mergeCell ref="D160:L160"/>
    <mergeCell ref="D13:K13"/>
    <mergeCell ref="D9:K9"/>
    <mergeCell ref="D10:K10"/>
    <mergeCell ref="D11:K11"/>
    <mergeCell ref="D85:L85"/>
    <mergeCell ref="B21:H21"/>
    <mergeCell ref="D12:K12"/>
    <mergeCell ref="F186:H186"/>
    <mergeCell ref="D86:L86"/>
    <mergeCell ref="J24:Q30"/>
    <mergeCell ref="D40:L40"/>
    <mergeCell ref="D43:L43"/>
    <mergeCell ref="D41:L41"/>
    <mergeCell ref="D44:L44"/>
    <mergeCell ref="B68:H68"/>
    <mergeCell ref="B69:H69"/>
    <mergeCell ref="B108:H108"/>
    <mergeCell ref="B109:H109"/>
    <mergeCell ref="D184:D185"/>
    <mergeCell ref="F184:H184"/>
    <mergeCell ref="F185:H185"/>
    <mergeCell ref="D125:L125"/>
    <mergeCell ref="D126:L126"/>
  </mergeCells>
  <conditionalFormatting sqref="B26">
    <cfRule type="cellIs" dxfId="206" priority="402" operator="lessThan">
      <formula>10</formula>
    </cfRule>
    <cfRule type="cellIs" dxfId="205" priority="401" operator="lessThan">
      <formula>100</formula>
    </cfRule>
  </conditionalFormatting>
  <conditionalFormatting sqref="B29:B30 D29:D30">
    <cfRule type="expression" dxfId="204" priority="32">
      <formula>$D$28&lt;=$D$24</formula>
    </cfRule>
  </conditionalFormatting>
  <conditionalFormatting sqref="B35:B36 B38">
    <cfRule type="expression" dxfId="203" priority="327">
      <formula>ISNUMBER($D$25)=FALSE</formula>
    </cfRule>
  </conditionalFormatting>
  <conditionalFormatting sqref="B82:B83 B122:B123 I182 I184">
    <cfRule type="expression" dxfId="202" priority="388">
      <formula>ISTEXT($D$73)=FALSE</formula>
    </cfRule>
  </conditionalFormatting>
  <conditionalFormatting sqref="B158">
    <cfRule type="expression" dxfId="201" priority="10">
      <formula>ISTEXT($D$73)=FALSE</formula>
    </cfRule>
  </conditionalFormatting>
  <conditionalFormatting sqref="C160 D160:D177">
    <cfRule type="cellIs" dxfId="200" priority="6" operator="lessThan">
      <formula>100</formula>
    </cfRule>
    <cfRule type="cellIs" dxfId="199" priority="7" operator="lessThan">
      <formula>10</formula>
    </cfRule>
  </conditionalFormatting>
  <conditionalFormatting sqref="C44:D44 C125:D126 D149">
    <cfRule type="cellIs" dxfId="198" priority="17" operator="lessThan">
      <formula>100</formula>
    </cfRule>
    <cfRule type="cellIs" dxfId="197" priority="18" operator="lessThan">
      <formula>10</formula>
    </cfRule>
  </conditionalFormatting>
  <conditionalFormatting sqref="C85:D86">
    <cfRule type="cellIs" dxfId="196" priority="34" operator="lessThan">
      <formula>10</formula>
    </cfRule>
    <cfRule type="cellIs" dxfId="195" priority="33" operator="lessThan">
      <formula>100</formula>
    </cfRule>
  </conditionalFormatting>
  <conditionalFormatting sqref="D34:D43 C40:C43 D45:D63 D65">
    <cfRule type="cellIs" dxfId="193" priority="182" operator="lessThan">
      <formula>10</formula>
    </cfRule>
    <cfRule type="cellIs" dxfId="192" priority="181" operator="lessThan">
      <formula>100</formula>
    </cfRule>
  </conditionalFormatting>
  <conditionalFormatting sqref="D81">
    <cfRule type="cellIs" dxfId="191" priority="36" operator="lessThan">
      <formula>10</formula>
    </cfRule>
    <cfRule type="cellIs" dxfId="190" priority="35" operator="lessThan">
      <formula>100</formula>
    </cfRule>
  </conditionalFormatting>
  <conditionalFormatting sqref="D103 D105 D145">
    <cfRule type="cellIs" dxfId="189" priority="30" operator="lessThan">
      <formula>10</formula>
    </cfRule>
    <cfRule type="cellIs" dxfId="188" priority="29" operator="lessThan">
      <formula>100</formula>
    </cfRule>
  </conditionalFormatting>
  <conditionalFormatting sqref="D121">
    <cfRule type="cellIs" dxfId="187" priority="26" operator="lessThan">
      <formula>10</formula>
    </cfRule>
    <cfRule type="cellIs" dxfId="186" priority="25" operator="lessThan">
      <formula>100</formula>
    </cfRule>
  </conditionalFormatting>
  <conditionalFormatting sqref="D153:D157">
    <cfRule type="cellIs" dxfId="185" priority="9" operator="lessThan">
      <formula>10</formula>
    </cfRule>
    <cfRule type="cellIs" dxfId="184" priority="8" operator="lessThan">
      <formula>100</formula>
    </cfRule>
  </conditionalFormatting>
  <conditionalFormatting sqref="D179">
    <cfRule type="cellIs" dxfId="183" priority="12" operator="lessThan">
      <formula>10</formula>
    </cfRule>
    <cfRule type="cellIs" dxfId="182" priority="11" operator="lessThan">
      <formula>100</formula>
    </cfRule>
  </conditionalFormatting>
  <conditionalFormatting sqref="F182:H186">
    <cfRule type="expression" dxfId="178" priority="2">
      <formula>ISTEXT($D$73)=FALSE</formula>
    </cfRule>
  </conditionalFormatting>
  <conditionalFormatting sqref="J181:W181 J183:AD183 AT186:BD189">
    <cfRule type="expression" dxfId="177" priority="330">
      <formula>OR($D$24=0,$D$25=0)</formula>
    </cfRule>
  </conditionalFormatting>
  <conditionalFormatting sqref="J182:Z182">
    <cfRule type="expression" dxfId="176" priority="31">
      <formula>OR($D$24=0,$D$25=0)</formula>
    </cfRule>
  </conditionalFormatting>
  <conditionalFormatting sqref="J184:Z186">
    <cfRule type="expression" dxfId="175" priority="1">
      <formula>OR($D$24=0,$D$25=0)</formula>
    </cfRule>
  </conditionalFormatting>
  <dataValidations xWindow="813" yWindow="947" count="2">
    <dataValidation type="decimal" errorStyle="information" operator="greaterThan" allowBlank="1" showInputMessage="1" showErrorMessage="1" error="Enter a value &gt; 0" sqref="D117" xr:uid="{0D9F3103-0423-4DE6-A78D-754AF7B45298}">
      <formula1>0</formula1>
    </dataValidation>
    <dataValidation type="decimal" errorStyle="information" operator="greaterThan" allowBlank="1" showInputMessage="1" showErrorMessage="1" error="Enter a value &gt; 0 " sqref="D77" xr:uid="{EAFCD617-2D78-4E91-90AB-827E30AE7EE5}">
      <formula1>0</formula1>
    </dataValidation>
  </dataValidations>
  <hyperlinks>
    <hyperlink ref="F5" r:id="rId1" xr:uid="{00000000-0004-0000-0300-000000000000}"/>
    <hyperlink ref="B33" location="'Automakers | Near-term targets'!D140" display="Review all target modelling data" xr:uid="{00000000-0004-0000-0300-000002000000}"/>
  </hyperlinks>
  <pageMargins left="0.7" right="0.7" top="0.75" bottom="0.75" header="0.3" footer="0.3"/>
  <pageSetup paperSize="9" orientation="portrait" horizontalDpi="4294967294" r:id="rId2"/>
  <drawing r:id="rId3"/>
  <extLst>
    <ext xmlns:x14="http://schemas.microsoft.com/office/spreadsheetml/2009/9/main" uri="{78C0D931-6437-407d-A8EE-F0AAD7539E65}">
      <x14:conditionalFormattings>
        <x14:conditionalFormatting xmlns:xm="http://schemas.microsoft.com/office/excel/2006/main">
          <x14:cfRule type="expression" priority="403" id="{C56290F2-7439-478A-BF90-DEEE2C9AF8AE}">
            <xm:f>AND(#REF!=Lists!$N$2,OR($D$73=Lists!$B$4))</xm:f>
            <x14:dxf>
              <font>
                <color theme="0"/>
              </font>
              <numFmt numFmtId="169" formatCode=";;;"/>
              <fill>
                <patternFill patternType="none">
                  <bgColor auto="1"/>
                </patternFill>
              </fill>
              <border>
                <left/>
                <right/>
                <top/>
                <bottom/>
                <vertical/>
                <horizontal/>
              </border>
            </x14:dxf>
          </x14:cfRule>
          <xm:sqref>B26</xm:sqref>
        </x14:conditionalFormatting>
        <x14:conditionalFormatting xmlns:xm="http://schemas.microsoft.com/office/excel/2006/main">
          <x14:cfRule type="expression" priority="404" id="{C0D31102-D5C3-4E86-ACCF-9F76386979DA}">
            <xm:f>AND(#REF!=Lists!$N$2,OR($D$73=Lists!$B$4))</xm:f>
            <x14:dxf>
              <font>
                <color theme="0"/>
              </font>
              <fill>
                <patternFill>
                  <bgColor theme="0"/>
                </patternFill>
              </fill>
            </x14:dxf>
          </x14:cfRule>
          <xm:sqref>D26 F26 F30</xm:sqref>
        </x14:conditionalFormatting>
        <x14:conditionalFormatting xmlns:xm="http://schemas.microsoft.com/office/excel/2006/main">
          <x14:cfRule type="expression" priority="396" id="{2F733A28-4438-4D29-A117-05BE65955226}">
            <xm:f>#REF!=Lists!$N$3</xm:f>
            <x14:dxf>
              <font>
                <color theme="0"/>
              </font>
            </x14:dxf>
          </x14:cfRule>
          <xm:sqref>F76:F77 F127:F139</xm:sqref>
        </x14:conditionalFormatting>
        <x14:conditionalFormatting xmlns:xm="http://schemas.microsoft.com/office/excel/2006/main">
          <x14:cfRule type="expression" priority="16" id="{02DD636F-0A22-4D8E-9E38-14C54AA1285F}">
            <xm:f>#REF!=Lists!$N$3</xm:f>
            <x14:dxf>
              <font>
                <color theme="0"/>
              </font>
            </x14:dxf>
          </x14:cfRule>
          <xm:sqref>F116:F118</xm:sqref>
        </x14:conditionalFormatting>
        <x14:conditionalFormatting xmlns:xm="http://schemas.microsoft.com/office/excel/2006/main">
          <x14:cfRule type="expression" priority="3" id="{5CEB1485-1B7C-408C-956A-7C96455F9D6B}">
            <xm:f>#REF!=Lists!$N$3</xm:f>
            <x14:dxf>
              <font>
                <color theme="0"/>
              </font>
            </x14:dxf>
          </x14:cfRule>
          <xm:sqref>F153</xm:sqref>
        </x14:conditionalFormatting>
      </x14:conditionalFormattings>
    </ext>
    <ext xmlns:x14="http://schemas.microsoft.com/office/spreadsheetml/2009/9/main" uri="{CCE6A557-97BC-4b89-ADB6-D9C93CAAB3DF}">
      <x14:dataValidations xmlns:xm="http://schemas.microsoft.com/office/excel/2006/main" xWindow="813" yWindow="947" count="9">
        <x14:dataValidation type="list" allowBlank="1" showInputMessage="1" showErrorMessage="1" xr:uid="{50503404-AEA4-44CC-BC69-BBB8D0D80971}">
          <x14:formula1>
            <xm:f>Lists!$F$2:$F$5</xm:f>
          </x14:formula1>
          <xm:sqref>D72 D112</xm:sqref>
        </x14:dataValidation>
        <x14:dataValidation type="list" allowBlank="1" showInputMessage="1" showErrorMessage="1" prompt="Base and target years: Targets must cover a minimum of 5 years and a maximum of 10 years from the date the target is submitted to the SBTi for an official validation" xr:uid="{00000000-0002-0000-0300-000006000000}">
          <x14:formula1>
            <xm:f>Lists!$G$4:$G$9</xm:f>
          </x14:formula1>
          <xm:sqref>D24</xm:sqref>
        </x14:dataValidation>
        <x14:dataValidation type="list" allowBlank="1" showInputMessage="1" showErrorMessage="1" prompt="Base and target years: Targets must cover a minimum of 5 years and a maximum of 10 years from the date the target is submitted to the SBTi for an official validation" xr:uid="{00000000-0002-0000-0300-000002000000}">
          <x14:formula1>
            <xm:f>Lists!$H$2:$H$14</xm:f>
          </x14:formula1>
          <xm:sqref>D27</xm:sqref>
        </x14:dataValidation>
        <x14:dataValidation type="list" allowBlank="1" showInputMessage="1" showErrorMessage="1" prompt="Base and target years: Targets must cover a minimum of 5 years and a maximum of 10 years from the date the target is submitted to the SBTi for an official validation" xr:uid="{00000000-0002-0000-0300-000001000000}">
          <x14:formula1>
            <xm:f>Lists!$I$2:$I$8</xm:f>
          </x14:formula1>
          <xm:sqref>D28</xm:sqref>
        </x14:dataValidation>
        <x14:dataValidation type="list" allowBlank="1" showInputMessage="1" showErrorMessage="1" xr:uid="{AEA7C317-2B42-4EFF-8C59-20790DFA7BC5}">
          <x14:formula1>
            <xm:f>Lists!$B$4:$B$7</xm:f>
          </x14:formula1>
          <xm:sqref>D113</xm:sqref>
        </x14:dataValidation>
        <x14:dataValidation type="list" allowBlank="1" showInputMessage="1" showErrorMessage="1" xr:uid="{F2EA5101-BEB9-4319-A411-868A96B2032A}">
          <x14:formula1>
            <xm:f>Lists!$G$4:$G$8</xm:f>
          </x14:formula1>
          <xm:sqref>D74 D114 D151</xm:sqref>
        </x14:dataValidation>
        <x14:dataValidation type="list" allowBlank="1" showInputMessage="1" showErrorMessage="1" xr:uid="{E5E527F4-3768-490D-BDDE-57C7F6BEAACF}">
          <x14:formula1>
            <xm:f>Lists!$H$2:$H$9</xm:f>
          </x14:formula1>
          <xm:sqref>D152</xm:sqref>
        </x14:dataValidation>
        <x14:dataValidation type="list" allowBlank="1" showInputMessage="1" showErrorMessage="1" xr:uid="{DF14C8DC-1C98-4859-9932-37FE9245A901}">
          <x14:formula1>
            <xm:f>Lists!$H$2:$H$24</xm:f>
          </x14:formula1>
          <xm:sqref>D75 D115</xm:sqref>
        </x14:dataValidation>
        <x14:dataValidation type="list" allowBlank="1" showInputMessage="1" showErrorMessage="1" xr:uid="{00000000-0002-0000-0300-000000000000}">
          <x14:formula1>
            <xm:f>Lists!B2:B3</xm:f>
          </x14:formula1>
          <xm:sqref>D73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B601CA-9C6B-43E6-BDBE-254B9A34ADED}">
  <sheetPr codeName="Sheet2">
    <tabColor rgb="FFC00000"/>
  </sheetPr>
  <dimension ref="B2:BD151"/>
  <sheetViews>
    <sheetView showGridLines="0" zoomScaleNormal="100" workbookViewId="0">
      <selection activeCell="B8" sqref="B8"/>
    </sheetView>
  </sheetViews>
  <sheetFormatPr baseColWidth="10" defaultColWidth="9.1640625" defaultRowHeight="13" x14ac:dyDescent="0.15"/>
  <cols>
    <col min="1" max="1" width="2.5" customWidth="1"/>
    <col min="2" max="2" width="63.33203125" customWidth="1"/>
    <col min="3" max="3" width="3" customWidth="1"/>
    <col min="4" max="4" width="34.5" customWidth="1"/>
    <col min="5" max="5" width="2.83203125" customWidth="1"/>
    <col min="6" max="6" width="31.1640625" customWidth="1"/>
    <col min="7" max="7" width="2.83203125" customWidth="1"/>
    <col min="8" max="8" width="31.1640625" customWidth="1"/>
    <col min="9" max="9" width="2.83203125" customWidth="1"/>
    <col min="10" max="12" width="14.5" customWidth="1"/>
    <col min="13" max="34" width="11.5" customWidth="1"/>
  </cols>
  <sheetData>
    <row r="2" spans="2:26" ht="20" customHeight="1" x14ac:dyDescent="0.25">
      <c r="C2" s="33"/>
    </row>
    <row r="3" spans="2:26" ht="33.5" customHeight="1" x14ac:dyDescent="0.15">
      <c r="D3" s="117" t="str">
        <f>+README!F3</f>
        <v>SBTi Automotive Target-Setting Tool | DRAFT VERSION</v>
      </c>
      <c r="E3" s="117"/>
      <c r="F3" s="117"/>
      <c r="G3" s="117"/>
      <c r="H3" s="117"/>
      <c r="I3" s="117"/>
      <c r="J3" s="117"/>
      <c r="K3" s="117"/>
      <c r="L3" s="117"/>
      <c r="M3" s="117"/>
    </row>
    <row r="4" spans="2:26" ht="20" customHeight="1" x14ac:dyDescent="0.15">
      <c r="D4" s="35" t="s">
        <v>28</v>
      </c>
      <c r="E4" s="34"/>
      <c r="F4" s="34">
        <f>+README!H5</f>
        <v>0.2</v>
      </c>
    </row>
    <row r="5" spans="2:26" ht="20" customHeight="1" x14ac:dyDescent="0.15">
      <c r="D5" s="35" t="s">
        <v>26</v>
      </c>
      <c r="E5" s="34"/>
      <c r="F5" s="36" t="s">
        <v>442</v>
      </c>
    </row>
    <row r="6" spans="2:26" ht="12.75" customHeight="1" x14ac:dyDescent="0.2">
      <c r="B6" s="24"/>
      <c r="C6" s="24"/>
      <c r="D6" s="24"/>
      <c r="E6" s="24"/>
      <c r="F6" s="24"/>
      <c r="G6" s="24"/>
      <c r="H6" s="24"/>
      <c r="I6" s="24"/>
      <c r="J6" s="24"/>
      <c r="K6" s="24"/>
      <c r="L6" s="24"/>
      <c r="M6" s="24"/>
      <c r="N6" s="24"/>
      <c r="O6" s="24"/>
      <c r="P6" s="24"/>
      <c r="Q6" s="24"/>
      <c r="R6" s="24"/>
      <c r="S6" s="24"/>
      <c r="T6" s="24"/>
      <c r="U6" s="24"/>
      <c r="V6" s="24"/>
      <c r="W6" s="24"/>
      <c r="X6" s="24"/>
      <c r="Y6" s="24"/>
      <c r="Z6" s="24"/>
    </row>
    <row r="7" spans="2:26" ht="30" customHeight="1" x14ac:dyDescent="0.2">
      <c r="B7" s="8"/>
      <c r="D7" s="276" t="s">
        <v>439</v>
      </c>
      <c r="E7" s="276"/>
      <c r="F7" s="276"/>
      <c r="G7" s="276"/>
      <c r="H7" s="276"/>
      <c r="I7" s="276"/>
      <c r="J7" s="276"/>
      <c r="K7" s="276"/>
    </row>
    <row r="8" spans="2:26" ht="20" customHeight="1" thickBot="1" x14ac:dyDescent="0.2">
      <c r="B8" s="139" t="s">
        <v>438</v>
      </c>
      <c r="C8" s="109"/>
      <c r="D8" s="109"/>
      <c r="E8" s="109"/>
      <c r="F8" s="109"/>
      <c r="G8" s="109"/>
      <c r="H8" s="109"/>
      <c r="I8" s="109"/>
      <c r="J8" s="109"/>
      <c r="K8" s="109"/>
      <c r="L8" s="109"/>
      <c r="M8" s="109"/>
      <c r="N8" s="109"/>
      <c r="O8" s="109"/>
      <c r="P8" s="109"/>
      <c r="Q8" s="109"/>
      <c r="R8" s="109"/>
      <c r="S8" s="109"/>
      <c r="T8" s="109"/>
      <c r="U8" s="109"/>
      <c r="V8" s="109"/>
      <c r="W8" s="109"/>
      <c r="X8" s="109"/>
      <c r="Y8" s="109"/>
      <c r="Z8" s="109"/>
    </row>
    <row r="9" spans="2:26" ht="54" customHeight="1" x14ac:dyDescent="0.15">
      <c r="B9" s="107" t="s">
        <v>292</v>
      </c>
      <c r="C9" s="106"/>
      <c r="D9" s="279" t="s">
        <v>447</v>
      </c>
      <c r="E9" s="279"/>
      <c r="F9" s="279"/>
      <c r="G9" s="279"/>
      <c r="H9" s="279"/>
      <c r="I9" s="279"/>
      <c r="J9" s="279"/>
      <c r="K9" s="279"/>
    </row>
    <row r="10" spans="2:26" ht="30" customHeight="1" x14ac:dyDescent="0.15">
      <c r="B10" s="107" t="s">
        <v>293</v>
      </c>
      <c r="C10" s="106"/>
      <c r="D10" s="279" t="s">
        <v>449</v>
      </c>
      <c r="E10" s="279"/>
      <c r="F10" s="279"/>
      <c r="G10" s="279"/>
      <c r="H10" s="279"/>
      <c r="I10" s="279"/>
      <c r="J10" s="279"/>
      <c r="K10" s="279"/>
    </row>
    <row r="11" spans="2:26" ht="30" customHeight="1" x14ac:dyDescent="0.15">
      <c r="B11" s="107" t="s">
        <v>351</v>
      </c>
      <c r="C11" s="106"/>
      <c r="D11" s="279" t="s">
        <v>448</v>
      </c>
      <c r="E11" s="279"/>
      <c r="F11" s="279"/>
      <c r="G11" s="279"/>
      <c r="H11" s="279"/>
      <c r="I11" s="279"/>
      <c r="J11" s="279"/>
      <c r="K11" s="279"/>
    </row>
    <row r="12" spans="2:26" ht="18" customHeight="1" x14ac:dyDescent="0.15">
      <c r="B12" s="107" t="s">
        <v>295</v>
      </c>
      <c r="C12" s="106"/>
      <c r="D12" s="279" t="s">
        <v>296</v>
      </c>
      <c r="E12" s="279"/>
      <c r="F12" s="279"/>
      <c r="G12" s="279"/>
      <c r="H12" s="279"/>
      <c r="I12" s="279"/>
      <c r="J12" s="279"/>
      <c r="K12" s="279"/>
    </row>
    <row r="13" spans="2:26" ht="18" customHeight="1" x14ac:dyDescent="0.15">
      <c r="B13" s="107" t="s">
        <v>396</v>
      </c>
      <c r="C13" s="106"/>
      <c r="D13" s="279" t="s">
        <v>436</v>
      </c>
      <c r="E13" s="279"/>
      <c r="F13" s="279"/>
      <c r="G13" s="279"/>
      <c r="H13" s="279"/>
      <c r="I13" s="279"/>
      <c r="J13" s="279"/>
      <c r="K13" s="279"/>
    </row>
    <row r="14" spans="2:26" ht="18" customHeight="1" x14ac:dyDescent="0.15">
      <c r="B14" s="107"/>
      <c r="C14" s="106"/>
      <c r="D14" s="161" t="s">
        <v>298</v>
      </c>
      <c r="E14" s="162"/>
      <c r="F14" s="163" t="s">
        <v>299</v>
      </c>
      <c r="G14" s="162"/>
      <c r="H14" s="164" t="s">
        <v>331</v>
      </c>
      <c r="I14" s="93"/>
      <c r="J14" s="93"/>
      <c r="K14" s="93"/>
    </row>
    <row r="15" spans="2:26" ht="20" customHeight="1" x14ac:dyDescent="0.2">
      <c r="B15" s="8"/>
    </row>
    <row r="16" spans="2:26" ht="12.75" customHeight="1" x14ac:dyDescent="0.2">
      <c r="B16" s="37"/>
      <c r="C16" s="37"/>
      <c r="D16" s="37"/>
      <c r="E16" s="37"/>
      <c r="F16" s="37"/>
      <c r="G16" s="37"/>
      <c r="H16" s="37"/>
      <c r="I16" s="37"/>
      <c r="J16" s="37"/>
      <c r="K16" s="37"/>
      <c r="L16" s="37"/>
      <c r="M16" s="37"/>
      <c r="N16" s="37"/>
      <c r="O16" s="37"/>
      <c r="P16" s="37"/>
      <c r="Q16" s="37"/>
      <c r="R16" s="37"/>
      <c r="S16" s="37"/>
      <c r="T16" s="37"/>
      <c r="U16" s="37"/>
      <c r="V16" s="37"/>
      <c r="W16" s="37"/>
      <c r="X16" s="37"/>
      <c r="Y16" s="37"/>
      <c r="Z16" s="37"/>
    </row>
    <row r="17" spans="2:19" ht="12.5" customHeight="1" x14ac:dyDescent="0.15">
      <c r="D17" s="42"/>
      <c r="F17" s="5"/>
      <c r="S17" s="64"/>
    </row>
    <row r="18" spans="2:19" ht="20" customHeight="1" x14ac:dyDescent="0.2">
      <c r="B18" s="201" t="s">
        <v>381</v>
      </c>
    </row>
    <row r="19" spans="2:19" ht="18" customHeight="1" x14ac:dyDescent="0.2">
      <c r="B19" s="7"/>
    </row>
    <row r="20" spans="2:19" ht="18" customHeight="1" x14ac:dyDescent="0.15">
      <c r="B20" s="272" t="s">
        <v>374</v>
      </c>
      <c r="C20" s="272"/>
      <c r="D20" s="272"/>
      <c r="E20" s="272"/>
      <c r="F20" s="272"/>
      <c r="G20" s="272"/>
      <c r="H20" s="272"/>
    </row>
    <row r="21" spans="2:19" ht="18" customHeight="1" x14ac:dyDescent="0.15">
      <c r="B21" s="272" t="s">
        <v>378</v>
      </c>
      <c r="C21" s="272"/>
      <c r="D21" s="272"/>
      <c r="E21" s="272"/>
      <c r="F21" s="272"/>
      <c r="G21" s="272"/>
      <c r="H21" s="272"/>
    </row>
    <row r="22" spans="2:19" ht="18" customHeight="1" thickBot="1" x14ac:dyDescent="0.2"/>
    <row r="23" spans="2:19" ht="18" customHeight="1" thickTop="1" thickBot="1" x14ac:dyDescent="0.2">
      <c r="B23" s="38" t="s">
        <v>222</v>
      </c>
      <c r="D23" s="50"/>
      <c r="F23" s="39" t="s">
        <v>222</v>
      </c>
    </row>
    <row r="24" spans="2:19" ht="20" customHeight="1" thickTop="1" thickBot="1" x14ac:dyDescent="0.2">
      <c r="B24" s="38" t="s">
        <v>3</v>
      </c>
      <c r="C24" s="3"/>
      <c r="D24" s="50"/>
      <c r="E24" s="3"/>
      <c r="F24" s="39" t="s">
        <v>361</v>
      </c>
    </row>
    <row r="25" spans="2:19" ht="20" customHeight="1" thickTop="1" thickBot="1" x14ac:dyDescent="0.2">
      <c r="B25" s="40" t="s">
        <v>353</v>
      </c>
      <c r="C25" s="3" t="str">
        <f>""</f>
        <v/>
      </c>
      <c r="D25" s="49"/>
      <c r="E25" s="3" t="str">
        <f>""</f>
        <v/>
      </c>
      <c r="F25" s="39" t="s">
        <v>362</v>
      </c>
    </row>
    <row r="26" spans="2:19" ht="20" customHeight="1" thickTop="1" thickBot="1" x14ac:dyDescent="0.2">
      <c r="B26" s="38" t="s">
        <v>267</v>
      </c>
      <c r="C26" s="3"/>
      <c r="D26" s="49"/>
      <c r="E26" s="3"/>
      <c r="F26" s="39" t="s">
        <v>197</v>
      </c>
    </row>
    <row r="27" spans="2:19" ht="20" customHeight="1" thickTop="1" thickBot="1" x14ac:dyDescent="0.2">
      <c r="B27" s="38" t="s">
        <v>261</v>
      </c>
      <c r="C27" s="3"/>
      <c r="D27" s="49"/>
      <c r="E27" s="3"/>
      <c r="F27" s="39" t="s">
        <v>198</v>
      </c>
    </row>
    <row r="28" spans="2:19" ht="20" customHeight="1" thickTop="1" thickBot="1" x14ac:dyDescent="0.2">
      <c r="B28" s="40" t="s">
        <v>434</v>
      </c>
      <c r="C28" s="3"/>
      <c r="D28" s="95"/>
      <c r="F28" s="39" t="s">
        <v>264</v>
      </c>
    </row>
    <row r="29" spans="2:19" ht="20" customHeight="1" thickTop="1" thickBot="1" x14ac:dyDescent="0.2">
      <c r="B29" s="40" t="s">
        <v>472</v>
      </c>
      <c r="C29" s="3"/>
      <c r="D29" s="49"/>
      <c r="F29" s="39" t="s">
        <v>397</v>
      </c>
    </row>
    <row r="30" spans="2:19" ht="20" customHeight="1" thickTop="1" x14ac:dyDescent="0.15"/>
    <row r="31" spans="2:19" ht="20" customHeight="1" x14ac:dyDescent="0.2">
      <c r="B31" s="100" t="str">
        <f>CONCATENATE("Target results: ",D25&amp;" Autoparts | "&amp;D24)</f>
        <v xml:space="preserve">Target results:  Autoparts | </v>
      </c>
      <c r="D31" s="64"/>
      <c r="E31" s="64"/>
      <c r="F31" s="39"/>
      <c r="H31" s="202"/>
    </row>
    <row r="33" spans="2:13" ht="37.5" customHeight="1" x14ac:dyDescent="0.15">
      <c r="B33" s="1"/>
      <c r="D33" s="43" t="str">
        <f>+CONCATENATE("Base year ","(",$D$26,")")</f>
        <v>Base year ()</v>
      </c>
      <c r="E33" s="44"/>
      <c r="F33" s="43" t="str">
        <f>+CONCATENATE("Target year ","(",$D$27,")")</f>
        <v>Target year ()</v>
      </c>
      <c r="G33" s="34"/>
      <c r="H33" s="43" t="s">
        <v>423</v>
      </c>
      <c r="I33" s="34"/>
      <c r="J33" s="70"/>
      <c r="K33" s="70"/>
      <c r="L33" s="70"/>
      <c r="M33" s="71"/>
    </row>
    <row r="34" spans="2:13" ht="30" customHeight="1" thickBot="1" x14ac:dyDescent="0.2">
      <c r="B34" s="171" t="str">
        <f>+Calculations!B155</f>
        <v>select a vehicle category</v>
      </c>
      <c r="D34" s="59" t="str">
        <f>+IF(AND(D26="",D28=""),"",D28)</f>
        <v/>
      </c>
      <c r="E34" s="172"/>
      <c r="F34" s="59" t="str">
        <f>+IF(AND(D26="",D28=""),"",Calculations!D84)</f>
        <v/>
      </c>
      <c r="H34" s="105" t="str">
        <f>IF(F34&lt;=0,100%,IF(AND(D34="",F34=""),"",ROUNDUP(TRUNC(1-F34/D34,4),3)))</f>
        <v/>
      </c>
    </row>
    <row r="35" spans="2:13" ht="30" customHeight="1" thickTop="1" thickBot="1" x14ac:dyDescent="0.2">
      <c r="B35" s="38" t="str">
        <f>+Calculations!B90</f>
        <v>Scope 3 category 1 intensity target</v>
      </c>
      <c r="D35" s="59" t="str">
        <f>+IF(AND($D$26="",$D$29=""),"",$D$29)</f>
        <v/>
      </c>
      <c r="E35" s="172"/>
      <c r="F35" s="59" t="str">
        <f>+IF(AND($D$26="",$D$29=""),"",Calculations!$D$90)</f>
        <v/>
      </c>
      <c r="H35" s="105" t="str">
        <f>IF(F35&lt;=0,100%,IF(AND(D35="",F35=""),"",ROUNDUP(TRUNC(1-F35/D35,4),3)))</f>
        <v/>
      </c>
    </row>
    <row r="36" spans="2:13" ht="19.75" customHeight="1" thickTop="1" thickBot="1" x14ac:dyDescent="0.2"/>
    <row r="37" spans="2:13" ht="30" customHeight="1" thickTop="1" thickBot="1" x14ac:dyDescent="0.2">
      <c r="B37" s="171" t="s">
        <v>468</v>
      </c>
      <c r="D37" s="275" t="str" cm="1">
        <f t="array" ref="D37">IF(OR(ISBLANK(D24:D28),ISBLANK(F34:F34)),"Enter data in Section 1",D23&amp;" commits to reduce the average scope 1, scope 2 and scope 3 category 1 and category 12 GHG emission intensity of its products sold for vehicles in "&amp;D25&amp;" and "&amp;D24&amp;" by "&amp;(ROUNDUP(TRUNC(H34,4),3)*100)&amp;"%"&amp;" by "&amp;D27&amp;" relative to "&amp;D26)</f>
        <v>Enter data in Section 1</v>
      </c>
      <c r="E37" s="275"/>
      <c r="F37" s="275"/>
      <c r="G37" s="275"/>
      <c r="H37" s="275"/>
      <c r="I37" s="275"/>
      <c r="J37" s="275"/>
      <c r="K37" s="275"/>
      <c r="L37" s="275"/>
    </row>
    <row r="38" spans="2:13" ht="20" customHeight="1" thickTop="1" thickBot="1" x14ac:dyDescent="0.2">
      <c r="B38" s="38" t="s">
        <v>469</v>
      </c>
      <c r="D38" s="278" t="str" cm="1">
        <f t="array" ref="D38">IF(OR(ISBLANK(D23:D29),ISBLANK(F35)),"Enter data in Section 1",$D$23&amp;" commits to reduce scope 3 category 1 emissions by "&amp;(ROUNDUP(TRUNC(H35,4),3)*100)&amp;"%"&amp;" by "&amp;D27&amp;" from a "&amp;D26&amp;" base year")</f>
        <v>Enter data in Section 1</v>
      </c>
      <c r="E38" s="278"/>
      <c r="F38" s="278"/>
      <c r="G38" s="278"/>
      <c r="H38" s="278"/>
      <c r="I38" s="278"/>
      <c r="J38" s="278"/>
      <c r="K38" s="278"/>
      <c r="L38" s="278"/>
    </row>
    <row r="39" spans="2:13" ht="20" customHeight="1" thickTop="1" x14ac:dyDescent="0.15"/>
    <row r="40" spans="2:13" ht="20" customHeight="1" x14ac:dyDescent="0.15">
      <c r="D40" s="99"/>
    </row>
    <row r="41" spans="2:13" ht="20" customHeight="1" x14ac:dyDescent="0.15"/>
    <row r="42" spans="2:13" ht="20" customHeight="1" x14ac:dyDescent="0.15"/>
    <row r="43" spans="2:13" ht="20" customHeight="1" x14ac:dyDescent="0.15"/>
    <row r="44" spans="2:13" ht="20" customHeight="1" x14ac:dyDescent="0.15"/>
    <row r="45" spans="2:13" ht="20" customHeight="1" x14ac:dyDescent="0.15"/>
    <row r="46" spans="2:13" ht="20" customHeight="1" x14ac:dyDescent="0.15"/>
    <row r="47" spans="2:13" ht="20" customHeight="1" x14ac:dyDescent="0.15"/>
    <row r="48" spans="2:13" ht="20" customHeight="1" x14ac:dyDescent="0.15"/>
    <row r="49" spans="2:26" ht="20" customHeight="1" x14ac:dyDescent="0.15"/>
    <row r="50" spans="2:26" ht="20" customHeight="1" x14ac:dyDescent="0.15"/>
    <row r="51" spans="2:26" ht="20" customHeight="1" x14ac:dyDescent="0.15"/>
    <row r="52" spans="2:26" ht="20" customHeight="1" x14ac:dyDescent="0.15"/>
    <row r="53" spans="2:26" ht="20" customHeight="1" x14ac:dyDescent="0.15"/>
    <row r="54" spans="2:26" ht="20" customHeight="1" x14ac:dyDescent="0.15"/>
    <row r="55" spans="2:26" ht="20" customHeight="1" x14ac:dyDescent="0.15">
      <c r="J55" s="46"/>
    </row>
    <row r="56" spans="2:26" ht="12.75" customHeight="1" x14ac:dyDescent="0.2">
      <c r="B56" s="37"/>
      <c r="C56" s="37"/>
      <c r="D56" s="37"/>
      <c r="E56" s="37"/>
      <c r="F56" s="37"/>
      <c r="G56" s="37"/>
      <c r="H56" s="37"/>
      <c r="I56" s="37"/>
      <c r="J56" s="37"/>
      <c r="K56" s="37"/>
      <c r="L56" s="37"/>
      <c r="M56" s="37"/>
      <c r="N56" s="37"/>
      <c r="O56" s="37"/>
      <c r="P56" s="37"/>
      <c r="Q56" s="37"/>
      <c r="R56" s="37"/>
      <c r="S56" s="37"/>
      <c r="T56" s="37"/>
      <c r="U56" s="37"/>
      <c r="V56" s="37"/>
      <c r="W56" s="37"/>
      <c r="X56" s="37"/>
      <c r="Y56" s="37"/>
      <c r="Z56" s="37"/>
    </row>
    <row r="57" spans="2:26" ht="12.5" customHeight="1" x14ac:dyDescent="0.15">
      <c r="D57" s="42"/>
      <c r="F57" s="5"/>
      <c r="S57" s="64"/>
    </row>
    <row r="58" spans="2:26" ht="20" customHeight="1" x14ac:dyDescent="0.2">
      <c r="B58" s="201" t="s">
        <v>421</v>
      </c>
    </row>
    <row r="59" spans="2:26" ht="18" customHeight="1" x14ac:dyDescent="0.2">
      <c r="B59" s="7"/>
    </row>
    <row r="60" spans="2:26" ht="18" customHeight="1" x14ac:dyDescent="0.15">
      <c r="B60" s="203" t="s">
        <v>379</v>
      </c>
      <c r="C60" s="170"/>
      <c r="D60" s="170"/>
      <c r="E60" s="170"/>
      <c r="F60" s="170"/>
      <c r="G60" s="170"/>
      <c r="H60" s="170"/>
    </row>
    <row r="61" spans="2:26" ht="18" customHeight="1" thickBot="1" x14ac:dyDescent="0.25">
      <c r="B61" s="7"/>
    </row>
    <row r="62" spans="2:26" ht="18" customHeight="1" thickTop="1" thickBot="1" x14ac:dyDescent="0.2">
      <c r="B62" s="38" t="s">
        <v>428</v>
      </c>
      <c r="D62" s="58" t="str">
        <f>IF(ISTEXT($D$23)=TRUE,$D23,"")</f>
        <v/>
      </c>
    </row>
    <row r="63" spans="2:26" ht="18" customHeight="1" thickTop="1" thickBot="1" x14ac:dyDescent="0.2">
      <c r="B63" s="38" t="s">
        <v>3</v>
      </c>
      <c r="C63" s="3"/>
      <c r="D63" s="50"/>
      <c r="E63" s="3"/>
      <c r="F63" s="39" t="s">
        <v>361</v>
      </c>
    </row>
    <row r="64" spans="2:26" ht="18" customHeight="1" thickTop="1" thickBot="1" x14ac:dyDescent="0.2">
      <c r="B64" s="40" t="s">
        <v>353</v>
      </c>
      <c r="C64" s="3" t="str">
        <f>""</f>
        <v/>
      </c>
      <c r="D64" s="49"/>
      <c r="E64" s="3" t="str">
        <f>""</f>
        <v/>
      </c>
      <c r="F64" s="39" t="s">
        <v>362</v>
      </c>
    </row>
    <row r="65" spans="2:12" ht="18" customHeight="1" thickTop="1" thickBot="1" x14ac:dyDescent="0.2">
      <c r="B65" s="38" t="s">
        <v>267</v>
      </c>
      <c r="C65" s="3"/>
      <c r="D65" s="49"/>
      <c r="E65" s="3"/>
      <c r="F65" s="39" t="s">
        <v>197</v>
      </c>
    </row>
    <row r="66" spans="2:12" ht="18" customHeight="1" thickTop="1" thickBot="1" x14ac:dyDescent="0.2">
      <c r="B66" s="38" t="s">
        <v>261</v>
      </c>
      <c r="C66" s="3"/>
      <c r="D66" s="49"/>
      <c r="E66" s="3"/>
      <c r="F66" s="39" t="s">
        <v>198</v>
      </c>
    </row>
    <row r="67" spans="2:12" ht="18" customHeight="1" thickTop="1" thickBot="1" x14ac:dyDescent="0.2">
      <c r="B67" s="40" t="s">
        <v>471</v>
      </c>
      <c r="C67" s="3"/>
      <c r="D67" s="49"/>
      <c r="F67" s="39" t="s">
        <v>264</v>
      </c>
    </row>
    <row r="68" spans="2:12" ht="18" customHeight="1" thickTop="1" x14ac:dyDescent="0.2">
      <c r="B68" s="7"/>
    </row>
    <row r="69" spans="2:12" ht="18" customHeight="1" x14ac:dyDescent="0.2">
      <c r="B69" s="100" t="str">
        <f>CONCATENATE("Target resuls: ",D64&amp;" Autoparts | "&amp;D63)</f>
        <v xml:space="preserve">Target resuls:  Autoparts | </v>
      </c>
    </row>
    <row r="70" spans="2:12" ht="18" customHeight="1" x14ac:dyDescent="0.15">
      <c r="B70" s="206"/>
    </row>
    <row r="71" spans="2:12" ht="18" customHeight="1" x14ac:dyDescent="0.2">
      <c r="B71" s="7"/>
      <c r="D71" s="43" t="str">
        <f>+CONCATENATE("Base year ","(",$D$65,")")</f>
        <v>Base year ()</v>
      </c>
      <c r="E71" s="44"/>
      <c r="F71" s="43" t="str">
        <f>+CONCATENATE("Target year ","(",$D$66,")")</f>
        <v>Target year ()</v>
      </c>
      <c r="G71" s="34"/>
      <c r="H71" s="43" t="s">
        <v>423</v>
      </c>
    </row>
    <row r="72" spans="2:12" ht="30" customHeight="1" thickBot="1" x14ac:dyDescent="0.2">
      <c r="B72" s="171" t="str">
        <f>+Calculations!B165</f>
        <v>select a vehicle category</v>
      </c>
      <c r="D72" s="59" t="str">
        <f>+IF(AND($D$65="",$D$67=""),"",$D$67)</f>
        <v/>
      </c>
      <c r="E72" s="172"/>
      <c r="F72" s="59" t="str">
        <f>+IF(AND($D$65="",$D$67=""),"",Calculations!D97)</f>
        <v/>
      </c>
      <c r="H72" s="105" t="str">
        <f>IF(F72&lt;=0,100%,IF(AND(D72="",F72=""),"",ROUNDUP(TRUNC(1-F72/D72,4),3)))</f>
        <v/>
      </c>
    </row>
    <row r="73" spans="2:12" ht="18" customHeight="1" thickTop="1" x14ac:dyDescent="0.15"/>
    <row r="74" spans="2:12" ht="18" customHeight="1" thickBot="1" x14ac:dyDescent="0.2">
      <c r="B74" s="38" t="s">
        <v>470</v>
      </c>
      <c r="D74" s="278" t="str" cm="1">
        <f t="array" ref="D74">IF(OR(ISBLANK(D63:D67),ISBLANK(F72)),"Enter data in Section 2",$D$62&amp;" commits to reduce scope 3 category 11 emissions by "&amp;(ROUNDUP(TRUNC(H72,4),3)*100)&amp;"%"&amp;" by "&amp;D66&amp;" from a "&amp;D65&amp;" base year")</f>
        <v>Enter data in Section 2</v>
      </c>
      <c r="E74" s="278"/>
      <c r="F74" s="278"/>
      <c r="G74" s="278"/>
      <c r="H74" s="278"/>
      <c r="I74" s="278"/>
      <c r="J74" s="278"/>
      <c r="K74" s="278"/>
      <c r="L74" s="278"/>
    </row>
    <row r="75" spans="2:12" ht="18" customHeight="1" thickTop="1" x14ac:dyDescent="0.2">
      <c r="B75" s="7"/>
    </row>
    <row r="76" spans="2:12" ht="18" customHeight="1" x14ac:dyDescent="0.2">
      <c r="B76" s="7"/>
    </row>
    <row r="77" spans="2:12" ht="18" customHeight="1" x14ac:dyDescent="0.2">
      <c r="B77" s="7"/>
    </row>
    <row r="78" spans="2:12" ht="18" customHeight="1" x14ac:dyDescent="0.2">
      <c r="B78" s="7"/>
    </row>
    <row r="79" spans="2:12" ht="18" customHeight="1" x14ac:dyDescent="0.2">
      <c r="B79" s="7"/>
    </row>
    <row r="80" spans="2:12" ht="18" customHeight="1" x14ac:dyDescent="0.2">
      <c r="B80" s="7"/>
    </row>
    <row r="81" spans="2:26" ht="18" customHeight="1" x14ac:dyDescent="0.2">
      <c r="B81" s="7"/>
    </row>
    <row r="82" spans="2:26" ht="18" customHeight="1" x14ac:dyDescent="0.2">
      <c r="B82" s="7"/>
    </row>
    <row r="83" spans="2:26" ht="18" customHeight="1" x14ac:dyDescent="0.2">
      <c r="B83" s="7"/>
    </row>
    <row r="84" spans="2:26" ht="18" customHeight="1" x14ac:dyDescent="0.2">
      <c r="B84" s="7"/>
    </row>
    <row r="85" spans="2:26" ht="18" customHeight="1" x14ac:dyDescent="0.2">
      <c r="B85" s="7"/>
    </row>
    <row r="86" spans="2:26" ht="18" customHeight="1" x14ac:dyDescent="0.2">
      <c r="B86" s="7"/>
    </row>
    <row r="87" spans="2:26" ht="18" customHeight="1" x14ac:dyDescent="0.2">
      <c r="B87" s="7"/>
    </row>
    <row r="88" spans="2:26" ht="18" customHeight="1" x14ac:dyDescent="0.2">
      <c r="B88" s="7"/>
    </row>
    <row r="89" spans="2:26" ht="18" customHeight="1" x14ac:dyDescent="0.2">
      <c r="B89" s="7"/>
    </row>
    <row r="90" spans="2:26" ht="18" customHeight="1" x14ac:dyDescent="0.2">
      <c r="B90" s="7"/>
    </row>
    <row r="91" spans="2:26" ht="18" customHeight="1" x14ac:dyDescent="0.2">
      <c r="B91" s="7"/>
    </row>
    <row r="92" spans="2:26" ht="18" customHeight="1" x14ac:dyDescent="0.2">
      <c r="B92" s="7"/>
    </row>
    <row r="93" spans="2:26" ht="18" customHeight="1" x14ac:dyDescent="0.15"/>
    <row r="94" spans="2:26" ht="12.75" customHeight="1" x14ac:dyDescent="0.2">
      <c r="B94" s="37"/>
      <c r="C94" s="37"/>
      <c r="D94" s="37"/>
      <c r="E94" s="37"/>
      <c r="F94" s="37"/>
      <c r="G94" s="37"/>
      <c r="H94" s="37"/>
      <c r="I94" s="37"/>
      <c r="J94" s="37"/>
      <c r="K94" s="37"/>
      <c r="L94" s="37"/>
      <c r="M94" s="37"/>
      <c r="N94" s="37"/>
      <c r="O94" s="37"/>
      <c r="P94" s="37"/>
      <c r="Q94" s="37"/>
      <c r="R94" s="37"/>
      <c r="S94" s="37"/>
      <c r="T94" s="37"/>
      <c r="U94" s="37"/>
      <c r="V94" s="37"/>
      <c r="W94" s="37"/>
      <c r="X94" s="37"/>
      <c r="Y94" s="37"/>
      <c r="Z94" s="37"/>
    </row>
    <row r="95" spans="2:26" ht="12.5" customHeight="1" x14ac:dyDescent="0.15">
      <c r="D95" s="42"/>
      <c r="F95" s="5"/>
      <c r="S95" s="64"/>
    </row>
    <row r="96" spans="2:26" ht="20" customHeight="1" x14ac:dyDescent="0.2">
      <c r="B96" s="201" t="s">
        <v>422</v>
      </c>
    </row>
    <row r="97" spans="2:12" ht="18" customHeight="1" x14ac:dyDescent="0.2">
      <c r="B97" s="7"/>
    </row>
    <row r="98" spans="2:12" ht="18" customHeight="1" x14ac:dyDescent="0.15">
      <c r="B98" s="203" t="s">
        <v>379</v>
      </c>
      <c r="C98" s="170"/>
      <c r="D98" s="170"/>
      <c r="E98" s="170"/>
      <c r="F98" s="170"/>
      <c r="G98" s="170"/>
      <c r="H98" s="170"/>
    </row>
    <row r="99" spans="2:12" ht="18" customHeight="1" thickBot="1" x14ac:dyDescent="0.25">
      <c r="B99" s="7"/>
    </row>
    <row r="100" spans="2:12" ht="18" customHeight="1" thickTop="1" thickBot="1" x14ac:dyDescent="0.2">
      <c r="B100" s="38" t="s">
        <v>428</v>
      </c>
      <c r="D100" s="58" t="str">
        <f>IF(ISTEXT($D$23)=TRUE,$D23,"")</f>
        <v/>
      </c>
    </row>
    <row r="101" spans="2:12" ht="18" customHeight="1" thickTop="1" thickBot="1" x14ac:dyDescent="0.2">
      <c r="B101" s="38" t="s">
        <v>3</v>
      </c>
      <c r="C101" s="3"/>
      <c r="D101" s="50"/>
      <c r="E101" s="3"/>
      <c r="F101" s="39" t="s">
        <v>361</v>
      </c>
    </row>
    <row r="102" spans="2:12" ht="18" customHeight="1" thickTop="1" thickBot="1" x14ac:dyDescent="0.2">
      <c r="B102" s="40" t="s">
        <v>353</v>
      </c>
      <c r="C102" s="3" t="str">
        <f>""</f>
        <v/>
      </c>
      <c r="D102" s="49"/>
      <c r="E102" s="3" t="str">
        <f>""</f>
        <v/>
      </c>
      <c r="F102" s="39" t="s">
        <v>362</v>
      </c>
    </row>
    <row r="103" spans="2:12" ht="18" customHeight="1" thickTop="1" thickBot="1" x14ac:dyDescent="0.2">
      <c r="B103" s="38" t="s">
        <v>267</v>
      </c>
      <c r="C103" s="3"/>
      <c r="D103" s="49"/>
      <c r="E103" s="3"/>
      <c r="F103" s="39" t="s">
        <v>197</v>
      </c>
    </row>
    <row r="104" spans="2:12" ht="18" customHeight="1" thickTop="1" thickBot="1" x14ac:dyDescent="0.2">
      <c r="B104" s="38" t="s">
        <v>261</v>
      </c>
      <c r="C104" s="3"/>
      <c r="D104" s="49"/>
      <c r="E104" s="3"/>
      <c r="F104" s="39" t="s">
        <v>198</v>
      </c>
    </row>
    <row r="105" spans="2:12" ht="18" customHeight="1" thickTop="1" thickBot="1" x14ac:dyDescent="0.2">
      <c r="B105" s="40" t="s">
        <v>471</v>
      </c>
      <c r="C105" s="3"/>
      <c r="D105" s="49"/>
      <c r="F105" s="39" t="s">
        <v>264</v>
      </c>
    </row>
    <row r="106" spans="2:12" ht="18" customHeight="1" thickTop="1" x14ac:dyDescent="0.2">
      <c r="B106" s="7"/>
    </row>
    <row r="107" spans="2:12" ht="18" customHeight="1" x14ac:dyDescent="0.2">
      <c r="B107" s="100" t="str">
        <f>CONCATENATE("Target results: ",D102&amp;" Autoparts | "&amp;D101)</f>
        <v xml:space="preserve">Target results:  Autoparts | </v>
      </c>
    </row>
    <row r="108" spans="2:12" ht="18" customHeight="1" x14ac:dyDescent="0.2">
      <c r="B108" s="7"/>
    </row>
    <row r="109" spans="2:12" ht="18" customHeight="1" x14ac:dyDescent="0.2">
      <c r="B109" s="7"/>
      <c r="D109" s="43" t="str">
        <f>+CONCATENATE("Base year ","(",$D$65,")")</f>
        <v>Base year ()</v>
      </c>
      <c r="E109" s="44"/>
      <c r="F109" s="43" t="str">
        <f>+CONCATENATE("Target year ","(",$D$66,")")</f>
        <v>Target year ()</v>
      </c>
      <c r="G109" s="34"/>
      <c r="H109" s="43" t="s">
        <v>423</v>
      </c>
    </row>
    <row r="110" spans="2:12" ht="30" customHeight="1" thickBot="1" x14ac:dyDescent="0.2">
      <c r="B110" s="171" t="str">
        <f>Calculations!B170</f>
        <v>select a vehicle category</v>
      </c>
      <c r="D110" s="59" t="str">
        <f>+IF(AND($D$103="",$D$105=""),"",$D$105)</f>
        <v/>
      </c>
      <c r="E110" s="172"/>
      <c r="F110" s="59" t="str">
        <f>+IF(AND($D$104="",$D$105=""),"",Calculations!D104)</f>
        <v/>
      </c>
      <c r="H110" s="105" t="str">
        <f>IF(F110&lt;=0,100%,IF(AND(D110="",F110=""),"",ROUNDUP(TRUNC(1-F110/D110,4),3)))</f>
        <v/>
      </c>
    </row>
    <row r="111" spans="2:12" ht="18" customHeight="1" thickTop="1" x14ac:dyDescent="0.15"/>
    <row r="112" spans="2:12" ht="18" customHeight="1" thickBot="1" x14ac:dyDescent="0.2">
      <c r="B112" s="38" t="s">
        <v>435</v>
      </c>
      <c r="D112" s="278" t="str" cm="1">
        <f t="array" ref="D112">IF(OR(ISBLANK(D101:D105),ISBLANK(F110)),"Enter data in Section 3",$D$100&amp;" commits to reduce scope 3 category 11 emissions by "&amp;(ROUNDUP(TRUNC(H110,4),3)*100)&amp;"%"&amp;" by "&amp;D104&amp;" from a "&amp;D103&amp;" base year")</f>
        <v>Enter data in Section 3</v>
      </c>
      <c r="E112" s="278"/>
      <c r="F112" s="278"/>
      <c r="G112" s="278"/>
      <c r="H112" s="278"/>
      <c r="I112" s="278"/>
      <c r="J112" s="278"/>
      <c r="K112" s="278"/>
      <c r="L112" s="278"/>
    </row>
    <row r="113" spans="2:2" ht="18" customHeight="1" thickTop="1" x14ac:dyDescent="0.2">
      <c r="B113" s="7"/>
    </row>
    <row r="114" spans="2:2" ht="18" customHeight="1" x14ac:dyDescent="0.2">
      <c r="B114" s="7"/>
    </row>
    <row r="115" spans="2:2" ht="18" customHeight="1" x14ac:dyDescent="0.15"/>
    <row r="116" spans="2:2" ht="18" customHeight="1" x14ac:dyDescent="0.2">
      <c r="B116" s="7"/>
    </row>
    <row r="117" spans="2:2" ht="18" customHeight="1" x14ac:dyDescent="0.2">
      <c r="B117" s="7"/>
    </row>
    <row r="118" spans="2:2" ht="18" customHeight="1" x14ac:dyDescent="0.2">
      <c r="B118" s="7"/>
    </row>
    <row r="119" spans="2:2" ht="18" customHeight="1" x14ac:dyDescent="0.2">
      <c r="B119" s="7"/>
    </row>
    <row r="120" spans="2:2" ht="18" customHeight="1" x14ac:dyDescent="0.2">
      <c r="B120" s="7"/>
    </row>
    <row r="121" spans="2:2" ht="18" customHeight="1" x14ac:dyDescent="0.2">
      <c r="B121" s="7"/>
    </row>
    <row r="122" spans="2:2" ht="18" customHeight="1" x14ac:dyDescent="0.2">
      <c r="B122" s="7"/>
    </row>
    <row r="123" spans="2:2" ht="18" customHeight="1" x14ac:dyDescent="0.2">
      <c r="B123" s="7"/>
    </row>
    <row r="124" spans="2:2" ht="18" customHeight="1" x14ac:dyDescent="0.2">
      <c r="B124" s="7"/>
    </row>
    <row r="125" spans="2:2" ht="18" customHeight="1" x14ac:dyDescent="0.2">
      <c r="B125" s="7"/>
    </row>
    <row r="126" spans="2:2" ht="18" customHeight="1" x14ac:dyDescent="0.2">
      <c r="B126" s="7"/>
    </row>
    <row r="127" spans="2:2" ht="18" customHeight="1" x14ac:dyDescent="0.2">
      <c r="B127" s="7"/>
    </row>
    <row r="128" spans="2:2" ht="18" customHeight="1" x14ac:dyDescent="0.15"/>
    <row r="129" spans="2:56" ht="18" customHeight="1" x14ac:dyDescent="0.15"/>
    <row r="130" spans="2:56" ht="19.5" customHeight="1" x14ac:dyDescent="0.15"/>
    <row r="131" spans="2:56" ht="19.5" customHeight="1" x14ac:dyDescent="0.15"/>
    <row r="132" spans="2:56" ht="12.75" customHeight="1" x14ac:dyDescent="0.2">
      <c r="B132" s="37"/>
      <c r="C132" s="37"/>
      <c r="D132" s="37"/>
      <c r="E132" s="37"/>
      <c r="F132" s="37"/>
      <c r="G132" s="37"/>
      <c r="H132" s="37"/>
      <c r="I132" s="37"/>
      <c r="J132" s="37"/>
      <c r="K132" s="37"/>
      <c r="L132" s="37"/>
      <c r="M132" s="37"/>
      <c r="N132" s="37"/>
      <c r="O132" s="37"/>
      <c r="P132" s="37"/>
      <c r="Q132" s="37"/>
      <c r="R132" s="37"/>
      <c r="S132" s="37"/>
      <c r="T132" s="37"/>
      <c r="U132" s="37"/>
      <c r="V132" s="37"/>
      <c r="W132" s="37"/>
      <c r="X132" s="37"/>
      <c r="Y132" s="37"/>
      <c r="Z132" s="37"/>
    </row>
    <row r="133" spans="2:56" ht="19.5" customHeight="1" x14ac:dyDescent="0.15"/>
    <row r="134" spans="2:56" ht="19.5" customHeight="1" x14ac:dyDescent="0.2">
      <c r="B134" s="201" t="s">
        <v>33</v>
      </c>
    </row>
    <row r="135" spans="2:56" ht="19.5" customHeight="1" thickBot="1" x14ac:dyDescent="0.2">
      <c r="J135" s="43">
        <f>Autoparts!D26</f>
        <v>0</v>
      </c>
      <c r="K135" s="43">
        <f t="shared" ref="K135:W135" si="0">IF(J135&lt;2035,J135+1,"")</f>
        <v>1</v>
      </c>
      <c r="L135" s="43">
        <f t="shared" si="0"/>
        <v>2</v>
      </c>
      <c r="M135" s="43">
        <f t="shared" si="0"/>
        <v>3</v>
      </c>
      <c r="N135" s="43">
        <f t="shared" si="0"/>
        <v>4</v>
      </c>
      <c r="O135" s="43">
        <f t="shared" si="0"/>
        <v>5</v>
      </c>
      <c r="P135" s="43">
        <f t="shared" si="0"/>
        <v>6</v>
      </c>
      <c r="Q135" s="43">
        <f t="shared" si="0"/>
        <v>7</v>
      </c>
      <c r="R135" s="43">
        <f t="shared" si="0"/>
        <v>8</v>
      </c>
      <c r="S135" s="43">
        <f t="shared" si="0"/>
        <v>9</v>
      </c>
      <c r="T135" s="43">
        <f t="shared" si="0"/>
        <v>10</v>
      </c>
      <c r="U135" s="43">
        <f t="shared" si="0"/>
        <v>11</v>
      </c>
      <c r="V135" s="43">
        <f t="shared" si="0"/>
        <v>12</v>
      </c>
      <c r="W135" s="43">
        <f t="shared" si="0"/>
        <v>13</v>
      </c>
    </row>
    <row r="136" spans="2:56" ht="36" customHeight="1" thickTop="1" thickBot="1" x14ac:dyDescent="0.2">
      <c r="D136" s="273" t="str">
        <f>+B18</f>
        <v>Section 1. Target setting for autopart manufacturers' operational and value chain emissions</v>
      </c>
      <c r="F136" s="267" t="str">
        <f>+B34</f>
        <v>select a vehicle category</v>
      </c>
      <c r="G136" s="267">
        <f>+G34</f>
        <v>0</v>
      </c>
      <c r="H136" s="267" t="str">
        <f>+H34</f>
        <v/>
      </c>
      <c r="J136" s="83" t="str">
        <f>IF(AND($D$28&gt;0,J135&lt;&gt;""),HLOOKUP(J$135,Calculations!$B$1:$AI$235,ROW(Calculations!B155)),"")</f>
        <v/>
      </c>
      <c r="K136" s="83" t="str">
        <f>IF(AND($D$28&gt;0,K135&lt;&gt;""),HLOOKUP(K$135,Calculations!$B$1:$AI$235,ROW(Calculations!C155)),"")</f>
        <v/>
      </c>
      <c r="L136" s="83" t="str">
        <f>IF(AND($D$28&gt;0,L135&lt;&gt;""),HLOOKUP(L$135,Calculations!$B$1:$AI$235,ROW(Calculations!D155)),"")</f>
        <v/>
      </c>
      <c r="M136" s="83" t="str">
        <f>IF(AND($D$28&gt;0,M135&lt;&gt;""),HLOOKUP(M$135,Calculations!$B$1:$AI$235,ROW(Calculations!E155)),"")</f>
        <v/>
      </c>
      <c r="N136" s="83" t="str">
        <f>IF(AND($D$28&gt;0,N135&lt;&gt;""),HLOOKUP(N$135,Calculations!$B$1:$AI$235,ROW(Calculations!F155)),"")</f>
        <v/>
      </c>
      <c r="O136" s="83" t="str">
        <f>IF(AND($D$28&gt;0,O135&lt;&gt;""),HLOOKUP(O$135,Calculations!$B$1:$AI$235,ROW(Calculations!G155)),"")</f>
        <v/>
      </c>
      <c r="P136" s="83" t="str">
        <f>IF(AND($D$28&gt;0,P135&lt;&gt;""),HLOOKUP(P$135,Calculations!$B$1:$AI$235,ROW(Calculations!H155)),"")</f>
        <v/>
      </c>
      <c r="Q136" s="83" t="str">
        <f>IF(AND($D$28&gt;0,Q135&lt;&gt;""),HLOOKUP(Q$135,Calculations!$B$1:$AI$235,ROW(Calculations!I155)),"")</f>
        <v/>
      </c>
      <c r="R136" s="83" t="str">
        <f>IF(AND($D$28&gt;0,R135&lt;&gt;""),HLOOKUP(R$135,Calculations!$B$1:$AI$235,ROW(Calculations!J155)),"")</f>
        <v/>
      </c>
      <c r="S136" s="83" t="str">
        <f>IF(AND($D$28&gt;0,S135&lt;&gt;""),HLOOKUP(S$135,Calculations!$B$1:$AI$235,ROW(Calculations!K155)),"")</f>
        <v/>
      </c>
      <c r="T136" s="83" t="str">
        <f>IF(AND($D$28&gt;0,T135&lt;&gt;""),HLOOKUP(T$135,Calculations!$B$1:$AI$235,ROW(Calculations!L155)),"")</f>
        <v/>
      </c>
      <c r="U136" s="83" t="str">
        <f>IF(AND($D$28&gt;0,U135&lt;&gt;""),HLOOKUP(U$135,Calculations!$B$1:$AI$235,ROW(Calculations!M155)),"")</f>
        <v/>
      </c>
      <c r="V136" s="83" t="str">
        <f>IF(AND($D$28&gt;0,V135&lt;&gt;""),HLOOKUP(V$135,Calculations!$B$1:$AI$235,ROW(Calculations!N155)),"")</f>
        <v/>
      </c>
      <c r="W136" s="83" t="str">
        <f>IF(AND($D$28&gt;0,W135&lt;&gt;""),HLOOKUP(W$135,Calculations!$B$1:$AI$235,ROW(Calculations!O155)),"")</f>
        <v/>
      </c>
      <c r="X136" s="83" t="str">
        <f>IF(AND($D$28&gt;0,X135&lt;&gt;""),HLOOKUP(X$135,Calculations!$B$1:$AI$235,ROW(Calculations!P155)),"")</f>
        <v/>
      </c>
      <c r="Y136" s="83" t="str">
        <f>IF(AND($D$28&gt;0,Y135&lt;&gt;""),HLOOKUP(Y$135,Calculations!$B$1:$AI$235,ROW(Calculations!Q155)),"")</f>
        <v/>
      </c>
      <c r="Z136" s="83" t="str">
        <f>IF(AND($D$28&gt;0,Z135&lt;&gt;""),HLOOKUP(Z$135,Calculations!$B$1:$AI$235,ROW(Calculations!R155)),"")</f>
        <v/>
      </c>
    </row>
    <row r="137" spans="2:56" ht="36" customHeight="1" thickTop="1" thickBot="1" x14ac:dyDescent="0.2">
      <c r="D137" s="274"/>
      <c r="F137" s="267" t="str">
        <f>+B35</f>
        <v>Scope 3 category 1 intensity target</v>
      </c>
      <c r="G137" s="267"/>
      <c r="H137" s="267"/>
      <c r="J137" s="83" t="str">
        <f>IF(AND($D$29&gt;0,J135&lt;&gt;""),HLOOKUP(J$135,Calculations!$B$1:$AI$235,ROW(Calculations!B160)),"")</f>
        <v/>
      </c>
      <c r="K137" s="83" t="str">
        <f>IF(AND($D$29&gt;0,K135&lt;&gt;""),HLOOKUP(K$135,Calculations!$B$1:$AI$235,ROW(Calculations!C160)),"")</f>
        <v/>
      </c>
      <c r="L137" s="83" t="str">
        <f>IF(AND($D$29&gt;0,L135&lt;&gt;""),HLOOKUP(L$135,Calculations!$B$1:$AI$235,ROW(Calculations!D160)),"")</f>
        <v/>
      </c>
      <c r="M137" s="83" t="str">
        <f>IF(AND($D$29&gt;0,M135&lt;&gt;""),HLOOKUP(M$135,Calculations!$B$1:$AI$235,ROW(Calculations!E160)),"")</f>
        <v/>
      </c>
      <c r="N137" s="83" t="str">
        <f>IF(AND($D$29&gt;0,N135&lt;&gt;""),HLOOKUP(N$135,Calculations!$B$1:$AI$235,ROW(Calculations!F160)),"")</f>
        <v/>
      </c>
      <c r="O137" s="83" t="str">
        <f>IF(AND($D$29&gt;0,O135&lt;&gt;""),HLOOKUP(O$135,Calculations!$B$1:$AI$235,ROW(Calculations!G160)),"")</f>
        <v/>
      </c>
      <c r="P137" s="83" t="str">
        <f>IF(AND($D$29&gt;0,P135&lt;&gt;""),HLOOKUP(P$135,Calculations!$B$1:$AI$235,ROW(Calculations!H160)),"")</f>
        <v/>
      </c>
      <c r="Q137" s="83" t="str">
        <f>IF(AND($D$29&gt;0,Q135&lt;&gt;""),HLOOKUP(Q$135,Calculations!$B$1:$AI$235,ROW(Calculations!I160)),"")</f>
        <v/>
      </c>
      <c r="R137" s="83" t="str">
        <f>IF(AND($D$29&gt;0,R135&lt;&gt;""),HLOOKUP(R$135,Calculations!$B$1:$AI$235,ROW(Calculations!J160)),"")</f>
        <v/>
      </c>
      <c r="S137" s="83" t="str">
        <f>IF(AND($D$29&gt;0,S135&lt;&gt;""),HLOOKUP(S$135,Calculations!$B$1:$AI$235,ROW(Calculations!K160)),"")</f>
        <v/>
      </c>
      <c r="T137" s="83" t="str">
        <f>IF(AND($D$29&gt;0,T135&lt;&gt;""),HLOOKUP(T$135,Calculations!$B$1:$AI$235,ROW(Calculations!L160)),"")</f>
        <v/>
      </c>
      <c r="U137" s="83" t="str">
        <f>IF(AND($D$29&gt;0,U135&lt;&gt;""),HLOOKUP(U$135,Calculations!$B$1:$AI$235,ROW(Calculations!M160)),"")</f>
        <v/>
      </c>
      <c r="V137" s="83" t="str">
        <f>IF(AND($D$29&gt;0,V135&lt;&gt;""),HLOOKUP(V$135,Calculations!$B$1:$AI$235,ROW(Calculations!N160)),"")</f>
        <v/>
      </c>
      <c r="W137" s="83" t="str">
        <f>IF(AND($D$29&gt;0,W135&lt;&gt;""),HLOOKUP(W$135,Calculations!$B$1:$AI$235,ROW(Calculations!O160)),"")</f>
        <v/>
      </c>
      <c r="X137" s="83" t="str">
        <f>IF(AND($D$29&gt;0,X135&lt;&gt;""),HLOOKUP(X$135,Calculations!$B$1:$AI$235,ROW(Calculations!P160)),"")</f>
        <v/>
      </c>
      <c r="Y137" s="83" t="str">
        <f>IF(AND($D$29&gt;0,Y135&lt;&gt;""),HLOOKUP(Y$135,Calculations!$B$1:$AI$235,ROW(Calculations!Q160)),"")</f>
        <v/>
      </c>
      <c r="Z137" s="83" t="str">
        <f>IF(AND($D$29&gt;0,Z135&lt;&gt;""),HLOOKUP(Z$135,Calculations!$B$1:$AI$235,ROW(Calculations!R160)),"")</f>
        <v/>
      </c>
    </row>
    <row r="138" spans="2:56" ht="72" customHeight="1" thickTop="1" thickBot="1" x14ac:dyDescent="0.2">
      <c r="D138" s="205" t="str">
        <f>+B58</f>
        <v>Section 2. Target setting for manufacturers of powertrains for light-duty vehicles (Passenger cars and LCVs)</v>
      </c>
      <c r="F138" s="267" t="str">
        <f>B72</f>
        <v>select a vehicle category</v>
      </c>
      <c r="G138" s="267">
        <f>+G39</f>
        <v>0</v>
      </c>
      <c r="H138" s="267">
        <f>+H39</f>
        <v>0</v>
      </c>
      <c r="J138" s="83" t="str">
        <f>IF(AND($D$67&gt;0,J135&lt;&gt;""),HLOOKUP(J$135,Calculations!$B$1:$AI$235,ROW(Calculations!B165)),"")</f>
        <v/>
      </c>
      <c r="K138" s="83" t="str">
        <f>IF(AND($D$67&gt;0,K135&lt;&gt;""),HLOOKUP(K$135,Calculations!$B$1:$AI$235,ROW(Calculations!C165)),"")</f>
        <v/>
      </c>
      <c r="L138" s="83" t="str">
        <f>IF(AND($D$67&gt;0,L135&lt;&gt;""),HLOOKUP(L$135,Calculations!$B$1:$AI$235,ROW(Calculations!D165)),"")</f>
        <v/>
      </c>
      <c r="M138" s="83" t="str">
        <f>IF(AND($D$67&gt;0,M135&lt;&gt;""),HLOOKUP(M$135,Calculations!$B$1:$AI$235,ROW(Calculations!E165)),"")</f>
        <v/>
      </c>
      <c r="N138" s="83" t="str">
        <f>IF(AND($D$67&gt;0,N135&lt;&gt;""),HLOOKUP(N$135,Calculations!$B$1:$AI$235,ROW(Calculations!F165)),"")</f>
        <v/>
      </c>
      <c r="O138" s="83" t="str">
        <f>IF(AND($D$67&gt;0,O135&lt;&gt;""),HLOOKUP(O$135,Calculations!$B$1:$AI$235,ROW(Calculations!G165)),"")</f>
        <v/>
      </c>
      <c r="P138" s="83" t="str">
        <f>IF(AND($D$67&gt;0,P135&lt;&gt;""),HLOOKUP(P$135,Calculations!$B$1:$AI$235,ROW(Calculations!H165)),"")</f>
        <v/>
      </c>
      <c r="Q138" s="83" t="str">
        <f>IF(AND($D$67&gt;0,Q135&lt;&gt;""),HLOOKUP(Q$135,Calculations!$B$1:$AI$235,ROW(Calculations!I165)),"")</f>
        <v/>
      </c>
      <c r="R138" s="83" t="str">
        <f>IF(AND($D$67&gt;0,R135&lt;&gt;""),HLOOKUP(R$135,Calculations!$B$1:$AI$235,ROW(Calculations!J165)),"")</f>
        <v/>
      </c>
      <c r="S138" s="83" t="str">
        <f>IF(AND($D$67&gt;0,S135&lt;&gt;""),HLOOKUP(S$135,Calculations!$B$1:$AI$235,ROW(Calculations!K165)),"")</f>
        <v/>
      </c>
      <c r="T138" s="83" t="str">
        <f>IF(AND($D$67&gt;0,T135&lt;&gt;""),HLOOKUP(T$135,Calculations!$B$1:$AI$235,ROW(Calculations!L165)),"")</f>
        <v/>
      </c>
      <c r="U138" s="83" t="str">
        <f>IF(AND($D$67&gt;0,U135&lt;&gt;""),HLOOKUP(U$135,Calculations!$B$1:$AI$235,ROW(Calculations!M165)),"")</f>
        <v/>
      </c>
      <c r="V138" s="83" t="str">
        <f>IF(AND($D$67&gt;0,V135&lt;&gt;""),HLOOKUP(V$135,Calculations!$B$1:$AI$235,ROW(Calculations!N165)),"")</f>
        <v/>
      </c>
      <c r="W138" s="83" t="str">
        <f>IF(AND($D$67&gt;0,W135&lt;&gt;""),HLOOKUP(W$135,Calculations!$B$1:$AI$235,ROW(Calculations!O165)),"")</f>
        <v/>
      </c>
      <c r="X138" s="83" t="str">
        <f>IF(AND($D$67&gt;0,X135&lt;&gt;""),HLOOKUP(X$135,Calculations!$B$1:$AI$235,ROW(Calculations!P165)),"")</f>
        <v/>
      </c>
      <c r="Y138" s="83" t="str">
        <f>IF(AND($D$67&gt;0,Y135&lt;&gt;""),HLOOKUP(Y$135,Calculations!$B$1:$AI$235,ROW(Calculations!Q165)),"")</f>
        <v/>
      </c>
      <c r="Z138" s="83" t="str">
        <f>IF(AND($D$67&gt;0,Z135&lt;&gt;""),HLOOKUP(Z$135,Calculations!$B$1:$AI$235,ROW(Calculations!R165)),"")</f>
        <v/>
      </c>
    </row>
    <row r="139" spans="2:56" ht="72" customHeight="1" thickTop="1" thickBot="1" x14ac:dyDescent="0.2">
      <c r="D139" s="205" t="str">
        <f>+B96</f>
        <v>Section 3. Target setting for manufacturers of powertrains for non light-duty vehicles (2&amp;3 wheelers, buses, medium and heavy duty trucks)</v>
      </c>
      <c r="F139" s="267" t="str">
        <f>B110</f>
        <v>select a vehicle category</v>
      </c>
      <c r="G139" s="267"/>
      <c r="H139" s="267"/>
      <c r="J139" s="204" t="str">
        <f>IF(AND($D$105&gt;0,J135&lt;&gt;""),HLOOKUP(J$135,Calculations!$B$1:$AI$235,ROW(Calculations!B170)),"")</f>
        <v/>
      </c>
      <c r="K139" s="204" t="str">
        <f>IF(AND($D$105&gt;0,K135&lt;&gt;""),HLOOKUP(K$135,Calculations!$B$1:$AI$235,ROW(Calculations!C170)),"")</f>
        <v/>
      </c>
      <c r="L139" s="204" t="str">
        <f>IF(AND($D$105&gt;0,L135&lt;&gt;""),HLOOKUP(L$135,Calculations!$B$1:$AI$235,ROW(Calculations!D170)),"")</f>
        <v/>
      </c>
      <c r="M139" s="204" t="str">
        <f>IF(AND($D$105&gt;0,M135&lt;&gt;""),HLOOKUP(M$135,Calculations!$B$1:$AI$235,ROW(Calculations!E170)),"")</f>
        <v/>
      </c>
      <c r="N139" s="204" t="str">
        <f>IF(AND($D$105&gt;0,N135&lt;&gt;""),HLOOKUP(N$135,Calculations!$B$1:$AI$235,ROW(Calculations!F170)),"")</f>
        <v/>
      </c>
      <c r="O139" s="204" t="str">
        <f>IF(AND($D$105&gt;0,O135&lt;&gt;""),HLOOKUP(O$135,Calculations!$B$1:$AI$235,ROW(Calculations!G170)),"")</f>
        <v/>
      </c>
      <c r="P139" s="204" t="str">
        <f>IF(AND($D$105&gt;0,P135&lt;&gt;""),HLOOKUP(P$135,Calculations!$B$1:$AI$235,ROW(Calculations!H170)),"")</f>
        <v/>
      </c>
      <c r="Q139" s="204" t="str">
        <f>IF(AND($D$105&gt;0,Q135&lt;&gt;""),HLOOKUP(Q$135,Calculations!$B$1:$AI$235,ROW(Calculations!I170)),"")</f>
        <v/>
      </c>
      <c r="R139" s="204" t="str">
        <f>IF(AND($D$105&gt;0,R135&lt;&gt;""),HLOOKUP(R$135,Calculations!$B$1:$AI$235,ROW(Calculations!J170)),"")</f>
        <v/>
      </c>
      <c r="S139" s="204" t="str">
        <f>IF(AND($D$105&gt;0,S135&lt;&gt;""),HLOOKUP(S$135,Calculations!$B$1:$AI$235,ROW(Calculations!K170)),"")</f>
        <v/>
      </c>
      <c r="T139" s="204" t="str">
        <f>IF(AND($D$105&gt;0,T135&lt;&gt;""),HLOOKUP(T$135,Calculations!$B$1:$AI$235,ROW(Calculations!L170)),"")</f>
        <v/>
      </c>
      <c r="U139" s="204" t="str">
        <f>IF(AND($D$105&gt;0,U135&lt;&gt;""),HLOOKUP(U$135,Calculations!$B$1:$AI$235,ROW(Calculations!M170)),"")</f>
        <v/>
      </c>
      <c r="V139" s="204" t="str">
        <f>IF(AND($D$105&gt;0,V135&lt;&gt;""),HLOOKUP(V$135,Calculations!$B$1:$AI$235,ROW(Calculations!N170)),"")</f>
        <v/>
      </c>
      <c r="W139" s="204" t="str">
        <f>IF(AND($D$105&gt;0,W135&lt;&gt;""),HLOOKUP(W$135,Calculations!$B$1:$AI$235,ROW(Calculations!O170)),"")</f>
        <v/>
      </c>
      <c r="X139" s="204" t="str">
        <f>IF(AND($D$105&gt;0,X135&lt;&gt;""),HLOOKUP(X$135,Calculations!$B$1:$AI$235,ROW(Calculations!P170)),"")</f>
        <v/>
      </c>
      <c r="Y139" s="204" t="str">
        <f>IF(AND($D$105&gt;0,Y135&lt;&gt;""),HLOOKUP(Y$135,Calculations!$B$1:$AI$235,ROW(Calculations!Q170)),"")</f>
        <v/>
      </c>
      <c r="Z139" s="204" t="str">
        <f>IF(AND($D$105&gt;0,Z135&lt;&gt;""),HLOOKUP(Z$135,Calculations!$B$1:$AI$235,ROW(Calculations!R170)),"")</f>
        <v/>
      </c>
    </row>
    <row r="140" spans="2:56" ht="19.5" customHeight="1" thickTop="1" x14ac:dyDescent="0.15">
      <c r="AT140" s="48"/>
      <c r="AU140" s="48"/>
      <c r="AV140" s="48"/>
      <c r="AW140" s="48"/>
      <c r="AX140" s="48"/>
      <c r="AY140" s="48"/>
      <c r="AZ140" s="48"/>
      <c r="BA140" s="48"/>
      <c r="BB140" s="48"/>
      <c r="BC140" s="48"/>
      <c r="BD140" s="48"/>
    </row>
    <row r="141" spans="2:56" ht="19.5" customHeight="1" x14ac:dyDescent="0.15">
      <c r="AT141" s="48"/>
      <c r="AU141" s="48"/>
      <c r="AV141" s="48"/>
      <c r="AW141" s="48"/>
      <c r="AX141" s="48"/>
      <c r="AY141" s="48"/>
      <c r="AZ141" s="48"/>
      <c r="BA141" s="48"/>
      <c r="BB141" s="48"/>
      <c r="BC141" s="48"/>
      <c r="BD141" s="48"/>
    </row>
    <row r="142" spans="2:56" ht="19.5" customHeight="1" x14ac:dyDescent="0.15">
      <c r="AT142" s="48"/>
      <c r="AU142" s="48"/>
      <c r="AV142" s="48"/>
      <c r="AW142" s="48"/>
      <c r="AX142" s="48"/>
      <c r="AY142" s="48"/>
      <c r="AZ142" s="48"/>
      <c r="BA142" s="48"/>
      <c r="BB142" s="48"/>
      <c r="BC142" s="48"/>
      <c r="BD142" s="48"/>
    </row>
    <row r="143" spans="2:56" ht="19.5" customHeight="1" x14ac:dyDescent="0.15"/>
    <row r="144" spans="2:56" ht="19.5" customHeight="1" x14ac:dyDescent="0.15"/>
    <row r="145" ht="19.5" customHeight="1" x14ac:dyDescent="0.15"/>
    <row r="146" ht="19.5" customHeight="1" x14ac:dyDescent="0.15"/>
    <row r="147" ht="19.5" customHeight="1" x14ac:dyDescent="0.15"/>
    <row r="148" ht="19.5" customHeight="1" x14ac:dyDescent="0.15"/>
    <row r="149" ht="19.5" customHeight="1" x14ac:dyDescent="0.15"/>
    <row r="150" ht="19.5" customHeight="1" x14ac:dyDescent="0.15"/>
    <row r="151" ht="19.5" customHeight="1" x14ac:dyDescent="0.15"/>
  </sheetData>
  <sheetProtection algorithmName="SHA-512" hashValue="fLSX2w8MVOekf0fnT13VCZy19OwbhlV+HCAI3iTsNVQMLHLBEVjE4XtTSZvCUosKoqbH/RDrLCmd+nbJ3995pg==" saltValue="hBmgbLAFP0MyGxhN4aOQwA==" spinCount="100000" sheet="1" objects="1" scenarios="1"/>
  <mergeCells count="17">
    <mergeCell ref="D7:K7"/>
    <mergeCell ref="D136:D137"/>
    <mergeCell ref="F136:H136"/>
    <mergeCell ref="F137:H137"/>
    <mergeCell ref="F138:H138"/>
    <mergeCell ref="F139:H139"/>
    <mergeCell ref="D9:K9"/>
    <mergeCell ref="D13:K13"/>
    <mergeCell ref="B20:H20"/>
    <mergeCell ref="D37:L37"/>
    <mergeCell ref="B21:H21"/>
    <mergeCell ref="D12:K12"/>
    <mergeCell ref="D74:L74"/>
    <mergeCell ref="D38:L38"/>
    <mergeCell ref="D10:K10"/>
    <mergeCell ref="D11:K11"/>
    <mergeCell ref="D112:L112"/>
  </mergeCells>
  <conditionalFormatting sqref="B34:B35 B72">
    <cfRule type="expression" dxfId="174" priority="38">
      <formula>ISTEXT($D$25)=FALSE</formula>
    </cfRule>
  </conditionalFormatting>
  <conditionalFormatting sqref="B110">
    <cfRule type="expression" dxfId="173" priority="8">
      <formula>ISTEXT($D$25)=FALSE</formula>
    </cfRule>
  </conditionalFormatting>
  <conditionalFormatting sqref="C37:D38 C74:D74">
    <cfRule type="cellIs" dxfId="172" priority="30" operator="lessThan">
      <formula>100</formula>
    </cfRule>
    <cfRule type="cellIs" dxfId="171" priority="31" operator="lessThan">
      <formula>10</formula>
    </cfRule>
  </conditionalFormatting>
  <conditionalFormatting sqref="C112:D112">
    <cfRule type="cellIs" dxfId="170" priority="6" operator="lessThan">
      <formula>100</formula>
    </cfRule>
    <cfRule type="cellIs" dxfId="169" priority="7" operator="lessThan">
      <formula>10</formula>
    </cfRule>
  </conditionalFormatting>
  <conditionalFormatting sqref="D17">
    <cfRule type="cellIs" dxfId="168" priority="34" operator="lessThan">
      <formula>100</formula>
    </cfRule>
    <cfRule type="cellIs" dxfId="167" priority="35" operator="lessThan">
      <formula>10</formula>
    </cfRule>
  </conditionalFormatting>
  <conditionalFormatting sqref="D33">
    <cfRule type="cellIs" dxfId="166" priority="32" operator="lessThan">
      <formula>100</formula>
    </cfRule>
    <cfRule type="cellIs" dxfId="165" priority="33" operator="lessThan">
      <formula>10</formula>
    </cfRule>
  </conditionalFormatting>
  <conditionalFormatting sqref="D57">
    <cfRule type="cellIs" dxfId="164" priority="14" operator="lessThan">
      <formula>100</formula>
    </cfRule>
    <cfRule type="cellIs" dxfId="163" priority="15" operator="lessThan">
      <formula>10</formula>
    </cfRule>
  </conditionalFormatting>
  <conditionalFormatting sqref="D71">
    <cfRule type="cellIs" dxfId="162" priority="9" operator="lessThan">
      <formula>100</formula>
    </cfRule>
    <cfRule type="cellIs" dxfId="161" priority="10" operator="lessThan">
      <formula>10</formula>
    </cfRule>
  </conditionalFormatting>
  <conditionalFormatting sqref="D95">
    <cfRule type="cellIs" dxfId="160" priority="12" operator="lessThan">
      <formula>100</formula>
    </cfRule>
    <cfRule type="cellIs" dxfId="159" priority="13" operator="lessThan">
      <formula>10</formula>
    </cfRule>
  </conditionalFormatting>
  <conditionalFormatting sqref="D109">
    <cfRule type="cellIs" dxfId="158" priority="3" operator="lessThan">
      <formula>100</formula>
    </cfRule>
    <cfRule type="cellIs" dxfId="157" priority="4" operator="lessThan">
      <formula>10</formula>
    </cfRule>
  </conditionalFormatting>
  <conditionalFormatting sqref="D130:D131">
    <cfRule type="cellIs" dxfId="156" priority="26" operator="lessThan">
      <formula>100</formula>
    </cfRule>
    <cfRule type="cellIs" dxfId="155" priority="27" operator="lessThan">
      <formula>10</formula>
    </cfRule>
  </conditionalFormatting>
  <conditionalFormatting sqref="F136:I139">
    <cfRule type="expression" dxfId="153" priority="2">
      <formula>ISTEXT($D$25)=FALSE</formula>
    </cfRule>
  </conditionalFormatting>
  <conditionalFormatting sqref="J135:W135 J136:Z139 AT140:BD142">
    <cfRule type="expression" dxfId="152" priority="37">
      <formula>OR(#REF!=0,#REF!=0)</formula>
    </cfRule>
  </conditionalFormatting>
  <hyperlinks>
    <hyperlink ref="F5" r:id="rId1" xr:uid="{155AD192-BBA3-4282-A8C6-5C18CEF8AB69}"/>
  </hyperlinks>
  <pageMargins left="0.7" right="0.7" top="0.75" bottom="0.75" header="0.3" footer="0.3"/>
  <pageSetup paperSize="9" orientation="portrait" horizontalDpi="4294967294" r:id="rId2"/>
  <drawing r:id="rId3"/>
  <extLst>
    <ext xmlns:x14="http://schemas.microsoft.com/office/spreadsheetml/2009/9/main" uri="{78C0D931-6437-407d-A8EE-F0AAD7539E65}">
      <x14:conditionalFormattings>
        <x14:conditionalFormatting xmlns:xm="http://schemas.microsoft.com/office/excel/2006/main">
          <x14:cfRule type="expression" priority="405" id="{2D94361D-ABD5-403B-9649-4BFBC9E974BA}">
            <xm:f>#REF!=Lists!$N$3</xm:f>
            <x14:dxf>
              <font>
                <color theme="0"/>
              </font>
            </x14:dxf>
          </x14:cfRule>
          <xm:sqref>F28:F29 F31 F67 F105</xm:sqref>
        </x14:conditionalFormatting>
      </x14:conditionalFormattings>
    </ext>
    <ext xmlns:x14="http://schemas.microsoft.com/office/spreadsheetml/2009/9/main" uri="{CCE6A557-97BC-4b89-ADB6-D9C93CAAB3DF}">
      <x14:dataValidations xmlns:xm="http://schemas.microsoft.com/office/excel/2006/main" count="6">
        <x14:dataValidation type="list" allowBlank="1" showInputMessage="1" showErrorMessage="1" xr:uid="{A407D9F2-4018-49AB-AD05-DD8F5505A2FC}">
          <x14:formula1>
            <xm:f>Lists!$B$4:$B$7</xm:f>
          </x14:formula1>
          <xm:sqref>D102</xm:sqref>
        </x14:dataValidation>
        <x14:dataValidation type="list" allowBlank="1" showInputMessage="1" showErrorMessage="1" xr:uid="{80434B31-1CF3-4260-BD92-E880AEB2F7A0}">
          <x14:formula1>
            <xm:f>Lists!$F$2:$F$5</xm:f>
          </x14:formula1>
          <xm:sqref>D24 D63 D101</xm:sqref>
        </x14:dataValidation>
        <x14:dataValidation type="list" allowBlank="1" showInputMessage="1" showErrorMessage="1" xr:uid="{2D6E3B68-BBAD-492A-AA24-C48A1E0E24BB}">
          <x14:formula1>
            <xm:f>Lists!$H$2:$H$24</xm:f>
          </x14:formula1>
          <xm:sqref>D104 D27 D66</xm:sqref>
        </x14:dataValidation>
        <x14:dataValidation type="list" allowBlank="1" showInputMessage="1" showErrorMessage="1" xr:uid="{C920C4AE-7E5E-47FC-A0C0-C68937E7CFF8}">
          <x14:formula1>
            <xm:f>Lists!$G$4:$G$8</xm:f>
          </x14:formula1>
          <xm:sqref>D26 D65 D103</xm:sqref>
        </x14:dataValidation>
        <x14:dataValidation type="list" allowBlank="1" showInputMessage="1" showErrorMessage="1" xr:uid="{89DBA659-6995-41EE-89F1-7EDA3DC7796E}">
          <x14:formula1>
            <xm:f>Lists!$B$2:$B$7</xm:f>
          </x14:formula1>
          <xm:sqref>D25</xm:sqref>
        </x14:dataValidation>
        <x14:dataValidation type="list" allowBlank="1" showInputMessage="1" showErrorMessage="1" xr:uid="{68423498-409A-4699-BAAC-73AD09482546}">
          <x14:formula1>
            <xm:f>Lists!$B$2:$B$3</xm:f>
          </x14:formula1>
          <xm:sqref>D64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38F369-68D9-4FF8-B054-17987114D384}">
  <sheetPr codeName="Sheet4">
    <tabColor theme="9"/>
  </sheetPr>
  <dimension ref="A1:N848"/>
  <sheetViews>
    <sheetView showGridLines="0" tabSelected="1" topLeftCell="A26" workbookViewId="0">
      <selection activeCell="D15" sqref="D15:J15"/>
    </sheetView>
  </sheetViews>
  <sheetFormatPr baseColWidth="10" defaultColWidth="14.5" defaultRowHeight="15" customHeight="1" x14ac:dyDescent="0.15"/>
  <cols>
    <col min="1" max="1" width="4.33203125" style="52" customWidth="1"/>
    <col min="2" max="2" width="6.1640625" style="52" bestFit="1" customWidth="1"/>
    <col min="3" max="3" width="1.5" style="52" customWidth="1"/>
    <col min="4" max="4" width="18.83203125" style="52" customWidth="1"/>
    <col min="5" max="5" width="30.1640625" style="52" customWidth="1"/>
    <col min="6" max="12" width="20.5" style="52" customWidth="1"/>
    <col min="13" max="14" width="9.1640625" style="52" customWidth="1"/>
    <col min="15" max="16384" width="14.5" style="52"/>
  </cols>
  <sheetData>
    <row r="1" spans="1:14" ht="11.25" customHeight="1" x14ac:dyDescent="0.2">
      <c r="A1" s="208" t="s">
        <v>310</v>
      </c>
      <c r="B1" s="209"/>
      <c r="C1" s="209"/>
      <c r="D1" s="209"/>
      <c r="E1" s="209"/>
      <c r="F1" s="209"/>
      <c r="G1" s="209"/>
      <c r="H1" s="209"/>
      <c r="I1" s="210"/>
      <c r="J1" s="210"/>
      <c r="K1" s="210"/>
      <c r="L1" s="210"/>
      <c r="M1" s="209"/>
      <c r="N1" s="209"/>
    </row>
    <row r="2" spans="1:14" ht="11.25" customHeight="1" x14ac:dyDescent="0.15">
      <c r="A2" s="211"/>
      <c r="B2" s="211"/>
      <c r="C2" s="211"/>
      <c r="D2" s="211"/>
      <c r="E2" s="211"/>
      <c r="F2" s="211"/>
      <c r="G2" s="211"/>
      <c r="H2" s="211"/>
      <c r="I2" s="211"/>
      <c r="J2" s="211"/>
      <c r="K2" s="211"/>
      <c r="L2" s="211"/>
      <c r="M2" s="211"/>
      <c r="N2" s="211"/>
    </row>
    <row r="3" spans="1:14" ht="11.25" customHeight="1" x14ac:dyDescent="0.15">
      <c r="A3" s="211"/>
      <c r="B3" s="211"/>
      <c r="C3" s="211"/>
      <c r="D3" s="211"/>
      <c r="E3" s="211"/>
      <c r="F3" s="211"/>
      <c r="G3" s="211"/>
      <c r="H3" s="211"/>
      <c r="I3" s="211"/>
      <c r="J3" s="211"/>
      <c r="K3" s="211"/>
      <c r="L3" s="211"/>
      <c r="M3" s="211"/>
      <c r="N3" s="211"/>
    </row>
    <row r="4" spans="1:14" ht="54.75" customHeight="1" x14ac:dyDescent="0.15">
      <c r="A4" s="211"/>
      <c r="B4" s="211"/>
      <c r="C4" s="212"/>
      <c r="D4" s="212"/>
      <c r="E4" s="213"/>
      <c r="F4" s="213" t="str">
        <f>Automakers!D3</f>
        <v>SBTi Automotive Target-Setting Tool | DRAFT VERSION</v>
      </c>
      <c r="G4" s="213"/>
      <c r="H4" s="214"/>
      <c r="I4" s="213"/>
      <c r="J4" s="213"/>
      <c r="K4" s="211"/>
      <c r="L4" s="211"/>
      <c r="M4" s="211"/>
      <c r="N4" s="211"/>
    </row>
    <row r="5" spans="1:14" ht="11.25" customHeight="1" x14ac:dyDescent="0.15">
      <c r="A5" s="211"/>
      <c r="B5" s="211"/>
      <c r="C5" s="215"/>
      <c r="D5" s="215"/>
      <c r="E5" s="215"/>
      <c r="F5" s="215"/>
      <c r="G5" s="214" t="s">
        <v>311</v>
      </c>
      <c r="H5" s="216">
        <f>Automakers!F4</f>
        <v>0.2</v>
      </c>
      <c r="I5" s="211"/>
      <c r="J5" s="211"/>
      <c r="K5" s="211"/>
      <c r="L5" s="211"/>
      <c r="M5" s="211"/>
      <c r="N5" s="211"/>
    </row>
    <row r="6" spans="1:14" ht="12" customHeight="1" x14ac:dyDescent="0.15">
      <c r="A6" s="211"/>
      <c r="B6" s="211"/>
      <c r="C6" s="211"/>
      <c r="D6" s="211"/>
      <c r="G6" s="214" t="s">
        <v>26</v>
      </c>
      <c r="H6" s="217" t="s">
        <v>442</v>
      </c>
      <c r="M6" s="211"/>
      <c r="N6" s="211"/>
    </row>
    <row r="7" spans="1:14" ht="12" customHeight="1" x14ac:dyDescent="0.15">
      <c r="A7" s="211"/>
      <c r="B7" s="211"/>
      <c r="C7" s="211"/>
      <c r="F7" s="218"/>
      <c r="I7" s="219"/>
      <c r="J7" s="220"/>
      <c r="K7" s="220"/>
      <c r="L7" s="220"/>
      <c r="M7" s="211"/>
      <c r="N7" s="211"/>
    </row>
    <row r="8" spans="1:14" ht="9.75" customHeight="1" x14ac:dyDescent="0.15">
      <c r="A8" s="110"/>
      <c r="B8" s="211"/>
      <c r="C8" s="211"/>
      <c r="D8" s="211"/>
      <c r="E8" s="211"/>
      <c r="F8" s="211"/>
      <c r="G8" s="211"/>
      <c r="H8" s="211"/>
      <c r="I8" s="211"/>
      <c r="J8" s="211"/>
      <c r="K8" s="211"/>
      <c r="L8" s="211"/>
      <c r="M8" s="211"/>
      <c r="N8" s="211"/>
    </row>
    <row r="9" spans="1:14" ht="9.75" customHeight="1" x14ac:dyDescent="0.2">
      <c r="A9" s="110"/>
      <c r="B9" s="221"/>
      <c r="C9" s="221"/>
      <c r="D9" s="221"/>
      <c r="E9" s="221"/>
      <c r="F9" s="221"/>
      <c r="G9" s="221"/>
      <c r="H9" s="221"/>
      <c r="I9" s="221"/>
      <c r="J9" s="221"/>
      <c r="K9" s="221"/>
      <c r="L9" s="221"/>
      <c r="M9" s="211"/>
      <c r="N9" s="211"/>
    </row>
    <row r="10" spans="1:14" ht="9.75" customHeight="1" x14ac:dyDescent="0.15">
      <c r="A10" s="110"/>
      <c r="B10" s="211"/>
      <c r="C10" s="211"/>
      <c r="D10" s="211"/>
      <c r="E10" s="211"/>
      <c r="F10" s="211"/>
      <c r="G10" s="211"/>
      <c r="H10" s="211"/>
      <c r="I10" s="211"/>
      <c r="J10" s="211"/>
      <c r="K10" s="211"/>
      <c r="L10" s="211"/>
      <c r="M10" s="211"/>
      <c r="N10" s="211"/>
    </row>
    <row r="11" spans="1:14" ht="30" customHeight="1" x14ac:dyDescent="0.15">
      <c r="A11" s="110"/>
      <c r="B11" s="211"/>
      <c r="C11" s="211"/>
      <c r="D11" s="312" t="s">
        <v>439</v>
      </c>
      <c r="E11" s="312"/>
      <c r="F11" s="312"/>
      <c r="G11" s="312"/>
      <c r="H11" s="312"/>
      <c r="I11" s="312"/>
      <c r="J11" s="312"/>
      <c r="K11" s="312"/>
      <c r="L11" s="211"/>
      <c r="M11" s="211"/>
      <c r="N11" s="211"/>
    </row>
    <row r="12" spans="1:14" ht="30" customHeight="1" thickBot="1" x14ac:dyDescent="0.2">
      <c r="A12" s="110"/>
      <c r="B12" s="110"/>
      <c r="C12" s="110"/>
      <c r="D12" s="222" t="s">
        <v>473</v>
      </c>
      <c r="E12" s="223"/>
      <c r="F12" s="223"/>
      <c r="G12" s="223"/>
      <c r="H12" s="223"/>
      <c r="I12" s="223"/>
      <c r="J12" s="223"/>
      <c r="K12" s="223"/>
      <c r="L12" s="223"/>
      <c r="M12" s="110"/>
      <c r="N12" s="110"/>
    </row>
    <row r="13" spans="1:14" ht="12" customHeight="1" x14ac:dyDescent="0.15">
      <c r="A13" s="110"/>
      <c r="B13" s="110"/>
      <c r="C13" s="110"/>
      <c r="D13" s="110"/>
      <c r="E13" s="110"/>
      <c r="F13" s="110"/>
      <c r="G13" s="110"/>
      <c r="H13" s="110"/>
      <c r="I13" s="110"/>
      <c r="J13" s="110"/>
      <c r="K13" s="110"/>
      <c r="L13" s="110"/>
      <c r="M13" s="110"/>
      <c r="N13" s="110"/>
    </row>
    <row r="14" spans="1:14" ht="30" customHeight="1" x14ac:dyDescent="0.15">
      <c r="A14" s="110"/>
      <c r="B14" s="110"/>
      <c r="C14" s="110"/>
      <c r="D14" s="297" t="s">
        <v>480</v>
      </c>
      <c r="E14" s="298"/>
      <c r="F14" s="298"/>
      <c r="G14" s="298"/>
      <c r="H14" s="298"/>
      <c r="I14" s="298"/>
      <c r="J14" s="298"/>
      <c r="K14" s="110"/>
      <c r="L14" s="110"/>
      <c r="M14" s="110"/>
      <c r="N14" s="110"/>
    </row>
    <row r="15" spans="1:14" ht="30" customHeight="1" x14ac:dyDescent="0.15">
      <c r="A15" s="110"/>
      <c r="B15" s="110"/>
      <c r="C15" s="110"/>
      <c r="D15" s="299" t="s">
        <v>475</v>
      </c>
      <c r="E15" s="300"/>
      <c r="F15" s="300"/>
      <c r="G15" s="300"/>
      <c r="H15" s="300"/>
      <c r="I15" s="300"/>
      <c r="J15" s="300"/>
      <c r="K15" s="110"/>
      <c r="L15" s="110"/>
      <c r="M15" s="110"/>
      <c r="N15" s="110"/>
    </row>
    <row r="16" spans="1:14" ht="12" customHeight="1" x14ac:dyDescent="0.15">
      <c r="A16" s="110"/>
      <c r="B16" s="110"/>
      <c r="C16" s="110"/>
      <c r="D16" s="110"/>
      <c r="E16" s="110"/>
      <c r="F16" s="110"/>
      <c r="G16" s="110"/>
      <c r="H16" s="110"/>
      <c r="I16" s="110"/>
      <c r="J16" s="110"/>
      <c r="K16" s="110"/>
      <c r="L16" s="110"/>
      <c r="M16" s="110"/>
      <c r="N16" s="110"/>
    </row>
    <row r="17" spans="1:14" ht="19" thickBot="1" x14ac:dyDescent="0.2">
      <c r="A17" s="110"/>
      <c r="B17" s="110"/>
      <c r="C17" s="110"/>
      <c r="D17" s="283" t="s">
        <v>478</v>
      </c>
      <c r="E17" s="284"/>
      <c r="F17" s="284"/>
      <c r="G17" s="284"/>
      <c r="H17" s="285"/>
      <c r="I17" s="283" t="s">
        <v>313</v>
      </c>
      <c r="J17" s="284"/>
      <c r="K17" s="284"/>
      <c r="L17" s="284"/>
      <c r="M17" s="110"/>
      <c r="N17" s="110"/>
    </row>
    <row r="18" spans="1:14" thickTop="1" x14ac:dyDescent="0.2">
      <c r="A18" s="110"/>
      <c r="B18" s="110"/>
      <c r="C18" s="110"/>
      <c r="D18" s="288" t="s">
        <v>238</v>
      </c>
      <c r="E18" s="290" t="s">
        <v>3</v>
      </c>
      <c r="F18" s="286" t="s">
        <v>0</v>
      </c>
      <c r="G18" s="292"/>
      <c r="H18" s="293"/>
      <c r="I18" s="286" t="s">
        <v>1</v>
      </c>
      <c r="J18" s="287"/>
      <c r="K18" s="286" t="s">
        <v>1</v>
      </c>
      <c r="L18" s="287"/>
      <c r="M18" s="110"/>
      <c r="N18" s="110"/>
    </row>
    <row r="19" spans="1:14" ht="57" thickBot="1" x14ac:dyDescent="0.2">
      <c r="A19" s="110"/>
      <c r="B19" s="110"/>
      <c r="C19" s="110"/>
      <c r="D19" s="289"/>
      <c r="E19" s="291"/>
      <c r="F19" s="120" t="s">
        <v>328</v>
      </c>
      <c r="G19" s="120" t="s">
        <v>477</v>
      </c>
      <c r="H19" s="121" t="s">
        <v>314</v>
      </c>
      <c r="I19" s="120" t="s">
        <v>476</v>
      </c>
      <c r="J19" s="119" t="s">
        <v>312</v>
      </c>
      <c r="K19" s="120" t="s">
        <v>314</v>
      </c>
      <c r="L19" s="119" t="s">
        <v>316</v>
      </c>
      <c r="M19" s="110"/>
      <c r="N19" s="110"/>
    </row>
    <row r="20" spans="1:14" ht="14" thickTop="1" x14ac:dyDescent="0.15">
      <c r="A20" s="110"/>
      <c r="B20" s="224"/>
      <c r="C20" s="110"/>
      <c r="D20" s="225">
        <f>+Automakers!D73</f>
        <v>0</v>
      </c>
      <c r="E20" s="226">
        <f>+Automakers!D72</f>
        <v>0</v>
      </c>
      <c r="F20" s="129"/>
      <c r="G20" s="227" t="str">
        <f>+Automakers!D82</f>
        <v/>
      </c>
      <c r="H20" s="228" t="str">
        <f>+Automakers!D83</f>
        <v/>
      </c>
      <c r="I20" s="229" t="str">
        <f>+Automakers!F82</f>
        <v/>
      </c>
      <c r="J20" s="228" t="str">
        <f>+Automakers!H82</f>
        <v/>
      </c>
      <c r="K20" s="228" t="str">
        <f>+Automakers!F83</f>
        <v/>
      </c>
      <c r="L20" s="230" t="str">
        <f>+Automakers!H83</f>
        <v/>
      </c>
      <c r="M20" s="224" t="s">
        <v>318</v>
      </c>
      <c r="N20" s="110"/>
    </row>
    <row r="21" spans="1:14" ht="13" x14ac:dyDescent="0.15">
      <c r="A21" s="110"/>
      <c r="B21" s="110"/>
      <c r="C21" s="110"/>
      <c r="D21" s="110"/>
      <c r="E21" s="110"/>
      <c r="F21" s="231" t="s">
        <v>320</v>
      </c>
      <c r="G21" s="110"/>
      <c r="H21" s="110"/>
      <c r="I21" s="110"/>
      <c r="J21" s="110"/>
      <c r="K21" s="110"/>
      <c r="L21" s="110"/>
      <c r="M21" s="110"/>
      <c r="N21" s="110"/>
    </row>
    <row r="22" spans="1:14" ht="13" x14ac:dyDescent="0.15">
      <c r="A22" s="110"/>
      <c r="B22" s="110"/>
      <c r="C22" s="110"/>
      <c r="D22" s="110"/>
      <c r="E22" s="110"/>
      <c r="F22" s="110"/>
      <c r="G22" s="110"/>
      <c r="H22" s="110"/>
      <c r="I22" s="110"/>
      <c r="J22" s="110"/>
      <c r="K22" s="110"/>
      <c r="L22" s="110"/>
      <c r="M22" s="110"/>
      <c r="N22" s="110"/>
    </row>
    <row r="23" spans="1:14" ht="19" thickBot="1" x14ac:dyDescent="0.2">
      <c r="A23" s="110"/>
      <c r="B23" s="110"/>
      <c r="C23" s="110"/>
      <c r="D23" s="281" t="s">
        <v>479</v>
      </c>
      <c r="E23" s="282"/>
      <c r="F23" s="282"/>
      <c r="G23" s="282"/>
      <c r="H23" s="307"/>
      <c r="I23" s="281" t="s">
        <v>313</v>
      </c>
      <c r="J23" s="282"/>
      <c r="K23" s="282"/>
      <c r="L23" s="282"/>
      <c r="M23" s="110"/>
      <c r="N23" s="110"/>
    </row>
    <row r="24" spans="1:14" thickTop="1" x14ac:dyDescent="0.2">
      <c r="A24" s="110"/>
      <c r="B24" s="110"/>
      <c r="C24" s="110"/>
      <c r="D24" s="308" t="s">
        <v>238</v>
      </c>
      <c r="E24" s="310" t="s">
        <v>3</v>
      </c>
      <c r="F24" s="303" t="s">
        <v>0</v>
      </c>
      <c r="G24" s="305"/>
      <c r="H24" s="306"/>
      <c r="I24" s="303" t="s">
        <v>1</v>
      </c>
      <c r="J24" s="304"/>
      <c r="K24" s="303" t="s">
        <v>1</v>
      </c>
      <c r="L24" s="304"/>
      <c r="M24" s="110"/>
      <c r="N24" s="110"/>
    </row>
    <row r="25" spans="1:14" ht="57" thickBot="1" x14ac:dyDescent="0.2">
      <c r="A25" s="110"/>
      <c r="B25" s="110"/>
      <c r="C25" s="110"/>
      <c r="D25" s="309"/>
      <c r="E25" s="311"/>
      <c r="F25" s="127" t="s">
        <v>328</v>
      </c>
      <c r="G25" s="127" t="s">
        <v>477</v>
      </c>
      <c r="H25" s="128" t="s">
        <v>314</v>
      </c>
      <c r="I25" s="127" t="s">
        <v>477</v>
      </c>
      <c r="J25" s="126" t="s">
        <v>312</v>
      </c>
      <c r="K25" s="127" t="s">
        <v>314</v>
      </c>
      <c r="L25" s="126" t="s">
        <v>316</v>
      </c>
      <c r="M25" s="110"/>
      <c r="N25" s="110"/>
    </row>
    <row r="26" spans="1:14" ht="30" customHeight="1" thickTop="1" thickBot="1" x14ac:dyDescent="0.2">
      <c r="A26" s="111"/>
      <c r="B26" s="112">
        <v>1</v>
      </c>
      <c r="C26" s="110"/>
      <c r="D26" s="130" t="s">
        <v>236</v>
      </c>
      <c r="E26" s="130" t="s">
        <v>234</v>
      </c>
      <c r="F26" s="131">
        <v>100000</v>
      </c>
      <c r="G26" s="132">
        <v>220</v>
      </c>
      <c r="H26" s="133">
        <v>0.02</v>
      </c>
      <c r="I26" s="132">
        <v>31.92</v>
      </c>
      <c r="J26" s="133">
        <v>0.85499999999999998</v>
      </c>
      <c r="K26" s="133">
        <v>0.47399999999999998</v>
      </c>
      <c r="L26" s="133">
        <v>22.7</v>
      </c>
      <c r="M26" s="224" t="s">
        <v>319</v>
      </c>
      <c r="N26" s="111"/>
    </row>
    <row r="27" spans="1:14" ht="30" customHeight="1" thickTop="1" thickBot="1" x14ac:dyDescent="0.2">
      <c r="A27" s="111"/>
      <c r="B27" s="112">
        <v>2</v>
      </c>
      <c r="C27" s="110"/>
      <c r="D27" s="130" t="s">
        <v>235</v>
      </c>
      <c r="E27" s="130" t="s">
        <v>336</v>
      </c>
      <c r="F27" s="134">
        <v>200000</v>
      </c>
      <c r="G27" s="135">
        <v>220</v>
      </c>
      <c r="H27" s="133">
        <v>0.02</v>
      </c>
      <c r="I27" s="135">
        <v>28.397932552524583</v>
      </c>
      <c r="J27" s="133">
        <v>0.871</v>
      </c>
      <c r="K27" s="133">
        <v>0.94299999999999995</v>
      </c>
      <c r="L27" s="133">
        <v>46.15</v>
      </c>
      <c r="M27" s="111"/>
      <c r="N27" s="111"/>
    </row>
    <row r="28" spans="1:14" ht="30" customHeight="1" thickTop="1" thickBot="1" x14ac:dyDescent="0.2">
      <c r="A28" s="111"/>
      <c r="B28" s="112">
        <v>3</v>
      </c>
      <c r="C28" s="110"/>
      <c r="D28" s="130"/>
      <c r="E28" s="130"/>
      <c r="F28" s="134"/>
      <c r="G28" s="134"/>
      <c r="H28" s="133"/>
      <c r="I28" s="135"/>
      <c r="J28" s="133"/>
      <c r="K28" s="133"/>
      <c r="L28" s="133"/>
      <c r="M28" s="111"/>
      <c r="N28" s="111"/>
    </row>
    <row r="29" spans="1:14" ht="30" customHeight="1" thickTop="1" thickBot="1" x14ac:dyDescent="0.2">
      <c r="A29" s="111"/>
      <c r="B29" s="112">
        <v>4</v>
      </c>
      <c r="C29" s="110"/>
      <c r="D29" s="130"/>
      <c r="E29" s="130"/>
      <c r="F29" s="134"/>
      <c r="G29" s="134"/>
      <c r="H29" s="133"/>
      <c r="I29" s="135"/>
      <c r="J29" s="133"/>
      <c r="K29" s="133"/>
      <c r="L29" s="133"/>
      <c r="M29" s="111"/>
      <c r="N29" s="111"/>
    </row>
    <row r="30" spans="1:14" thickTop="1" thickBot="1" x14ac:dyDescent="0.2">
      <c r="A30" s="110"/>
      <c r="B30" s="110"/>
      <c r="C30" s="110"/>
      <c r="D30" s="110"/>
      <c r="E30" s="110"/>
      <c r="F30" s="113"/>
      <c r="G30" s="113"/>
      <c r="H30" s="113"/>
      <c r="I30" s="124"/>
      <c r="J30" s="110"/>
      <c r="K30" s="110"/>
      <c r="L30" s="110"/>
      <c r="M30" s="110"/>
      <c r="N30" s="110"/>
    </row>
    <row r="31" spans="1:14" ht="18" thickTop="1" thickBot="1" x14ac:dyDescent="0.2">
      <c r="A31" s="110"/>
      <c r="B31" s="110"/>
      <c r="C31" s="110"/>
      <c r="D31" s="110"/>
      <c r="E31" s="118" t="str">
        <f>CONCATENATE("Aggregated target | LDVs")</f>
        <v>Aggregated target | LDVs</v>
      </c>
      <c r="F31" s="114">
        <f>+SUMIF(F26:F29,"&gt;0",F26:F29)</f>
        <v>300000</v>
      </c>
      <c r="G31" s="114">
        <f>+IF(F31&lt;&gt;0,SUMPRODUCT(G26:G29,$F26:$F29)/SUM($F26:$F29),"")</f>
        <v>220</v>
      </c>
      <c r="H31" s="123">
        <f>+IF(F31&lt;&gt;0,SUMPRODUCT(H26:H29,$F26:$F29)/SUM($F26:$F29),"")</f>
        <v>0.02</v>
      </c>
      <c r="I31" s="116">
        <f>+IF(F31&lt;&gt;0,SUMPRODUCT(I26:I29,$F26:$F29)/SUM($F26:$F29),"")</f>
        <v>29.571955035016387</v>
      </c>
      <c r="J31" s="115">
        <f>IFERROR((G31-I31)/G31,"")</f>
        <v>0.86558202256810723</v>
      </c>
      <c r="K31" s="125">
        <f>+IF(F31&lt;&gt;0,SUMPRODUCT(K26:K29,$F26:$F29)/SUM($F26:$F29),"")</f>
        <v>0.78666666666666663</v>
      </c>
      <c r="L31" s="122">
        <f>IFERROR(K31/H31-1,"")</f>
        <v>38.333333333333329</v>
      </c>
      <c r="M31" s="110"/>
      <c r="N31" s="110"/>
    </row>
    <row r="32" spans="1:14" ht="12" customHeight="1" thickTop="1" x14ac:dyDescent="0.15">
      <c r="A32" s="110"/>
      <c r="B32" s="110"/>
      <c r="C32" s="110"/>
      <c r="D32" s="110"/>
      <c r="E32" s="110"/>
      <c r="F32" s="110"/>
      <c r="G32" s="110"/>
      <c r="H32" s="110"/>
      <c r="I32" s="110"/>
      <c r="J32" s="110"/>
      <c r="K32" s="110"/>
      <c r="L32" s="110"/>
      <c r="M32" s="110"/>
      <c r="N32" s="110"/>
    </row>
    <row r="33" spans="1:14" ht="30" customHeight="1" thickBot="1" x14ac:dyDescent="0.2">
      <c r="A33" s="110"/>
      <c r="B33" s="110"/>
      <c r="C33" s="110"/>
      <c r="D33" s="232"/>
      <c r="E33" s="232"/>
      <c r="F33" s="233" t="str">
        <f>CONCATENATE("Aggregated GHG emission intensity target formulation | LDVs")</f>
        <v>Aggregated GHG emission intensity target formulation | LDVs</v>
      </c>
      <c r="G33" s="294"/>
      <c r="H33" s="295"/>
      <c r="I33" s="295"/>
      <c r="J33" s="295"/>
      <c r="K33" s="295"/>
      <c r="L33" s="296"/>
      <c r="M33" s="110"/>
      <c r="N33" s="110"/>
    </row>
    <row r="34" spans="1:14" ht="30" customHeight="1" thickTop="1" thickBot="1" x14ac:dyDescent="0.2">
      <c r="A34" s="110"/>
      <c r="B34" s="110"/>
      <c r="C34" s="110"/>
      <c r="D34" s="234"/>
      <c r="E34" s="234"/>
      <c r="F34" s="235" t="str">
        <f>CONCATENATE("Aggregated low-emission vehicle sales share target formulation | LDVs")</f>
        <v>Aggregated low-emission vehicle sales share target formulation | LDVs</v>
      </c>
      <c r="G34" s="294"/>
      <c r="H34" s="295"/>
      <c r="I34" s="295"/>
      <c r="J34" s="295"/>
      <c r="K34" s="295"/>
      <c r="L34" s="296"/>
      <c r="M34" s="110"/>
      <c r="N34" s="110"/>
    </row>
    <row r="35" spans="1:14" ht="12" customHeight="1" thickTop="1" x14ac:dyDescent="0.2">
      <c r="A35" s="110"/>
      <c r="B35" s="221"/>
      <c r="C35" s="221"/>
      <c r="D35" s="221"/>
      <c r="E35" s="221"/>
      <c r="F35" s="221"/>
      <c r="G35" s="221"/>
      <c r="H35" s="221"/>
      <c r="I35" s="221"/>
      <c r="J35" s="221"/>
      <c r="K35" s="221"/>
      <c r="L35" s="221"/>
      <c r="M35" s="110"/>
      <c r="N35" s="110"/>
    </row>
    <row r="36" spans="1:14" ht="12" customHeight="1" x14ac:dyDescent="0.15">
      <c r="A36" s="110"/>
      <c r="B36" s="110"/>
      <c r="C36" s="110"/>
      <c r="D36" s="110"/>
      <c r="E36" s="207"/>
      <c r="F36" s="207"/>
      <c r="G36" s="207"/>
      <c r="H36" s="207"/>
      <c r="I36" s="207"/>
      <c r="J36" s="207"/>
      <c r="K36" s="207"/>
      <c r="L36" s="207"/>
      <c r="M36" s="207"/>
      <c r="N36" s="110"/>
    </row>
    <row r="37" spans="1:14" ht="30" customHeight="1" thickBot="1" x14ac:dyDescent="0.2">
      <c r="A37" s="110"/>
      <c r="B37" s="110"/>
      <c r="C37" s="110"/>
      <c r="D37" s="222" t="s">
        <v>474</v>
      </c>
      <c r="E37" s="223"/>
      <c r="F37" s="223"/>
      <c r="G37" s="223"/>
      <c r="H37" s="223"/>
      <c r="I37" s="223"/>
      <c r="J37" s="223"/>
      <c r="K37" s="223"/>
      <c r="L37" s="223"/>
      <c r="M37" s="110"/>
      <c r="N37" s="110"/>
    </row>
    <row r="38" spans="1:14" ht="12" customHeight="1" x14ac:dyDescent="0.15">
      <c r="A38" s="110"/>
      <c r="B38" s="110"/>
      <c r="C38" s="110"/>
      <c r="D38" s="110"/>
      <c r="E38" s="110"/>
      <c r="F38" s="110"/>
      <c r="G38" s="110"/>
      <c r="H38" s="110"/>
      <c r="I38" s="110"/>
      <c r="J38" s="110"/>
      <c r="K38" s="110"/>
      <c r="L38" s="110"/>
      <c r="M38" s="110"/>
      <c r="N38" s="110"/>
    </row>
    <row r="39" spans="1:14" ht="30" customHeight="1" x14ac:dyDescent="0.15">
      <c r="A39" s="110"/>
      <c r="B39" s="110"/>
      <c r="C39" s="110"/>
      <c r="D39" s="297" t="s">
        <v>481</v>
      </c>
      <c r="E39" s="298"/>
      <c r="F39" s="298"/>
      <c r="G39" s="298"/>
      <c r="H39" s="298"/>
      <c r="I39" s="298"/>
      <c r="J39" s="298"/>
      <c r="K39" s="110"/>
      <c r="L39" s="110"/>
      <c r="M39" s="110"/>
      <c r="N39" s="110"/>
    </row>
    <row r="40" spans="1:14" ht="30" customHeight="1" x14ac:dyDescent="0.15">
      <c r="A40" s="110"/>
      <c r="B40" s="110"/>
      <c r="C40" s="110"/>
      <c r="D40" s="299" t="s">
        <v>475</v>
      </c>
      <c r="E40" s="300"/>
      <c r="F40" s="300"/>
      <c r="G40" s="300"/>
      <c r="H40" s="300"/>
      <c r="I40" s="300"/>
      <c r="J40" s="300"/>
      <c r="K40" s="110"/>
      <c r="L40" s="110"/>
      <c r="M40" s="110"/>
      <c r="N40" s="110"/>
    </row>
    <row r="41" spans="1:14" ht="26.5" customHeight="1" x14ac:dyDescent="0.15">
      <c r="A41" s="110"/>
      <c r="B41" s="110"/>
      <c r="C41" s="110"/>
      <c r="D41" s="301" t="s">
        <v>350</v>
      </c>
      <c r="E41" s="302"/>
      <c r="F41" s="302"/>
      <c r="G41" s="302"/>
      <c r="H41" s="302"/>
      <c r="I41" s="302"/>
      <c r="J41" s="302"/>
      <c r="K41" s="302"/>
      <c r="L41" s="302"/>
      <c r="M41" s="110"/>
      <c r="N41" s="110"/>
    </row>
    <row r="42" spans="1:14" ht="12" customHeight="1" x14ac:dyDescent="0.15">
      <c r="A42" s="110"/>
      <c r="B42" s="110"/>
      <c r="C42" s="110"/>
      <c r="D42" s="110"/>
      <c r="E42" s="110"/>
      <c r="F42" s="110"/>
      <c r="G42" s="110"/>
      <c r="H42" s="110"/>
      <c r="I42" s="110"/>
      <c r="J42" s="110"/>
      <c r="K42" s="110"/>
      <c r="L42" s="110"/>
      <c r="M42" s="110"/>
      <c r="N42" s="110"/>
    </row>
    <row r="43" spans="1:14" ht="19" thickBot="1" x14ac:dyDescent="0.2">
      <c r="A43" s="110"/>
      <c r="B43" s="110"/>
      <c r="C43" s="110"/>
      <c r="D43" s="283" t="s">
        <v>482</v>
      </c>
      <c r="E43" s="284"/>
      <c r="F43" s="284"/>
      <c r="G43" s="284"/>
      <c r="H43" s="285"/>
      <c r="I43" s="283" t="s">
        <v>313</v>
      </c>
      <c r="J43" s="284"/>
      <c r="K43" s="284"/>
      <c r="L43" s="284"/>
      <c r="M43" s="110"/>
      <c r="N43" s="110"/>
    </row>
    <row r="44" spans="1:14" thickTop="1" x14ac:dyDescent="0.2">
      <c r="A44" s="110"/>
      <c r="B44" s="110"/>
      <c r="C44" s="110"/>
      <c r="D44" s="288" t="s">
        <v>321</v>
      </c>
      <c r="E44" s="290" t="s">
        <v>3</v>
      </c>
      <c r="F44" s="286" t="s">
        <v>0</v>
      </c>
      <c r="G44" s="292"/>
      <c r="H44" s="293"/>
      <c r="I44" s="286" t="s">
        <v>1</v>
      </c>
      <c r="J44" s="287"/>
      <c r="K44" s="286" t="s">
        <v>1</v>
      </c>
      <c r="L44" s="287"/>
      <c r="M44" s="110"/>
      <c r="N44" s="110"/>
    </row>
    <row r="45" spans="1:14" ht="57" thickBot="1" x14ac:dyDescent="0.2">
      <c r="A45" s="110"/>
      <c r="B45" s="110"/>
      <c r="C45" s="110"/>
      <c r="D45" s="289"/>
      <c r="E45" s="291"/>
      <c r="F45" s="120" t="s">
        <v>329</v>
      </c>
      <c r="G45" s="121" t="s">
        <v>315</v>
      </c>
      <c r="H45" s="121" t="s">
        <v>314</v>
      </c>
      <c r="I45" s="120" t="s">
        <v>476</v>
      </c>
      <c r="J45" s="119" t="s">
        <v>312</v>
      </c>
      <c r="K45" s="120" t="s">
        <v>314</v>
      </c>
      <c r="L45" s="119" t="s">
        <v>316</v>
      </c>
      <c r="M45" s="110"/>
      <c r="N45" s="110"/>
    </row>
    <row r="46" spans="1:14" ht="14" thickTop="1" x14ac:dyDescent="0.15">
      <c r="A46" s="110"/>
      <c r="B46" s="110"/>
      <c r="C46" s="110"/>
      <c r="D46" s="225">
        <f>+Automakers!D113</f>
        <v>0</v>
      </c>
      <c r="E46" s="226">
        <f>+Automakers!D112</f>
        <v>0</v>
      </c>
      <c r="F46" s="129"/>
      <c r="G46" s="227" t="str">
        <f>+Automakers!D122</f>
        <v/>
      </c>
      <c r="H46" s="228" t="str">
        <f>+Automakers!D123</f>
        <v/>
      </c>
      <c r="I46" s="229" t="str">
        <f>+Automakers!F122</f>
        <v/>
      </c>
      <c r="J46" s="228" t="str">
        <f>+Automakers!H122</f>
        <v/>
      </c>
      <c r="K46" s="228" t="str">
        <f>+Automakers!F123</f>
        <v/>
      </c>
      <c r="L46" s="230" t="str">
        <f>+Automakers!H123</f>
        <v/>
      </c>
      <c r="M46" s="224" t="s">
        <v>318</v>
      </c>
      <c r="N46" s="110"/>
    </row>
    <row r="47" spans="1:14" ht="13" x14ac:dyDescent="0.15">
      <c r="A47" s="110"/>
      <c r="B47" s="110"/>
      <c r="C47" s="110"/>
      <c r="D47" s="110"/>
      <c r="E47" s="110"/>
      <c r="F47" s="224" t="s">
        <v>320</v>
      </c>
      <c r="G47" s="110"/>
      <c r="H47" s="110"/>
      <c r="I47" s="110"/>
      <c r="J47" s="110"/>
      <c r="K47" s="110"/>
      <c r="L47" s="110"/>
      <c r="M47" s="110"/>
      <c r="N47" s="110"/>
    </row>
    <row r="48" spans="1:14" ht="12" customHeight="1" x14ac:dyDescent="0.15">
      <c r="A48" s="110"/>
      <c r="B48" s="110"/>
      <c r="C48" s="110"/>
      <c r="D48" s="110"/>
      <c r="E48" s="110"/>
      <c r="F48" s="110"/>
      <c r="G48" s="110"/>
      <c r="H48" s="110"/>
      <c r="I48" s="110"/>
      <c r="J48" s="110"/>
      <c r="K48" s="110"/>
      <c r="L48" s="110"/>
      <c r="M48" s="110"/>
      <c r="N48" s="110"/>
    </row>
    <row r="49" spans="1:14" ht="19" thickBot="1" x14ac:dyDescent="0.2">
      <c r="A49" s="110"/>
      <c r="B49" s="110"/>
      <c r="C49" s="110"/>
      <c r="D49" s="281" t="s">
        <v>483</v>
      </c>
      <c r="E49" s="282"/>
      <c r="F49" s="282"/>
      <c r="G49" s="282"/>
      <c r="H49" s="307"/>
      <c r="I49" s="281" t="s">
        <v>313</v>
      </c>
      <c r="J49" s="282"/>
      <c r="K49" s="282"/>
      <c r="L49" s="282"/>
      <c r="M49" s="110"/>
      <c r="N49" s="110"/>
    </row>
    <row r="50" spans="1:14" ht="14.5" customHeight="1" thickTop="1" x14ac:dyDescent="0.2">
      <c r="A50" s="110"/>
      <c r="B50" s="110"/>
      <c r="C50" s="110"/>
      <c r="D50" s="308" t="s">
        <v>322</v>
      </c>
      <c r="E50" s="310" t="s">
        <v>3</v>
      </c>
      <c r="F50" s="303" t="s">
        <v>0</v>
      </c>
      <c r="G50" s="305"/>
      <c r="H50" s="306"/>
      <c r="I50" s="303" t="s">
        <v>1</v>
      </c>
      <c r="J50" s="304"/>
      <c r="K50" s="303" t="s">
        <v>1</v>
      </c>
      <c r="L50" s="304"/>
      <c r="M50" s="110"/>
      <c r="N50" s="110"/>
    </row>
    <row r="51" spans="1:14" ht="57" thickBot="1" x14ac:dyDescent="0.2">
      <c r="A51" s="110"/>
      <c r="B51" s="110"/>
      <c r="C51" s="110"/>
      <c r="D51" s="309"/>
      <c r="E51" s="311"/>
      <c r="F51" s="127" t="s">
        <v>328</v>
      </c>
      <c r="G51" s="127" t="s">
        <v>477</v>
      </c>
      <c r="H51" s="128" t="s">
        <v>314</v>
      </c>
      <c r="I51" s="127" t="s">
        <v>477</v>
      </c>
      <c r="J51" s="126" t="s">
        <v>312</v>
      </c>
      <c r="K51" s="127" t="s">
        <v>314</v>
      </c>
      <c r="L51" s="126" t="s">
        <v>317</v>
      </c>
      <c r="M51" s="110"/>
      <c r="N51" s="110"/>
    </row>
    <row r="52" spans="1:14" ht="30" customHeight="1" thickTop="1" thickBot="1" x14ac:dyDescent="0.2">
      <c r="A52" s="110"/>
      <c r="B52" s="112">
        <v>1</v>
      </c>
      <c r="C52" s="110"/>
      <c r="D52" s="130"/>
      <c r="E52" s="130"/>
      <c r="F52" s="131"/>
      <c r="G52" s="131"/>
      <c r="H52" s="133"/>
      <c r="I52" s="131"/>
      <c r="J52" s="136"/>
      <c r="K52" s="136"/>
      <c r="L52" s="136"/>
      <c r="M52" s="224" t="s">
        <v>319</v>
      </c>
      <c r="N52" s="110"/>
    </row>
    <row r="53" spans="1:14" ht="30" customHeight="1" thickTop="1" thickBot="1" x14ac:dyDescent="0.2">
      <c r="A53" s="110"/>
      <c r="B53" s="112">
        <v>2</v>
      </c>
      <c r="C53" s="110"/>
      <c r="D53" s="130"/>
      <c r="E53" s="130"/>
      <c r="F53" s="134"/>
      <c r="G53" s="134"/>
      <c r="H53" s="137"/>
      <c r="I53" s="134"/>
      <c r="J53" s="138"/>
      <c r="K53" s="138"/>
      <c r="L53" s="138"/>
      <c r="M53" s="110"/>
      <c r="N53" s="110"/>
    </row>
    <row r="54" spans="1:14" ht="30" customHeight="1" thickTop="1" thickBot="1" x14ac:dyDescent="0.2">
      <c r="A54" s="110"/>
      <c r="B54" s="112">
        <v>3</v>
      </c>
      <c r="C54" s="110"/>
      <c r="D54" s="130"/>
      <c r="E54" s="130"/>
      <c r="F54" s="134"/>
      <c r="G54" s="134"/>
      <c r="H54" s="137"/>
      <c r="I54" s="134"/>
      <c r="J54" s="138"/>
      <c r="K54" s="138"/>
      <c r="L54" s="138"/>
      <c r="M54" s="110"/>
      <c r="N54" s="110"/>
    </row>
    <row r="55" spans="1:14" ht="30" customHeight="1" thickTop="1" thickBot="1" x14ac:dyDescent="0.2">
      <c r="A55" s="110"/>
      <c r="B55" s="112">
        <v>4</v>
      </c>
      <c r="C55" s="110"/>
      <c r="D55" s="130"/>
      <c r="E55" s="130"/>
      <c r="F55" s="134"/>
      <c r="G55" s="134"/>
      <c r="H55" s="137"/>
      <c r="I55" s="134"/>
      <c r="J55" s="138"/>
      <c r="K55" s="138"/>
      <c r="L55" s="138"/>
      <c r="M55" s="110"/>
      <c r="N55" s="110"/>
    </row>
    <row r="56" spans="1:14" thickTop="1" thickBot="1" x14ac:dyDescent="0.2">
      <c r="A56" s="110"/>
      <c r="B56" s="110"/>
      <c r="C56" s="110"/>
      <c r="D56" s="110"/>
      <c r="E56" s="110"/>
      <c r="F56" s="113"/>
      <c r="G56" s="113"/>
      <c r="H56" s="113"/>
      <c r="I56" s="110"/>
      <c r="J56" s="110"/>
      <c r="K56" s="110"/>
      <c r="L56" s="110"/>
      <c r="M56" s="110"/>
      <c r="N56" s="110"/>
    </row>
    <row r="57" spans="1:14" ht="18" thickTop="1" thickBot="1" x14ac:dyDescent="0.2">
      <c r="A57" s="110"/>
      <c r="B57" s="110"/>
      <c r="C57" s="110"/>
      <c r="D57" s="110"/>
      <c r="E57" s="118" t="str">
        <f>CONCATENATE("Aggregated target | "&amp;D52)</f>
        <v xml:space="preserve">Aggregated target | </v>
      </c>
      <c r="F57" s="114">
        <f>+SUMIF(F52:F55,"&gt;0",F52:F55)</f>
        <v>0</v>
      </c>
      <c r="G57" s="114" t="str">
        <f>+IF(F57&lt;&gt;0,SUMPRODUCT(G52:G55,$F52:$F55)/SUM($F52:$F55),"")</f>
        <v/>
      </c>
      <c r="H57" s="125" t="str">
        <f>+IF(F57&lt;&gt;0,SUMPRODUCT(H55:H55,$F55:$F55)/SUM($F55:$F55),"")</f>
        <v/>
      </c>
      <c r="I57" s="114" t="str">
        <f>+IF(F57&lt;&gt;0,SUMPRODUCT(I52:I55,$F52:$F55)/SUM($F52:$F55),"")</f>
        <v/>
      </c>
      <c r="J57" s="115" t="str">
        <f>IFERROR((G57-I57)/G57,"")</f>
        <v/>
      </c>
      <c r="K57" s="125" t="str">
        <f>+IF(F57&lt;&gt;0,SUMPRODUCT(K52:K55,$F52:$F55)/SUM($F52:$F55),"")</f>
        <v/>
      </c>
      <c r="L57" s="115" t="str">
        <f>IFERROR(K57/H57-1,"")</f>
        <v/>
      </c>
      <c r="M57" s="110"/>
      <c r="N57" s="110"/>
    </row>
    <row r="58" spans="1:14" thickTop="1" thickBot="1" x14ac:dyDescent="0.2">
      <c r="A58" s="110"/>
      <c r="B58" s="110"/>
      <c r="C58" s="110"/>
      <c r="D58" s="110"/>
      <c r="E58" s="110"/>
      <c r="F58" s="110"/>
      <c r="G58" s="110"/>
      <c r="H58" s="110"/>
      <c r="I58" s="110"/>
      <c r="J58" s="110"/>
      <c r="K58" s="110"/>
      <c r="L58" s="110"/>
      <c r="M58" s="110"/>
      <c r="N58" s="110"/>
    </row>
    <row r="59" spans="1:14" ht="30" customHeight="1" thickTop="1" thickBot="1" x14ac:dyDescent="0.2">
      <c r="A59" s="110"/>
      <c r="B59" s="110"/>
      <c r="C59" s="110"/>
      <c r="D59" s="236"/>
      <c r="E59" s="234"/>
      <c r="F59" s="233" t="str">
        <f>CONCATENATE("Aggregated GHG emission intensity target formulation | Non LDVs")</f>
        <v>Aggregated GHG emission intensity target formulation | Non LDVs</v>
      </c>
      <c r="G59" s="294" t="e">
        <f>IF(OR(ISBLANK(G57),ISBLANK(I57)),"Enter data in table",Automakers!$D$71&amp;" commits to reduce the average scope 1, scope 2 and scope 3 category 1, category 11 and category 12 aggregated GHG emission intensity covering all sold "&amp;D52&amp;" across all countries by "&amp;(ROUNDUP(TRUNC(J57,4),3)*100)&amp;"%"&amp;" by "&amp;Automakers!D27&amp;" relative to "&amp;Automakers!D28)</f>
        <v>#VALUE!</v>
      </c>
      <c r="H59" s="295"/>
      <c r="I59" s="295"/>
      <c r="J59" s="295"/>
      <c r="K59" s="295"/>
      <c r="L59" s="296"/>
      <c r="M59" s="110"/>
      <c r="N59" s="110"/>
    </row>
    <row r="60" spans="1:14" ht="30" customHeight="1" thickTop="1" thickBot="1" x14ac:dyDescent="0.2">
      <c r="A60" s="110"/>
      <c r="B60" s="110"/>
      <c r="C60" s="110"/>
      <c r="D60" s="236"/>
      <c r="E60" s="234"/>
      <c r="F60" s="235" t="str">
        <f>CONCATENATE("Aggregated low-emission vehicle sales share target formulation | Non LDVs")</f>
        <v>Aggregated low-emission vehicle sales share target formulation | Non LDVs</v>
      </c>
      <c r="G60" s="294" t="e">
        <f>IF(OR(ISBLANK(G57),ISBLANK(I57)),"Enter data in table",Automakers!$D$71&amp;" commits to increase the sales share of its low-emission "&amp;D52&amp;" sold across all countries by "&amp;(ROUNDUP(TRUNC(K57,4),3)*100)&amp;"%"&amp;" by "&amp;Automakers!D27&amp;" relative to "&amp;Automakers!D28)</f>
        <v>#VALUE!</v>
      </c>
      <c r="H60" s="295"/>
      <c r="I60" s="295"/>
      <c r="J60" s="295"/>
      <c r="K60" s="295"/>
      <c r="L60" s="296"/>
      <c r="M60" s="110"/>
      <c r="N60" s="110"/>
    </row>
    <row r="61" spans="1:14" ht="12" customHeight="1" thickTop="1" x14ac:dyDescent="0.15">
      <c r="A61" s="110"/>
      <c r="B61" s="110"/>
      <c r="C61" s="110"/>
      <c r="D61" s="110"/>
      <c r="E61" s="110"/>
      <c r="F61" s="110"/>
      <c r="G61" s="110"/>
      <c r="H61" s="110"/>
      <c r="I61" s="110"/>
      <c r="J61" s="110"/>
      <c r="K61" s="110"/>
      <c r="L61" s="110"/>
      <c r="M61" s="110"/>
      <c r="N61" s="110"/>
    </row>
    <row r="62" spans="1:14" ht="12" customHeight="1" x14ac:dyDescent="0.15">
      <c r="A62" s="110"/>
      <c r="B62" s="110"/>
      <c r="C62" s="110"/>
      <c r="D62" s="110"/>
      <c r="E62" s="110"/>
      <c r="F62" s="110"/>
      <c r="G62" s="110"/>
      <c r="H62" s="110"/>
      <c r="I62" s="110"/>
      <c r="J62" s="110"/>
      <c r="K62" s="110"/>
      <c r="L62" s="110"/>
      <c r="M62" s="110"/>
      <c r="N62" s="110"/>
    </row>
    <row r="63" spans="1:14" ht="12" customHeight="1" x14ac:dyDescent="0.15">
      <c r="A63" s="110"/>
      <c r="B63" s="110"/>
      <c r="C63" s="110"/>
      <c r="D63" s="110"/>
      <c r="E63" s="110"/>
      <c r="F63" s="110"/>
      <c r="G63" s="110"/>
      <c r="H63" s="110"/>
      <c r="I63" s="110"/>
      <c r="J63" s="110"/>
      <c r="K63" s="110"/>
      <c r="L63" s="110"/>
      <c r="M63" s="110"/>
      <c r="N63" s="110"/>
    </row>
    <row r="64" spans="1:14" ht="12" customHeight="1" x14ac:dyDescent="0.15">
      <c r="A64" s="110"/>
      <c r="B64" s="110"/>
      <c r="C64" s="110"/>
      <c r="D64" s="110"/>
      <c r="E64" s="110"/>
      <c r="F64" s="110"/>
      <c r="G64" s="110"/>
      <c r="H64" s="110"/>
      <c r="I64" s="110"/>
      <c r="J64" s="110"/>
      <c r="K64" s="110"/>
      <c r="L64" s="110"/>
      <c r="M64" s="110"/>
      <c r="N64" s="110"/>
    </row>
    <row r="65" spans="1:14" ht="12" customHeight="1" x14ac:dyDescent="0.15">
      <c r="A65" s="110"/>
      <c r="B65" s="110"/>
      <c r="C65" s="110"/>
      <c r="D65" s="110"/>
      <c r="E65" s="110"/>
      <c r="F65" s="110"/>
      <c r="G65" s="110"/>
      <c r="H65" s="110"/>
      <c r="I65" s="110"/>
      <c r="J65" s="110"/>
      <c r="K65" s="110"/>
      <c r="L65" s="110"/>
      <c r="M65" s="110"/>
      <c r="N65" s="110"/>
    </row>
    <row r="66" spans="1:14" ht="12" customHeight="1" x14ac:dyDescent="0.15">
      <c r="A66" s="110"/>
      <c r="B66" s="110"/>
      <c r="C66" s="110"/>
      <c r="D66" s="110"/>
      <c r="E66" s="110"/>
      <c r="F66" s="110"/>
      <c r="G66" s="110"/>
      <c r="H66" s="110"/>
      <c r="I66" s="110"/>
      <c r="J66" s="110"/>
      <c r="K66" s="110"/>
      <c r="L66" s="110"/>
      <c r="M66" s="110"/>
      <c r="N66" s="110"/>
    </row>
    <row r="67" spans="1:14" ht="12" customHeight="1" x14ac:dyDescent="0.15">
      <c r="A67" s="110"/>
      <c r="B67" s="110"/>
      <c r="C67" s="110"/>
      <c r="D67" s="110"/>
      <c r="E67" s="110"/>
      <c r="F67" s="110"/>
      <c r="G67" s="110"/>
      <c r="H67" s="110"/>
      <c r="I67" s="110"/>
      <c r="J67" s="110"/>
      <c r="K67" s="110"/>
      <c r="L67" s="110"/>
      <c r="M67" s="110"/>
      <c r="N67" s="110"/>
    </row>
    <row r="68" spans="1:14" ht="12" customHeight="1" x14ac:dyDescent="0.15">
      <c r="A68" s="110"/>
      <c r="B68" s="110"/>
      <c r="C68" s="110"/>
      <c r="D68" s="110"/>
      <c r="E68" s="110"/>
      <c r="F68" s="110"/>
      <c r="G68" s="110"/>
      <c r="H68" s="110"/>
      <c r="I68" s="110"/>
      <c r="J68" s="110"/>
      <c r="K68" s="110"/>
      <c r="L68" s="110"/>
      <c r="M68" s="110"/>
      <c r="N68" s="110"/>
    </row>
    <row r="69" spans="1:14" ht="12" customHeight="1" x14ac:dyDescent="0.15">
      <c r="A69" s="110"/>
      <c r="B69" s="110"/>
      <c r="C69" s="110"/>
      <c r="D69" s="110"/>
      <c r="E69" s="110"/>
      <c r="F69" s="110"/>
      <c r="G69" s="110"/>
      <c r="H69" s="110"/>
      <c r="I69" s="110"/>
      <c r="J69" s="110"/>
      <c r="K69" s="110"/>
      <c r="L69" s="110"/>
      <c r="M69" s="110"/>
      <c r="N69" s="110"/>
    </row>
    <row r="70" spans="1:14" ht="12" customHeight="1" x14ac:dyDescent="0.15">
      <c r="A70" s="110"/>
      <c r="B70" s="110"/>
      <c r="C70" s="110"/>
      <c r="D70" s="110"/>
      <c r="E70" s="110"/>
      <c r="F70" s="110"/>
      <c r="G70" s="110"/>
      <c r="H70" s="110"/>
      <c r="I70" s="110"/>
      <c r="J70" s="110"/>
      <c r="K70" s="110"/>
      <c r="L70" s="110"/>
      <c r="M70" s="110"/>
      <c r="N70" s="110"/>
    </row>
    <row r="71" spans="1:14" ht="12" customHeight="1" x14ac:dyDescent="0.15">
      <c r="A71" s="110"/>
      <c r="B71" s="110"/>
      <c r="C71" s="110"/>
      <c r="D71" s="110"/>
      <c r="E71" s="110"/>
      <c r="F71" s="110"/>
      <c r="G71" s="110"/>
      <c r="H71" s="110"/>
      <c r="I71" s="110"/>
      <c r="J71" s="110"/>
      <c r="K71" s="110"/>
      <c r="L71" s="110"/>
      <c r="M71" s="110"/>
      <c r="N71" s="110"/>
    </row>
    <row r="72" spans="1:14" ht="12" customHeight="1" x14ac:dyDescent="0.15">
      <c r="A72" s="110"/>
      <c r="B72" s="110"/>
      <c r="C72" s="110"/>
      <c r="D72" s="110"/>
      <c r="E72" s="110"/>
      <c r="F72" s="110"/>
      <c r="G72" s="110"/>
      <c r="H72" s="110"/>
      <c r="I72" s="110"/>
      <c r="J72" s="110"/>
      <c r="K72" s="110"/>
      <c r="L72" s="110"/>
      <c r="M72" s="110"/>
      <c r="N72" s="110"/>
    </row>
    <row r="73" spans="1:14" ht="12" customHeight="1" x14ac:dyDescent="0.15">
      <c r="A73" s="110"/>
      <c r="B73" s="110"/>
      <c r="C73" s="110"/>
      <c r="D73" s="110"/>
      <c r="E73" s="110"/>
      <c r="F73" s="110"/>
      <c r="G73" s="110"/>
      <c r="H73" s="110"/>
      <c r="I73" s="110"/>
      <c r="J73" s="110"/>
      <c r="K73" s="110"/>
      <c r="L73" s="110"/>
      <c r="M73" s="110"/>
      <c r="N73" s="110"/>
    </row>
    <row r="74" spans="1:14" ht="12" customHeight="1" x14ac:dyDescent="0.15">
      <c r="A74" s="110"/>
      <c r="B74" s="110"/>
      <c r="C74" s="110"/>
      <c r="D74" s="110"/>
      <c r="E74" s="110"/>
      <c r="F74" s="110"/>
      <c r="G74" s="110"/>
      <c r="H74" s="110"/>
      <c r="I74" s="110"/>
      <c r="J74" s="110"/>
      <c r="K74" s="110"/>
      <c r="L74" s="110"/>
      <c r="M74" s="110"/>
      <c r="N74" s="110"/>
    </row>
    <row r="75" spans="1:14" ht="12" customHeight="1" x14ac:dyDescent="0.15">
      <c r="A75" s="110"/>
      <c r="B75" s="110"/>
      <c r="C75" s="110"/>
      <c r="D75" s="110"/>
      <c r="E75" s="110"/>
      <c r="F75" s="110"/>
      <c r="G75" s="110"/>
      <c r="H75" s="110"/>
      <c r="I75" s="110"/>
      <c r="J75" s="110"/>
      <c r="K75" s="110"/>
      <c r="L75" s="110"/>
      <c r="M75" s="110"/>
      <c r="N75" s="110"/>
    </row>
    <row r="76" spans="1:14" ht="12" customHeight="1" x14ac:dyDescent="0.15">
      <c r="A76" s="110"/>
      <c r="B76" s="110"/>
      <c r="C76" s="110"/>
      <c r="D76" s="110"/>
      <c r="E76" s="110"/>
      <c r="F76" s="110"/>
      <c r="G76" s="110"/>
      <c r="H76" s="110"/>
      <c r="I76" s="110"/>
      <c r="J76" s="110"/>
      <c r="K76" s="110"/>
      <c r="L76" s="110"/>
      <c r="M76" s="110"/>
      <c r="N76" s="110"/>
    </row>
    <row r="77" spans="1:14" ht="12" customHeight="1" x14ac:dyDescent="0.15">
      <c r="A77" s="110"/>
      <c r="B77" s="110"/>
      <c r="C77" s="110"/>
      <c r="D77" s="110"/>
      <c r="E77" s="110"/>
      <c r="F77" s="110"/>
      <c r="G77" s="110"/>
      <c r="H77" s="110"/>
      <c r="I77" s="110"/>
      <c r="J77" s="110"/>
      <c r="K77" s="110"/>
      <c r="L77" s="110"/>
      <c r="M77" s="110"/>
      <c r="N77" s="110"/>
    </row>
    <row r="78" spans="1:14" ht="12" customHeight="1" x14ac:dyDescent="0.15">
      <c r="A78" s="110"/>
      <c r="B78" s="110"/>
      <c r="C78" s="110"/>
      <c r="D78" s="110"/>
      <c r="E78" s="110"/>
      <c r="F78" s="110"/>
      <c r="G78" s="110"/>
      <c r="H78" s="110"/>
      <c r="I78" s="110"/>
      <c r="J78" s="110"/>
      <c r="K78" s="110"/>
      <c r="L78" s="110"/>
      <c r="M78" s="110"/>
      <c r="N78" s="110"/>
    </row>
    <row r="79" spans="1:14" ht="12" customHeight="1" x14ac:dyDescent="0.15">
      <c r="A79" s="110"/>
      <c r="B79" s="110"/>
      <c r="C79" s="110"/>
      <c r="D79" s="110"/>
      <c r="E79" s="110"/>
      <c r="F79" s="110"/>
      <c r="G79" s="110"/>
      <c r="H79" s="110"/>
      <c r="I79" s="110"/>
      <c r="J79" s="110"/>
      <c r="K79" s="110"/>
      <c r="L79" s="110"/>
      <c r="M79" s="110"/>
      <c r="N79" s="110"/>
    </row>
    <row r="80" spans="1:14" ht="12" customHeight="1" x14ac:dyDescent="0.15">
      <c r="A80" s="110"/>
      <c r="B80" s="110"/>
      <c r="C80" s="110"/>
      <c r="D80" s="110"/>
      <c r="E80" s="110"/>
      <c r="F80" s="110"/>
      <c r="G80" s="110"/>
      <c r="H80" s="110"/>
      <c r="I80" s="110"/>
      <c r="J80" s="110"/>
      <c r="K80" s="110"/>
      <c r="L80" s="110"/>
      <c r="M80" s="110"/>
      <c r="N80" s="110"/>
    </row>
    <row r="81" spans="1:14" ht="12" customHeight="1" x14ac:dyDescent="0.15">
      <c r="A81" s="110"/>
      <c r="B81" s="110"/>
      <c r="C81" s="110"/>
      <c r="D81" s="110"/>
      <c r="E81" s="110"/>
      <c r="F81" s="110"/>
      <c r="G81" s="110"/>
      <c r="H81" s="110"/>
      <c r="I81" s="110"/>
      <c r="J81" s="110"/>
      <c r="K81" s="110"/>
      <c r="L81" s="110"/>
      <c r="M81" s="110"/>
      <c r="N81" s="110"/>
    </row>
    <row r="82" spans="1:14" ht="12" customHeight="1" x14ac:dyDescent="0.15">
      <c r="A82" s="110"/>
      <c r="B82" s="110"/>
      <c r="C82" s="110"/>
      <c r="D82" s="110"/>
      <c r="E82" s="110"/>
      <c r="F82" s="110"/>
      <c r="G82" s="110"/>
      <c r="H82" s="110"/>
      <c r="I82" s="110"/>
      <c r="J82" s="110"/>
      <c r="K82" s="110"/>
      <c r="L82" s="110"/>
      <c r="M82" s="110"/>
      <c r="N82" s="110"/>
    </row>
    <row r="83" spans="1:14" ht="12" customHeight="1" x14ac:dyDescent="0.15">
      <c r="A83" s="110"/>
      <c r="B83" s="110"/>
      <c r="C83" s="110"/>
      <c r="D83" s="110"/>
      <c r="E83" s="110"/>
      <c r="F83" s="110"/>
      <c r="G83" s="110"/>
      <c r="H83" s="110"/>
      <c r="I83" s="110"/>
      <c r="J83" s="110"/>
      <c r="K83" s="110"/>
      <c r="L83" s="110"/>
      <c r="M83" s="110"/>
      <c r="N83" s="110"/>
    </row>
    <row r="84" spans="1:14" ht="12" customHeight="1" x14ac:dyDescent="0.15">
      <c r="A84" s="110"/>
      <c r="B84" s="110"/>
      <c r="C84" s="110"/>
      <c r="D84" s="110"/>
      <c r="E84" s="110"/>
      <c r="F84" s="110"/>
      <c r="G84" s="110"/>
      <c r="H84" s="110"/>
      <c r="I84" s="110"/>
      <c r="J84" s="110"/>
      <c r="K84" s="110"/>
      <c r="L84" s="110"/>
      <c r="M84" s="110"/>
      <c r="N84" s="110"/>
    </row>
    <row r="85" spans="1:14" ht="12" customHeight="1" x14ac:dyDescent="0.15">
      <c r="A85" s="110"/>
      <c r="B85" s="110"/>
      <c r="C85" s="110"/>
      <c r="D85" s="110"/>
      <c r="E85" s="110"/>
      <c r="F85" s="110"/>
      <c r="G85" s="110"/>
      <c r="H85" s="110"/>
      <c r="I85" s="110"/>
      <c r="J85" s="110"/>
      <c r="K85" s="110"/>
      <c r="L85" s="110"/>
      <c r="M85" s="110"/>
      <c r="N85" s="110"/>
    </row>
    <row r="86" spans="1:14" ht="12" customHeight="1" x14ac:dyDescent="0.15">
      <c r="A86" s="110"/>
      <c r="B86" s="110"/>
      <c r="C86" s="110"/>
      <c r="D86" s="110"/>
      <c r="E86" s="110"/>
      <c r="F86" s="110"/>
      <c r="G86" s="110"/>
      <c r="H86" s="110"/>
      <c r="I86" s="110"/>
      <c r="J86" s="110"/>
      <c r="K86" s="110"/>
      <c r="L86" s="110"/>
      <c r="M86" s="110"/>
      <c r="N86" s="110"/>
    </row>
    <row r="87" spans="1:14" ht="12" customHeight="1" x14ac:dyDescent="0.15">
      <c r="A87" s="110"/>
      <c r="B87" s="110"/>
      <c r="C87" s="110"/>
      <c r="D87" s="110"/>
      <c r="E87" s="110"/>
      <c r="F87" s="110"/>
      <c r="G87" s="110"/>
      <c r="H87" s="110"/>
      <c r="I87" s="110"/>
      <c r="J87" s="110"/>
      <c r="K87" s="110"/>
      <c r="L87" s="110"/>
      <c r="M87" s="110"/>
      <c r="N87" s="110"/>
    </row>
    <row r="88" spans="1:14" ht="12" customHeight="1" x14ac:dyDescent="0.15">
      <c r="A88" s="110"/>
      <c r="B88" s="110"/>
      <c r="C88" s="110"/>
      <c r="D88" s="110"/>
      <c r="E88" s="110"/>
      <c r="F88" s="110"/>
      <c r="G88" s="110"/>
      <c r="H88" s="110"/>
      <c r="I88" s="110"/>
      <c r="J88" s="110"/>
      <c r="K88" s="110"/>
      <c r="L88" s="110"/>
      <c r="M88" s="110"/>
      <c r="N88" s="110"/>
    </row>
    <row r="89" spans="1:14" ht="12" customHeight="1" x14ac:dyDescent="0.15">
      <c r="A89" s="110"/>
      <c r="B89" s="110"/>
      <c r="C89" s="110"/>
      <c r="D89" s="110"/>
      <c r="E89" s="110"/>
      <c r="F89" s="110"/>
      <c r="G89" s="110"/>
      <c r="H89" s="110"/>
      <c r="I89" s="110"/>
      <c r="J89" s="110"/>
      <c r="K89" s="110"/>
      <c r="L89" s="110"/>
      <c r="M89" s="110"/>
      <c r="N89" s="110"/>
    </row>
    <row r="90" spans="1:14" ht="12" customHeight="1" x14ac:dyDescent="0.15">
      <c r="A90" s="110"/>
      <c r="B90" s="110"/>
      <c r="C90" s="110"/>
      <c r="D90" s="110"/>
      <c r="E90" s="110"/>
      <c r="F90" s="110"/>
      <c r="G90" s="110"/>
      <c r="H90" s="110"/>
      <c r="I90" s="110"/>
      <c r="J90" s="110"/>
      <c r="K90" s="110"/>
      <c r="L90" s="110"/>
      <c r="M90" s="110"/>
      <c r="N90" s="110"/>
    </row>
    <row r="91" spans="1:14" ht="12" customHeight="1" x14ac:dyDescent="0.15">
      <c r="A91" s="110"/>
      <c r="B91" s="110"/>
      <c r="C91" s="110"/>
      <c r="D91" s="110"/>
      <c r="E91" s="110"/>
      <c r="F91" s="110"/>
      <c r="G91" s="110"/>
      <c r="H91" s="110"/>
      <c r="I91" s="110"/>
      <c r="J91" s="110"/>
      <c r="K91" s="110"/>
      <c r="L91" s="110"/>
      <c r="M91" s="110"/>
      <c r="N91" s="110"/>
    </row>
    <row r="92" spans="1:14" ht="12" customHeight="1" x14ac:dyDescent="0.15">
      <c r="A92" s="110"/>
      <c r="B92" s="110"/>
      <c r="C92" s="110"/>
      <c r="D92" s="110"/>
      <c r="E92" s="110"/>
      <c r="F92" s="110"/>
      <c r="G92" s="110"/>
      <c r="H92" s="110"/>
      <c r="I92" s="110"/>
      <c r="J92" s="110"/>
      <c r="K92" s="110"/>
      <c r="L92" s="110"/>
      <c r="M92" s="110"/>
      <c r="N92" s="110"/>
    </row>
    <row r="93" spans="1:14" ht="12" customHeight="1" x14ac:dyDescent="0.15">
      <c r="A93" s="110"/>
      <c r="B93" s="110"/>
      <c r="C93" s="110"/>
      <c r="D93" s="110"/>
      <c r="E93" s="110"/>
      <c r="F93" s="110"/>
      <c r="G93" s="110"/>
      <c r="H93" s="110"/>
      <c r="I93" s="110"/>
      <c r="J93" s="110"/>
      <c r="K93" s="110"/>
      <c r="L93" s="110"/>
      <c r="M93" s="110"/>
      <c r="N93" s="110"/>
    </row>
    <row r="94" spans="1:14" ht="12" customHeight="1" x14ac:dyDescent="0.15">
      <c r="A94" s="110"/>
      <c r="B94" s="110"/>
      <c r="C94" s="110"/>
      <c r="D94" s="110"/>
      <c r="E94" s="110"/>
      <c r="F94" s="110"/>
      <c r="G94" s="110"/>
      <c r="H94" s="110"/>
      <c r="I94" s="110"/>
      <c r="J94" s="110"/>
      <c r="K94" s="110"/>
      <c r="L94" s="110"/>
      <c r="M94" s="110"/>
      <c r="N94" s="110"/>
    </row>
    <row r="95" spans="1:14" ht="12" customHeight="1" x14ac:dyDescent="0.15">
      <c r="A95" s="110"/>
      <c r="B95" s="110"/>
      <c r="C95" s="110"/>
      <c r="D95" s="110"/>
      <c r="E95" s="110"/>
      <c r="F95" s="110"/>
      <c r="G95" s="110"/>
      <c r="H95" s="110"/>
      <c r="I95" s="110"/>
      <c r="J95" s="110"/>
      <c r="K95" s="110"/>
      <c r="L95" s="110"/>
      <c r="M95" s="110"/>
      <c r="N95" s="110"/>
    </row>
    <row r="96" spans="1:14" ht="12" customHeight="1" x14ac:dyDescent="0.15">
      <c r="A96" s="110"/>
      <c r="B96" s="110"/>
      <c r="C96" s="110"/>
      <c r="D96" s="110"/>
      <c r="E96" s="110"/>
      <c r="F96" s="110"/>
      <c r="G96" s="110"/>
      <c r="H96" s="110"/>
      <c r="I96" s="110"/>
      <c r="J96" s="110"/>
      <c r="K96" s="110"/>
      <c r="L96" s="110"/>
      <c r="M96" s="110"/>
      <c r="N96" s="110"/>
    </row>
    <row r="97" spans="1:14" ht="12" customHeight="1" x14ac:dyDescent="0.15">
      <c r="A97" s="110"/>
      <c r="B97" s="110"/>
      <c r="C97" s="110"/>
      <c r="D97" s="110"/>
      <c r="E97" s="110"/>
      <c r="F97" s="110"/>
      <c r="G97" s="110"/>
      <c r="H97" s="110"/>
      <c r="I97" s="110"/>
      <c r="J97" s="110"/>
      <c r="K97" s="110"/>
      <c r="L97" s="110"/>
      <c r="M97" s="110"/>
      <c r="N97" s="110"/>
    </row>
    <row r="98" spans="1:14" ht="12" customHeight="1" x14ac:dyDescent="0.15">
      <c r="A98" s="110"/>
      <c r="B98" s="110"/>
      <c r="C98" s="110"/>
      <c r="D98" s="110"/>
      <c r="E98" s="110"/>
      <c r="F98" s="110"/>
      <c r="G98" s="110"/>
      <c r="H98" s="110"/>
      <c r="I98" s="110"/>
      <c r="J98" s="110"/>
      <c r="K98" s="110"/>
      <c r="L98" s="110"/>
      <c r="M98" s="110"/>
      <c r="N98" s="110"/>
    </row>
    <row r="99" spans="1:14" ht="12" customHeight="1" x14ac:dyDescent="0.15">
      <c r="A99" s="110"/>
      <c r="B99" s="110"/>
      <c r="C99" s="110"/>
      <c r="D99" s="110"/>
      <c r="E99" s="110"/>
      <c r="F99" s="110"/>
      <c r="G99" s="110"/>
      <c r="H99" s="110"/>
      <c r="I99" s="110"/>
      <c r="J99" s="110"/>
      <c r="K99" s="110"/>
      <c r="L99" s="110"/>
      <c r="M99" s="110"/>
      <c r="N99" s="110"/>
    </row>
    <row r="100" spans="1:14" ht="12" customHeight="1" x14ac:dyDescent="0.15">
      <c r="A100" s="110"/>
      <c r="B100" s="110"/>
      <c r="C100" s="110"/>
      <c r="D100" s="110"/>
      <c r="E100" s="110"/>
      <c r="F100" s="110"/>
      <c r="G100" s="110"/>
      <c r="H100" s="110"/>
      <c r="I100" s="110"/>
      <c r="J100" s="110"/>
      <c r="K100" s="110"/>
      <c r="L100" s="110"/>
      <c r="M100" s="110"/>
      <c r="N100" s="110"/>
    </row>
    <row r="101" spans="1:14" ht="12" customHeight="1" x14ac:dyDescent="0.15">
      <c r="A101" s="110"/>
      <c r="B101" s="110"/>
      <c r="C101" s="110"/>
      <c r="D101" s="110"/>
      <c r="E101" s="110"/>
      <c r="F101" s="110"/>
      <c r="G101" s="110"/>
      <c r="H101" s="110"/>
      <c r="I101" s="110"/>
      <c r="J101" s="110"/>
      <c r="K101" s="110"/>
      <c r="L101" s="110"/>
      <c r="M101" s="110"/>
      <c r="N101" s="110"/>
    </row>
    <row r="102" spans="1:14" ht="12" customHeight="1" x14ac:dyDescent="0.15">
      <c r="A102" s="110"/>
      <c r="B102" s="110"/>
      <c r="C102" s="110"/>
      <c r="D102" s="110"/>
      <c r="E102" s="110"/>
      <c r="F102" s="110"/>
      <c r="G102" s="110"/>
      <c r="H102" s="110"/>
      <c r="I102" s="110"/>
      <c r="J102" s="110"/>
      <c r="K102" s="110"/>
      <c r="L102" s="110"/>
      <c r="M102" s="110"/>
      <c r="N102" s="110"/>
    </row>
    <row r="103" spans="1:14" ht="12" customHeight="1" x14ac:dyDescent="0.15">
      <c r="A103" s="110"/>
      <c r="B103" s="110"/>
      <c r="C103" s="110"/>
      <c r="D103" s="110"/>
      <c r="E103" s="110"/>
      <c r="F103" s="110"/>
      <c r="G103" s="110"/>
      <c r="H103" s="110"/>
      <c r="I103" s="110"/>
      <c r="J103" s="110"/>
      <c r="K103" s="110"/>
      <c r="L103" s="110"/>
      <c r="M103" s="110"/>
      <c r="N103" s="110"/>
    </row>
    <row r="104" spans="1:14" ht="12" customHeight="1" x14ac:dyDescent="0.15">
      <c r="A104" s="110"/>
      <c r="B104" s="110"/>
      <c r="C104" s="110"/>
      <c r="D104" s="110"/>
      <c r="E104" s="110"/>
      <c r="F104" s="110"/>
      <c r="G104" s="110"/>
      <c r="H104" s="110"/>
      <c r="I104" s="110"/>
      <c r="J104" s="110"/>
      <c r="K104" s="110"/>
      <c r="L104" s="110"/>
      <c r="M104" s="110"/>
      <c r="N104" s="110"/>
    </row>
    <row r="105" spans="1:14" ht="12" customHeight="1" x14ac:dyDescent="0.15">
      <c r="A105" s="110"/>
      <c r="B105" s="110"/>
      <c r="C105" s="110"/>
      <c r="D105" s="110"/>
      <c r="E105" s="110"/>
      <c r="F105" s="110"/>
      <c r="G105" s="110"/>
      <c r="H105" s="110"/>
      <c r="I105" s="110"/>
      <c r="J105" s="110"/>
      <c r="K105" s="110"/>
      <c r="L105" s="110"/>
      <c r="M105" s="110"/>
      <c r="N105" s="110"/>
    </row>
    <row r="106" spans="1:14" ht="12" customHeight="1" x14ac:dyDescent="0.15">
      <c r="A106" s="110"/>
      <c r="B106" s="110"/>
      <c r="C106" s="110"/>
      <c r="D106" s="110"/>
      <c r="E106" s="110"/>
      <c r="F106" s="110"/>
      <c r="G106" s="110"/>
      <c r="H106" s="110"/>
      <c r="I106" s="110"/>
      <c r="J106" s="110"/>
      <c r="K106" s="110"/>
      <c r="L106" s="110"/>
      <c r="M106" s="110"/>
      <c r="N106" s="110"/>
    </row>
    <row r="107" spans="1:14" ht="12" customHeight="1" x14ac:dyDescent="0.15">
      <c r="A107" s="110"/>
      <c r="B107" s="110"/>
      <c r="C107" s="110"/>
      <c r="D107" s="110"/>
      <c r="E107" s="110"/>
      <c r="F107" s="110"/>
      <c r="G107" s="110"/>
      <c r="H107" s="110"/>
      <c r="I107" s="110"/>
      <c r="J107" s="110"/>
      <c r="K107" s="110"/>
      <c r="L107" s="110"/>
      <c r="M107" s="110"/>
      <c r="N107" s="110"/>
    </row>
    <row r="108" spans="1:14" ht="12" customHeight="1" x14ac:dyDescent="0.15">
      <c r="A108" s="110"/>
      <c r="B108" s="110"/>
      <c r="C108" s="110"/>
      <c r="D108" s="110"/>
      <c r="E108" s="110"/>
      <c r="F108" s="110"/>
      <c r="G108" s="110"/>
      <c r="H108" s="110"/>
      <c r="I108" s="110"/>
      <c r="J108" s="110"/>
      <c r="K108" s="110"/>
      <c r="L108" s="110"/>
      <c r="M108" s="110"/>
      <c r="N108" s="110"/>
    </row>
    <row r="109" spans="1:14" ht="12" customHeight="1" x14ac:dyDescent="0.15">
      <c r="A109" s="110"/>
      <c r="B109" s="110"/>
      <c r="C109" s="110"/>
      <c r="D109" s="110"/>
      <c r="E109" s="110"/>
      <c r="F109" s="110"/>
      <c r="G109" s="110"/>
      <c r="H109" s="110"/>
      <c r="I109" s="110"/>
      <c r="J109" s="110"/>
      <c r="K109" s="110"/>
      <c r="L109" s="110"/>
      <c r="M109" s="110"/>
      <c r="N109" s="110"/>
    </row>
    <row r="110" spans="1:14" ht="12" customHeight="1" x14ac:dyDescent="0.15">
      <c r="A110" s="110"/>
      <c r="B110" s="110"/>
      <c r="C110" s="110"/>
      <c r="D110" s="110"/>
      <c r="E110" s="110"/>
      <c r="F110" s="110"/>
      <c r="G110" s="110"/>
      <c r="H110" s="110"/>
      <c r="I110" s="110"/>
      <c r="J110" s="110"/>
      <c r="K110" s="110"/>
      <c r="L110" s="110"/>
      <c r="M110" s="110"/>
      <c r="N110" s="110"/>
    </row>
    <row r="111" spans="1:14" ht="12" customHeight="1" x14ac:dyDescent="0.15">
      <c r="A111" s="110"/>
      <c r="B111" s="110"/>
      <c r="C111" s="110"/>
      <c r="D111" s="110"/>
      <c r="E111" s="110"/>
      <c r="F111" s="110"/>
      <c r="G111" s="110"/>
      <c r="H111" s="110"/>
      <c r="I111" s="110"/>
      <c r="J111" s="110"/>
      <c r="K111" s="110"/>
      <c r="L111" s="110"/>
      <c r="M111" s="110"/>
      <c r="N111" s="110"/>
    </row>
    <row r="112" spans="1:14" ht="12" customHeight="1" x14ac:dyDescent="0.15">
      <c r="A112" s="110"/>
      <c r="B112" s="110"/>
      <c r="C112" s="110"/>
      <c r="D112" s="110"/>
      <c r="E112" s="110"/>
      <c r="F112" s="110"/>
      <c r="G112" s="110"/>
      <c r="H112" s="110"/>
      <c r="I112" s="110"/>
      <c r="J112" s="110"/>
      <c r="K112" s="110"/>
      <c r="L112" s="110"/>
      <c r="M112" s="110"/>
      <c r="N112" s="110"/>
    </row>
    <row r="113" spans="1:14" ht="12" customHeight="1" x14ac:dyDescent="0.15">
      <c r="A113" s="110"/>
      <c r="B113" s="110"/>
      <c r="C113" s="110"/>
      <c r="D113" s="110"/>
      <c r="E113" s="110"/>
      <c r="F113" s="110"/>
      <c r="G113" s="110"/>
      <c r="H113" s="110"/>
      <c r="I113" s="110"/>
      <c r="J113" s="110"/>
      <c r="K113" s="110"/>
      <c r="L113" s="110"/>
      <c r="M113" s="110"/>
      <c r="N113" s="110"/>
    </row>
    <row r="114" spans="1:14" ht="12" customHeight="1" x14ac:dyDescent="0.15">
      <c r="A114" s="110"/>
      <c r="B114" s="110"/>
      <c r="C114" s="110"/>
      <c r="D114" s="110"/>
      <c r="E114" s="110"/>
      <c r="F114" s="110"/>
      <c r="G114" s="110"/>
      <c r="H114" s="110"/>
      <c r="I114" s="110"/>
      <c r="J114" s="110"/>
      <c r="K114" s="110"/>
      <c r="L114" s="110"/>
      <c r="M114" s="110"/>
      <c r="N114" s="110"/>
    </row>
    <row r="115" spans="1:14" ht="12" customHeight="1" x14ac:dyDescent="0.15">
      <c r="A115" s="110"/>
      <c r="B115" s="110"/>
      <c r="C115" s="110"/>
      <c r="D115" s="110"/>
      <c r="E115" s="110"/>
      <c r="F115" s="110"/>
      <c r="G115" s="110"/>
      <c r="H115" s="110"/>
      <c r="I115" s="110"/>
      <c r="J115" s="110"/>
      <c r="K115" s="110"/>
      <c r="L115" s="110"/>
      <c r="M115" s="110"/>
      <c r="N115" s="110"/>
    </row>
    <row r="116" spans="1:14" ht="12" customHeight="1" x14ac:dyDescent="0.15">
      <c r="A116" s="110"/>
      <c r="B116" s="110"/>
      <c r="C116" s="110"/>
      <c r="D116" s="110"/>
      <c r="E116" s="110"/>
      <c r="F116" s="110"/>
      <c r="G116" s="110"/>
      <c r="H116" s="110"/>
      <c r="I116" s="110"/>
      <c r="J116" s="110"/>
      <c r="K116" s="110"/>
      <c r="L116" s="110"/>
      <c r="M116" s="110"/>
      <c r="N116" s="110"/>
    </row>
    <row r="117" spans="1:14" ht="12" customHeight="1" x14ac:dyDescent="0.15">
      <c r="A117" s="110"/>
      <c r="B117" s="110"/>
      <c r="C117" s="110"/>
      <c r="D117" s="110"/>
      <c r="E117" s="110"/>
      <c r="F117" s="110"/>
      <c r="G117" s="110"/>
      <c r="H117" s="110"/>
      <c r="I117" s="110"/>
      <c r="J117" s="110"/>
      <c r="K117" s="110"/>
      <c r="L117" s="110"/>
      <c r="M117" s="110"/>
      <c r="N117" s="110"/>
    </row>
    <row r="118" spans="1:14" ht="12" customHeight="1" x14ac:dyDescent="0.15">
      <c r="A118" s="110"/>
      <c r="B118" s="110"/>
      <c r="C118" s="110"/>
      <c r="D118" s="110"/>
      <c r="E118" s="110"/>
      <c r="F118" s="110"/>
      <c r="G118" s="110"/>
      <c r="H118" s="110"/>
      <c r="I118" s="110"/>
      <c r="J118" s="110"/>
      <c r="K118" s="110"/>
      <c r="L118" s="110"/>
      <c r="M118" s="110"/>
      <c r="N118" s="110"/>
    </row>
    <row r="119" spans="1:14" ht="12" customHeight="1" x14ac:dyDescent="0.15">
      <c r="A119" s="110"/>
      <c r="B119" s="110"/>
      <c r="C119" s="110"/>
      <c r="D119" s="110"/>
      <c r="E119" s="110"/>
      <c r="F119" s="110"/>
      <c r="G119" s="110"/>
      <c r="H119" s="110"/>
      <c r="I119" s="110"/>
      <c r="J119" s="110"/>
      <c r="K119" s="110"/>
      <c r="L119" s="110"/>
      <c r="M119" s="110"/>
      <c r="N119" s="110"/>
    </row>
    <row r="120" spans="1:14" ht="12" customHeight="1" x14ac:dyDescent="0.15">
      <c r="A120" s="110"/>
      <c r="B120" s="110"/>
      <c r="C120" s="110"/>
      <c r="D120" s="110"/>
      <c r="E120" s="110"/>
      <c r="F120" s="110"/>
      <c r="G120" s="110"/>
      <c r="H120" s="110"/>
      <c r="I120" s="110"/>
      <c r="J120" s="110"/>
      <c r="K120" s="110"/>
      <c r="L120" s="110"/>
      <c r="M120" s="110"/>
      <c r="N120" s="110"/>
    </row>
    <row r="121" spans="1:14" ht="12" customHeight="1" x14ac:dyDescent="0.15">
      <c r="A121" s="110"/>
      <c r="B121" s="110"/>
      <c r="C121" s="110"/>
      <c r="D121" s="110"/>
      <c r="E121" s="110"/>
      <c r="F121" s="110"/>
      <c r="G121" s="110"/>
      <c r="H121" s="110"/>
      <c r="I121" s="110"/>
      <c r="J121" s="110"/>
      <c r="K121" s="110"/>
      <c r="L121" s="110"/>
      <c r="M121" s="110"/>
      <c r="N121" s="110"/>
    </row>
    <row r="122" spans="1:14" ht="12" customHeight="1" x14ac:dyDescent="0.15">
      <c r="A122" s="110"/>
      <c r="B122" s="110"/>
      <c r="C122" s="110"/>
      <c r="D122" s="110"/>
      <c r="E122" s="110"/>
      <c r="F122" s="110"/>
      <c r="G122" s="110"/>
      <c r="H122" s="110"/>
      <c r="I122" s="110"/>
      <c r="J122" s="110"/>
      <c r="K122" s="110"/>
      <c r="L122" s="110"/>
      <c r="M122" s="110"/>
      <c r="N122" s="110"/>
    </row>
    <row r="123" spans="1:14" ht="12" customHeight="1" x14ac:dyDescent="0.15">
      <c r="A123" s="110"/>
      <c r="B123" s="110"/>
      <c r="C123" s="110"/>
      <c r="D123" s="110"/>
      <c r="E123" s="110"/>
      <c r="F123" s="110"/>
      <c r="G123" s="110"/>
      <c r="H123" s="110"/>
      <c r="I123" s="110"/>
      <c r="J123" s="110"/>
      <c r="K123" s="110"/>
      <c r="L123" s="110"/>
      <c r="M123" s="110"/>
      <c r="N123" s="110"/>
    </row>
    <row r="124" spans="1:14" ht="12" customHeight="1" x14ac:dyDescent="0.15">
      <c r="A124" s="110"/>
      <c r="B124" s="110"/>
      <c r="C124" s="110"/>
      <c r="D124" s="110"/>
      <c r="E124" s="110"/>
      <c r="F124" s="110"/>
      <c r="G124" s="110"/>
      <c r="H124" s="110"/>
      <c r="I124" s="110"/>
      <c r="J124" s="110"/>
      <c r="K124" s="110"/>
      <c r="L124" s="110"/>
      <c r="M124" s="110"/>
      <c r="N124" s="110"/>
    </row>
    <row r="125" spans="1:14" ht="12" customHeight="1" x14ac:dyDescent="0.15">
      <c r="A125" s="110"/>
      <c r="B125" s="110"/>
      <c r="C125" s="110"/>
      <c r="D125" s="110"/>
      <c r="E125" s="110"/>
      <c r="F125" s="110"/>
      <c r="G125" s="110"/>
      <c r="H125" s="110"/>
      <c r="I125" s="110"/>
      <c r="J125" s="110"/>
      <c r="K125" s="110"/>
      <c r="L125" s="110"/>
      <c r="M125" s="110"/>
      <c r="N125" s="110"/>
    </row>
    <row r="126" spans="1:14" ht="12" customHeight="1" x14ac:dyDescent="0.15">
      <c r="A126" s="110"/>
      <c r="B126" s="110"/>
      <c r="C126" s="110"/>
      <c r="D126" s="110"/>
      <c r="E126" s="110"/>
      <c r="F126" s="110"/>
      <c r="G126" s="110"/>
      <c r="H126" s="110"/>
      <c r="I126" s="110"/>
      <c r="J126" s="110"/>
      <c r="K126" s="110"/>
      <c r="L126" s="110"/>
      <c r="M126" s="110"/>
      <c r="N126" s="110"/>
    </row>
    <row r="127" spans="1:14" ht="12" customHeight="1" x14ac:dyDescent="0.15">
      <c r="A127" s="110"/>
      <c r="B127" s="110"/>
      <c r="C127" s="110"/>
      <c r="D127" s="110"/>
      <c r="E127" s="110"/>
      <c r="F127" s="110"/>
      <c r="G127" s="110"/>
      <c r="H127" s="110"/>
      <c r="I127" s="110"/>
      <c r="J127" s="110"/>
      <c r="K127" s="110"/>
      <c r="L127" s="110"/>
      <c r="M127" s="110"/>
      <c r="N127" s="110"/>
    </row>
    <row r="128" spans="1:14" ht="12" customHeight="1" x14ac:dyDescent="0.15">
      <c r="A128" s="110"/>
      <c r="B128" s="110"/>
      <c r="C128" s="110"/>
      <c r="D128" s="110"/>
      <c r="E128" s="110"/>
      <c r="F128" s="110"/>
      <c r="G128" s="110"/>
      <c r="H128" s="110"/>
      <c r="I128" s="110"/>
      <c r="J128" s="110"/>
      <c r="K128" s="110"/>
      <c r="L128" s="110"/>
      <c r="M128" s="110"/>
      <c r="N128" s="110"/>
    </row>
    <row r="129" spans="1:14" ht="12" customHeight="1" x14ac:dyDescent="0.15">
      <c r="A129" s="110"/>
      <c r="B129" s="110"/>
      <c r="C129" s="110"/>
      <c r="D129" s="110"/>
      <c r="E129" s="110"/>
      <c r="F129" s="110"/>
      <c r="G129" s="110"/>
      <c r="H129" s="110"/>
      <c r="I129" s="110"/>
      <c r="J129" s="110"/>
      <c r="K129" s="110"/>
      <c r="L129" s="110"/>
      <c r="M129" s="110"/>
      <c r="N129" s="110"/>
    </row>
    <row r="130" spans="1:14" ht="12" customHeight="1" x14ac:dyDescent="0.15">
      <c r="A130" s="110"/>
      <c r="B130" s="110"/>
      <c r="C130" s="110"/>
      <c r="D130" s="110"/>
      <c r="E130" s="110"/>
      <c r="F130" s="110"/>
      <c r="G130" s="110"/>
      <c r="H130" s="110"/>
      <c r="I130" s="110"/>
      <c r="J130" s="110"/>
      <c r="K130" s="110"/>
      <c r="L130" s="110"/>
      <c r="M130" s="110"/>
      <c r="N130" s="110"/>
    </row>
    <row r="131" spans="1:14" ht="12" customHeight="1" x14ac:dyDescent="0.15">
      <c r="A131" s="110"/>
      <c r="B131" s="110"/>
      <c r="C131" s="110"/>
      <c r="D131" s="110"/>
      <c r="E131" s="110"/>
      <c r="F131" s="110"/>
      <c r="G131" s="110"/>
      <c r="H131" s="110"/>
      <c r="I131" s="110"/>
      <c r="J131" s="110"/>
      <c r="K131" s="110"/>
      <c r="L131" s="110"/>
      <c r="M131" s="110"/>
      <c r="N131" s="110"/>
    </row>
    <row r="132" spans="1:14" ht="12" customHeight="1" x14ac:dyDescent="0.15">
      <c r="A132" s="110"/>
      <c r="B132" s="110"/>
      <c r="C132" s="110"/>
      <c r="D132" s="110"/>
      <c r="E132" s="110"/>
      <c r="F132" s="110"/>
      <c r="G132" s="110"/>
      <c r="H132" s="110"/>
      <c r="I132" s="110"/>
      <c r="J132" s="110"/>
      <c r="K132" s="110"/>
      <c r="L132" s="110"/>
      <c r="M132" s="110"/>
      <c r="N132" s="110"/>
    </row>
    <row r="133" spans="1:14" ht="12" customHeight="1" x14ac:dyDescent="0.15">
      <c r="A133" s="110"/>
      <c r="B133" s="110"/>
      <c r="C133" s="110"/>
      <c r="D133" s="110"/>
      <c r="E133" s="110"/>
      <c r="F133" s="110"/>
      <c r="G133" s="110"/>
      <c r="H133" s="110"/>
      <c r="I133" s="110"/>
      <c r="J133" s="110"/>
      <c r="K133" s="110"/>
      <c r="L133" s="110"/>
      <c r="M133" s="110"/>
      <c r="N133" s="110"/>
    </row>
    <row r="134" spans="1:14" ht="12" customHeight="1" x14ac:dyDescent="0.15">
      <c r="A134" s="110"/>
      <c r="B134" s="110"/>
      <c r="C134" s="110"/>
      <c r="D134" s="110"/>
      <c r="E134" s="110"/>
      <c r="F134" s="110"/>
      <c r="G134" s="110"/>
      <c r="H134" s="110"/>
      <c r="I134" s="110"/>
      <c r="J134" s="110"/>
      <c r="K134" s="110"/>
      <c r="L134" s="110"/>
      <c r="M134" s="110"/>
      <c r="N134" s="110"/>
    </row>
    <row r="135" spans="1:14" ht="12" customHeight="1" x14ac:dyDescent="0.15">
      <c r="A135" s="110"/>
      <c r="B135" s="110"/>
      <c r="C135" s="110"/>
      <c r="D135" s="110"/>
      <c r="E135" s="110"/>
      <c r="F135" s="110"/>
      <c r="G135" s="110"/>
      <c r="H135" s="110"/>
      <c r="I135" s="110"/>
      <c r="J135" s="110"/>
      <c r="K135" s="110"/>
      <c r="L135" s="110"/>
      <c r="M135" s="110"/>
      <c r="N135" s="110"/>
    </row>
    <row r="136" spans="1:14" ht="12" customHeight="1" x14ac:dyDescent="0.15">
      <c r="A136" s="110"/>
      <c r="B136" s="110"/>
      <c r="C136" s="110"/>
      <c r="D136" s="110"/>
      <c r="E136" s="110"/>
      <c r="F136" s="110"/>
      <c r="G136" s="110"/>
      <c r="H136" s="110"/>
      <c r="I136" s="110"/>
      <c r="J136" s="110"/>
      <c r="K136" s="110"/>
      <c r="L136" s="110"/>
      <c r="M136" s="110"/>
      <c r="N136" s="110"/>
    </row>
    <row r="137" spans="1:14" ht="12" customHeight="1" x14ac:dyDescent="0.15">
      <c r="A137" s="110"/>
      <c r="B137" s="110"/>
      <c r="C137" s="110"/>
      <c r="D137" s="110"/>
      <c r="E137" s="110"/>
      <c r="F137" s="110"/>
      <c r="G137" s="110"/>
      <c r="H137" s="110"/>
      <c r="I137" s="110"/>
      <c r="J137" s="110"/>
      <c r="K137" s="110"/>
      <c r="L137" s="110"/>
      <c r="M137" s="110"/>
      <c r="N137" s="110"/>
    </row>
    <row r="138" spans="1:14" ht="12" customHeight="1" x14ac:dyDescent="0.15">
      <c r="A138" s="110"/>
      <c r="B138" s="110"/>
      <c r="C138" s="110"/>
      <c r="D138" s="110"/>
      <c r="E138" s="110"/>
      <c r="F138" s="110"/>
      <c r="G138" s="110"/>
      <c r="H138" s="110"/>
      <c r="I138" s="110"/>
      <c r="J138" s="110"/>
      <c r="K138" s="110"/>
      <c r="L138" s="110"/>
      <c r="M138" s="110"/>
      <c r="N138" s="110"/>
    </row>
    <row r="139" spans="1:14" ht="12" customHeight="1" x14ac:dyDescent="0.15">
      <c r="A139" s="110"/>
      <c r="B139" s="110"/>
      <c r="C139" s="110"/>
      <c r="D139" s="110"/>
      <c r="E139" s="110"/>
      <c r="F139" s="110"/>
      <c r="G139" s="110"/>
      <c r="H139" s="110"/>
      <c r="I139" s="110"/>
      <c r="J139" s="110"/>
      <c r="K139" s="110"/>
      <c r="L139" s="110"/>
      <c r="M139" s="110"/>
      <c r="N139" s="110"/>
    </row>
    <row r="140" spans="1:14" ht="12" customHeight="1" x14ac:dyDescent="0.15">
      <c r="A140" s="110"/>
      <c r="B140" s="110"/>
      <c r="C140" s="110"/>
      <c r="D140" s="110"/>
      <c r="E140" s="110"/>
      <c r="F140" s="110"/>
      <c r="G140" s="110"/>
      <c r="H140" s="110"/>
      <c r="I140" s="110"/>
      <c r="J140" s="110"/>
      <c r="K140" s="110"/>
      <c r="L140" s="110"/>
      <c r="M140" s="110"/>
      <c r="N140" s="110"/>
    </row>
    <row r="141" spans="1:14" ht="12" customHeight="1" x14ac:dyDescent="0.15">
      <c r="A141" s="110"/>
      <c r="B141" s="110"/>
      <c r="C141" s="110"/>
      <c r="D141" s="110"/>
      <c r="E141" s="110"/>
      <c r="F141" s="110"/>
      <c r="G141" s="110"/>
      <c r="H141" s="110"/>
      <c r="I141" s="110"/>
      <c r="J141" s="110"/>
      <c r="K141" s="110"/>
      <c r="L141" s="110"/>
      <c r="M141" s="110"/>
      <c r="N141" s="110"/>
    </row>
    <row r="142" spans="1:14" ht="12" customHeight="1" x14ac:dyDescent="0.15">
      <c r="A142" s="110"/>
      <c r="B142" s="110"/>
      <c r="C142" s="110"/>
      <c r="D142" s="110"/>
      <c r="E142" s="110"/>
      <c r="F142" s="110"/>
      <c r="G142" s="110"/>
      <c r="H142" s="110"/>
      <c r="I142" s="110"/>
      <c r="J142" s="110"/>
      <c r="K142" s="110"/>
      <c r="L142" s="110"/>
      <c r="M142" s="110"/>
      <c r="N142" s="110"/>
    </row>
    <row r="143" spans="1:14" ht="12" customHeight="1" x14ac:dyDescent="0.15">
      <c r="A143" s="110"/>
      <c r="B143" s="110"/>
      <c r="C143" s="110"/>
      <c r="D143" s="110"/>
      <c r="E143" s="110"/>
      <c r="F143" s="110"/>
      <c r="G143" s="110"/>
      <c r="H143" s="110"/>
      <c r="I143" s="110"/>
      <c r="J143" s="110"/>
      <c r="K143" s="110"/>
      <c r="L143" s="110"/>
      <c r="M143" s="110"/>
      <c r="N143" s="110"/>
    </row>
    <row r="144" spans="1:14" ht="12" customHeight="1" x14ac:dyDescent="0.15">
      <c r="A144" s="110"/>
      <c r="B144" s="110"/>
      <c r="C144" s="110"/>
      <c r="D144" s="110"/>
      <c r="E144" s="110"/>
      <c r="F144" s="110"/>
      <c r="G144" s="110"/>
      <c r="H144" s="110"/>
      <c r="I144" s="110"/>
      <c r="J144" s="110"/>
      <c r="K144" s="110"/>
      <c r="L144" s="110"/>
      <c r="M144" s="110"/>
      <c r="N144" s="110"/>
    </row>
    <row r="145" spans="1:14" ht="12" customHeight="1" x14ac:dyDescent="0.15">
      <c r="A145" s="110"/>
      <c r="B145" s="110"/>
      <c r="C145" s="110"/>
      <c r="D145" s="110"/>
      <c r="E145" s="110"/>
      <c r="F145" s="110"/>
      <c r="G145" s="110"/>
      <c r="H145" s="110"/>
      <c r="I145" s="110"/>
      <c r="J145" s="110"/>
      <c r="K145" s="110"/>
      <c r="L145" s="110"/>
      <c r="M145" s="110"/>
      <c r="N145" s="110"/>
    </row>
    <row r="146" spans="1:14" ht="12" customHeight="1" x14ac:dyDescent="0.15">
      <c r="A146" s="110"/>
      <c r="B146" s="110"/>
      <c r="C146" s="110"/>
      <c r="D146" s="110"/>
      <c r="E146" s="110"/>
      <c r="F146" s="110"/>
      <c r="G146" s="110"/>
      <c r="H146" s="110"/>
      <c r="I146" s="110"/>
      <c r="J146" s="110"/>
      <c r="K146" s="110"/>
      <c r="L146" s="110"/>
      <c r="M146" s="110"/>
      <c r="N146" s="110"/>
    </row>
    <row r="147" spans="1:14" ht="12" customHeight="1" x14ac:dyDescent="0.15">
      <c r="A147" s="110"/>
      <c r="B147" s="110"/>
      <c r="C147" s="110"/>
      <c r="D147" s="110"/>
      <c r="E147" s="110"/>
      <c r="F147" s="110"/>
      <c r="G147" s="110"/>
      <c r="H147" s="110"/>
      <c r="I147" s="110"/>
      <c r="J147" s="110"/>
      <c r="K147" s="110"/>
      <c r="L147" s="110"/>
      <c r="M147" s="110"/>
      <c r="N147" s="110"/>
    </row>
    <row r="148" spans="1:14" ht="12" customHeight="1" x14ac:dyDescent="0.15">
      <c r="A148" s="110"/>
      <c r="B148" s="110"/>
      <c r="C148" s="110"/>
      <c r="D148" s="110"/>
      <c r="E148" s="110"/>
      <c r="F148" s="110"/>
      <c r="G148" s="110"/>
      <c r="H148" s="110"/>
      <c r="I148" s="110"/>
      <c r="J148" s="110"/>
      <c r="K148" s="110"/>
      <c r="L148" s="110"/>
      <c r="M148" s="110"/>
      <c r="N148" s="110"/>
    </row>
    <row r="149" spans="1:14" ht="12" customHeight="1" x14ac:dyDescent="0.15">
      <c r="A149" s="110"/>
      <c r="B149" s="110"/>
      <c r="C149" s="110"/>
      <c r="D149" s="110"/>
      <c r="E149" s="110"/>
      <c r="F149" s="110"/>
      <c r="G149" s="110"/>
      <c r="H149" s="110"/>
      <c r="I149" s="110"/>
      <c r="J149" s="110"/>
      <c r="K149" s="110"/>
      <c r="L149" s="110"/>
      <c r="M149" s="110"/>
      <c r="N149" s="110"/>
    </row>
    <row r="150" spans="1:14" ht="12" customHeight="1" x14ac:dyDescent="0.15">
      <c r="A150" s="110"/>
      <c r="B150" s="110"/>
      <c r="C150" s="110"/>
      <c r="D150" s="110"/>
      <c r="E150" s="110"/>
      <c r="F150" s="110"/>
      <c r="G150" s="110"/>
      <c r="H150" s="110"/>
      <c r="I150" s="110"/>
      <c r="J150" s="110"/>
      <c r="K150" s="110"/>
      <c r="L150" s="110"/>
      <c r="M150" s="110"/>
      <c r="N150" s="110"/>
    </row>
    <row r="151" spans="1:14" ht="12" customHeight="1" x14ac:dyDescent="0.15">
      <c r="A151" s="110"/>
      <c r="B151" s="110"/>
      <c r="C151" s="110"/>
      <c r="D151" s="110"/>
      <c r="E151" s="110"/>
      <c r="F151" s="110"/>
      <c r="G151" s="110"/>
      <c r="H151" s="110"/>
      <c r="I151" s="110"/>
      <c r="J151" s="110"/>
      <c r="K151" s="110"/>
      <c r="L151" s="110"/>
      <c r="M151" s="110"/>
      <c r="N151" s="110"/>
    </row>
    <row r="152" spans="1:14" ht="12" customHeight="1" x14ac:dyDescent="0.15">
      <c r="A152" s="110"/>
      <c r="B152" s="110"/>
      <c r="C152" s="110"/>
      <c r="D152" s="110"/>
      <c r="E152" s="110"/>
      <c r="F152" s="110"/>
      <c r="G152" s="110"/>
      <c r="H152" s="110"/>
      <c r="I152" s="110"/>
      <c r="J152" s="110"/>
      <c r="K152" s="110"/>
      <c r="L152" s="110"/>
      <c r="M152" s="110"/>
      <c r="N152" s="110"/>
    </row>
    <row r="153" spans="1:14" ht="12" customHeight="1" x14ac:dyDescent="0.15">
      <c r="A153" s="110"/>
      <c r="B153" s="110"/>
      <c r="C153" s="110"/>
      <c r="D153" s="110"/>
      <c r="E153" s="110"/>
      <c r="F153" s="110"/>
      <c r="G153" s="110"/>
      <c r="H153" s="110"/>
      <c r="I153" s="110"/>
      <c r="J153" s="110"/>
      <c r="K153" s="110"/>
      <c r="L153" s="110"/>
      <c r="M153" s="110"/>
      <c r="N153" s="110"/>
    </row>
    <row r="154" spans="1:14" ht="12" customHeight="1" x14ac:dyDescent="0.15">
      <c r="A154" s="110"/>
      <c r="B154" s="110"/>
      <c r="C154" s="110"/>
      <c r="D154" s="110"/>
      <c r="E154" s="110"/>
      <c r="F154" s="110"/>
      <c r="G154" s="110"/>
      <c r="H154" s="110"/>
      <c r="I154" s="110"/>
      <c r="J154" s="110"/>
      <c r="K154" s="110"/>
      <c r="L154" s="110"/>
      <c r="M154" s="110"/>
      <c r="N154" s="110"/>
    </row>
    <row r="155" spans="1:14" ht="12" customHeight="1" x14ac:dyDescent="0.15">
      <c r="A155" s="110"/>
      <c r="B155" s="110"/>
      <c r="C155" s="110"/>
      <c r="D155" s="110"/>
      <c r="E155" s="110"/>
      <c r="F155" s="110"/>
      <c r="G155" s="110"/>
      <c r="H155" s="110"/>
      <c r="I155" s="110"/>
      <c r="J155" s="110"/>
      <c r="K155" s="110"/>
      <c r="L155" s="110"/>
      <c r="M155" s="110"/>
      <c r="N155" s="110"/>
    </row>
    <row r="156" spans="1:14" ht="12" customHeight="1" x14ac:dyDescent="0.15">
      <c r="A156" s="110"/>
      <c r="B156" s="110"/>
      <c r="C156" s="110"/>
      <c r="D156" s="110"/>
      <c r="E156" s="110"/>
      <c r="F156" s="110"/>
      <c r="G156" s="110"/>
      <c r="H156" s="110"/>
      <c r="I156" s="110"/>
      <c r="J156" s="110"/>
      <c r="K156" s="110"/>
      <c r="L156" s="110"/>
      <c r="M156" s="110"/>
      <c r="N156" s="110"/>
    </row>
    <row r="157" spans="1:14" ht="12" customHeight="1" x14ac:dyDescent="0.15">
      <c r="A157" s="110"/>
      <c r="B157" s="110"/>
      <c r="C157" s="110"/>
      <c r="D157" s="110"/>
      <c r="E157" s="110"/>
      <c r="F157" s="110"/>
      <c r="G157" s="110"/>
      <c r="H157" s="110"/>
      <c r="I157" s="110"/>
      <c r="J157" s="110"/>
      <c r="K157" s="110"/>
      <c r="L157" s="110"/>
      <c r="M157" s="110"/>
      <c r="N157" s="110"/>
    </row>
    <row r="158" spans="1:14" ht="12" customHeight="1" x14ac:dyDescent="0.15">
      <c r="A158" s="110"/>
      <c r="B158" s="110"/>
      <c r="C158" s="110"/>
      <c r="D158" s="110"/>
      <c r="E158" s="110"/>
      <c r="F158" s="110"/>
      <c r="G158" s="110"/>
      <c r="H158" s="110"/>
      <c r="I158" s="110"/>
      <c r="J158" s="110"/>
      <c r="K158" s="110"/>
      <c r="L158" s="110"/>
      <c r="M158" s="110"/>
      <c r="N158" s="110"/>
    </row>
    <row r="159" spans="1:14" ht="12" customHeight="1" x14ac:dyDescent="0.15">
      <c r="A159" s="110"/>
      <c r="B159" s="110"/>
      <c r="C159" s="110"/>
      <c r="D159" s="110"/>
      <c r="E159" s="110"/>
      <c r="F159" s="110"/>
      <c r="G159" s="110"/>
      <c r="H159" s="110"/>
      <c r="I159" s="110"/>
      <c r="J159" s="110"/>
      <c r="K159" s="110"/>
      <c r="L159" s="110"/>
      <c r="M159" s="110"/>
      <c r="N159" s="110"/>
    </row>
    <row r="160" spans="1:14" ht="12" customHeight="1" x14ac:dyDescent="0.15">
      <c r="A160" s="110"/>
      <c r="B160" s="110"/>
      <c r="C160" s="110"/>
      <c r="D160" s="110"/>
      <c r="E160" s="110"/>
      <c r="F160" s="110"/>
      <c r="G160" s="110"/>
      <c r="H160" s="110"/>
      <c r="I160" s="110"/>
      <c r="J160" s="110"/>
      <c r="K160" s="110"/>
      <c r="L160" s="110"/>
      <c r="M160" s="110"/>
      <c r="N160" s="110"/>
    </row>
    <row r="161" spans="1:14" ht="12" customHeight="1" x14ac:dyDescent="0.15">
      <c r="A161" s="110"/>
      <c r="B161" s="110"/>
      <c r="C161" s="110"/>
      <c r="D161" s="110"/>
      <c r="E161" s="110"/>
      <c r="F161" s="110"/>
      <c r="G161" s="110"/>
      <c r="H161" s="110"/>
      <c r="I161" s="110"/>
      <c r="J161" s="110"/>
      <c r="K161" s="110"/>
      <c r="L161" s="110"/>
      <c r="M161" s="110"/>
      <c r="N161" s="110"/>
    </row>
    <row r="162" spans="1:14" ht="12" customHeight="1" x14ac:dyDescent="0.15">
      <c r="A162" s="110"/>
      <c r="B162" s="110"/>
      <c r="C162" s="110"/>
      <c r="D162" s="110"/>
      <c r="E162" s="110"/>
      <c r="F162" s="110"/>
      <c r="G162" s="110"/>
      <c r="H162" s="110"/>
      <c r="I162" s="110"/>
      <c r="J162" s="110"/>
      <c r="K162" s="110"/>
      <c r="L162" s="110"/>
      <c r="M162" s="110"/>
      <c r="N162" s="110"/>
    </row>
    <row r="163" spans="1:14" ht="12" customHeight="1" x14ac:dyDescent="0.15">
      <c r="A163" s="110"/>
      <c r="B163" s="110"/>
      <c r="C163" s="110"/>
      <c r="D163" s="110"/>
      <c r="E163" s="110"/>
      <c r="F163" s="110"/>
      <c r="G163" s="110"/>
      <c r="H163" s="110"/>
      <c r="I163" s="110"/>
      <c r="J163" s="110"/>
      <c r="K163" s="110"/>
      <c r="L163" s="110"/>
      <c r="M163" s="110"/>
      <c r="N163" s="110"/>
    </row>
    <row r="164" spans="1:14" ht="12" customHeight="1" x14ac:dyDescent="0.15">
      <c r="A164" s="110"/>
      <c r="B164" s="110"/>
      <c r="C164" s="110"/>
      <c r="D164" s="110"/>
      <c r="E164" s="110"/>
      <c r="F164" s="110"/>
      <c r="G164" s="110"/>
      <c r="H164" s="110"/>
      <c r="I164" s="110"/>
      <c r="J164" s="110"/>
      <c r="K164" s="110"/>
      <c r="L164" s="110"/>
      <c r="M164" s="110"/>
      <c r="N164" s="110"/>
    </row>
    <row r="165" spans="1:14" ht="12" customHeight="1" x14ac:dyDescent="0.15">
      <c r="A165" s="110"/>
      <c r="B165" s="110"/>
      <c r="C165" s="110"/>
      <c r="D165" s="110"/>
      <c r="E165" s="110"/>
      <c r="F165" s="110"/>
      <c r="G165" s="110"/>
      <c r="H165" s="110"/>
      <c r="I165" s="110"/>
      <c r="J165" s="110"/>
      <c r="K165" s="110"/>
      <c r="L165" s="110"/>
      <c r="M165" s="110"/>
      <c r="N165" s="110"/>
    </row>
    <row r="166" spans="1:14" ht="12" customHeight="1" x14ac:dyDescent="0.15">
      <c r="A166" s="110"/>
      <c r="B166" s="110"/>
      <c r="C166" s="110"/>
      <c r="D166" s="110"/>
      <c r="E166" s="110"/>
      <c r="F166" s="110"/>
      <c r="G166" s="110"/>
      <c r="H166" s="110"/>
      <c r="I166" s="110"/>
      <c r="J166" s="110"/>
      <c r="K166" s="110"/>
      <c r="L166" s="110"/>
      <c r="M166" s="110"/>
      <c r="N166" s="110"/>
    </row>
    <row r="167" spans="1:14" ht="12" customHeight="1" x14ac:dyDescent="0.15">
      <c r="A167" s="110"/>
      <c r="B167" s="110"/>
      <c r="C167" s="110"/>
      <c r="D167" s="110"/>
      <c r="E167" s="110"/>
      <c r="F167" s="110"/>
      <c r="G167" s="110"/>
      <c r="H167" s="110"/>
      <c r="I167" s="110"/>
      <c r="J167" s="110"/>
      <c r="K167" s="110"/>
      <c r="L167" s="110"/>
      <c r="M167" s="110"/>
      <c r="N167" s="110"/>
    </row>
    <row r="168" spans="1:14" ht="12" customHeight="1" x14ac:dyDescent="0.15">
      <c r="A168" s="110"/>
      <c r="B168" s="110"/>
      <c r="C168" s="110"/>
      <c r="D168" s="110"/>
      <c r="E168" s="110"/>
      <c r="F168" s="110"/>
      <c r="G168" s="110"/>
      <c r="H168" s="110"/>
      <c r="I168" s="110"/>
      <c r="J168" s="110"/>
      <c r="K168" s="110"/>
      <c r="L168" s="110"/>
      <c r="M168" s="110"/>
      <c r="N168" s="110"/>
    </row>
    <row r="169" spans="1:14" ht="12" customHeight="1" x14ac:dyDescent="0.15">
      <c r="A169" s="110"/>
      <c r="B169" s="110"/>
      <c r="C169" s="110"/>
      <c r="D169" s="110"/>
      <c r="E169" s="110"/>
      <c r="F169" s="110"/>
      <c r="G169" s="110"/>
      <c r="H169" s="110"/>
      <c r="I169" s="110"/>
      <c r="J169" s="110"/>
      <c r="K169" s="110"/>
      <c r="L169" s="110"/>
      <c r="M169" s="110"/>
      <c r="N169" s="110"/>
    </row>
    <row r="170" spans="1:14" ht="12" customHeight="1" x14ac:dyDescent="0.15">
      <c r="A170" s="110"/>
      <c r="B170" s="110"/>
      <c r="C170" s="110"/>
      <c r="D170" s="110"/>
      <c r="E170" s="110"/>
      <c r="F170" s="110"/>
      <c r="G170" s="110"/>
      <c r="H170" s="110"/>
      <c r="I170" s="110"/>
      <c r="J170" s="110"/>
      <c r="K170" s="110"/>
      <c r="L170" s="110"/>
      <c r="M170" s="110"/>
      <c r="N170" s="110"/>
    </row>
    <row r="171" spans="1:14" ht="12" customHeight="1" x14ac:dyDescent="0.15">
      <c r="A171" s="110"/>
      <c r="B171" s="110"/>
      <c r="C171" s="110"/>
      <c r="D171" s="110"/>
      <c r="E171" s="110"/>
      <c r="F171" s="110"/>
      <c r="G171" s="110"/>
      <c r="H171" s="110"/>
      <c r="I171" s="110"/>
      <c r="J171" s="110"/>
      <c r="K171" s="110"/>
      <c r="L171" s="110"/>
      <c r="M171" s="110"/>
      <c r="N171" s="110"/>
    </row>
    <row r="172" spans="1:14" ht="12" customHeight="1" x14ac:dyDescent="0.15">
      <c r="A172" s="110"/>
      <c r="B172" s="110"/>
      <c r="C172" s="110"/>
      <c r="D172" s="110"/>
      <c r="E172" s="110"/>
      <c r="F172" s="110"/>
      <c r="G172" s="110"/>
      <c r="H172" s="110"/>
      <c r="I172" s="110"/>
      <c r="J172" s="110"/>
      <c r="K172" s="110"/>
      <c r="L172" s="110"/>
      <c r="M172" s="110"/>
      <c r="N172" s="110"/>
    </row>
    <row r="173" spans="1:14" ht="12" customHeight="1" x14ac:dyDescent="0.15">
      <c r="A173" s="110"/>
      <c r="B173" s="110"/>
      <c r="C173" s="110"/>
      <c r="D173" s="110"/>
      <c r="E173" s="110"/>
      <c r="F173" s="110"/>
      <c r="G173" s="110"/>
      <c r="H173" s="110"/>
      <c r="I173" s="110"/>
      <c r="J173" s="110"/>
      <c r="K173" s="110"/>
      <c r="L173" s="110"/>
      <c r="M173" s="110"/>
      <c r="N173" s="110"/>
    </row>
    <row r="174" spans="1:14" ht="12" customHeight="1" x14ac:dyDescent="0.15">
      <c r="A174" s="110"/>
      <c r="B174" s="110"/>
      <c r="C174" s="110"/>
      <c r="D174" s="110"/>
      <c r="E174" s="110"/>
      <c r="F174" s="110"/>
      <c r="G174" s="110"/>
      <c r="H174" s="110"/>
      <c r="I174" s="110"/>
      <c r="J174" s="110"/>
      <c r="K174" s="110"/>
      <c r="L174" s="110"/>
      <c r="M174" s="110"/>
      <c r="N174" s="110"/>
    </row>
    <row r="175" spans="1:14" ht="12" customHeight="1" x14ac:dyDescent="0.15">
      <c r="A175" s="110"/>
      <c r="B175" s="110"/>
      <c r="C175" s="110"/>
      <c r="D175" s="110"/>
      <c r="E175" s="110"/>
      <c r="F175" s="110"/>
      <c r="G175" s="110"/>
      <c r="H175" s="110"/>
      <c r="I175" s="110"/>
      <c r="J175" s="110"/>
      <c r="K175" s="110"/>
      <c r="L175" s="110"/>
      <c r="M175" s="110"/>
      <c r="N175" s="110"/>
    </row>
    <row r="176" spans="1:14" ht="12" customHeight="1" x14ac:dyDescent="0.15">
      <c r="A176" s="110"/>
      <c r="B176" s="110"/>
      <c r="C176" s="110"/>
      <c r="D176" s="110"/>
      <c r="E176" s="110"/>
      <c r="F176" s="110"/>
      <c r="G176" s="110"/>
      <c r="H176" s="110"/>
      <c r="I176" s="110"/>
      <c r="J176" s="110"/>
      <c r="K176" s="110"/>
      <c r="L176" s="110"/>
      <c r="M176" s="110"/>
      <c r="N176" s="110"/>
    </row>
    <row r="177" spans="1:14" ht="12" customHeight="1" x14ac:dyDescent="0.15">
      <c r="A177" s="110"/>
      <c r="B177" s="110"/>
      <c r="C177" s="110"/>
      <c r="D177" s="110"/>
      <c r="E177" s="110"/>
      <c r="F177" s="110"/>
      <c r="G177" s="110"/>
      <c r="H177" s="110"/>
      <c r="I177" s="110"/>
      <c r="J177" s="110"/>
      <c r="K177" s="110"/>
      <c r="L177" s="110"/>
      <c r="M177" s="110"/>
      <c r="N177" s="110"/>
    </row>
    <row r="178" spans="1:14" ht="12" customHeight="1" x14ac:dyDescent="0.15">
      <c r="A178" s="110"/>
      <c r="B178" s="110"/>
      <c r="C178" s="110"/>
      <c r="D178" s="110"/>
      <c r="E178" s="110"/>
      <c r="F178" s="110"/>
      <c r="G178" s="110"/>
      <c r="H178" s="110"/>
      <c r="I178" s="110"/>
      <c r="J178" s="110"/>
      <c r="K178" s="110"/>
      <c r="L178" s="110"/>
      <c r="M178" s="110"/>
      <c r="N178" s="110"/>
    </row>
    <row r="179" spans="1:14" ht="12" customHeight="1" x14ac:dyDescent="0.15">
      <c r="A179" s="110"/>
      <c r="B179" s="110"/>
      <c r="C179" s="110"/>
      <c r="D179" s="110"/>
      <c r="E179" s="110"/>
      <c r="F179" s="110"/>
      <c r="G179" s="110"/>
      <c r="H179" s="110"/>
      <c r="I179" s="110"/>
      <c r="J179" s="110"/>
      <c r="K179" s="110"/>
      <c r="L179" s="110"/>
      <c r="M179" s="110"/>
      <c r="N179" s="110"/>
    </row>
    <row r="180" spans="1:14" ht="12" customHeight="1" x14ac:dyDescent="0.15">
      <c r="A180" s="110"/>
      <c r="B180" s="110"/>
      <c r="C180" s="110"/>
      <c r="D180" s="110"/>
      <c r="E180" s="110"/>
      <c r="F180" s="110"/>
      <c r="G180" s="110"/>
      <c r="H180" s="110"/>
      <c r="I180" s="110"/>
      <c r="J180" s="110"/>
      <c r="K180" s="110"/>
      <c r="L180" s="110"/>
      <c r="M180" s="110"/>
      <c r="N180" s="110"/>
    </row>
    <row r="181" spans="1:14" ht="12" customHeight="1" x14ac:dyDescent="0.15">
      <c r="A181" s="110"/>
      <c r="B181" s="110"/>
      <c r="C181" s="110"/>
      <c r="D181" s="110"/>
      <c r="E181" s="110"/>
      <c r="F181" s="110"/>
      <c r="G181" s="110"/>
      <c r="H181" s="110"/>
      <c r="I181" s="110"/>
      <c r="J181" s="110"/>
      <c r="K181" s="110"/>
      <c r="L181" s="110"/>
      <c r="M181" s="110"/>
      <c r="N181" s="110"/>
    </row>
    <row r="182" spans="1:14" ht="12" customHeight="1" x14ac:dyDescent="0.15">
      <c r="A182" s="110"/>
      <c r="B182" s="110"/>
      <c r="C182" s="110"/>
      <c r="D182" s="110"/>
      <c r="E182" s="110"/>
      <c r="F182" s="110"/>
      <c r="G182" s="110"/>
      <c r="H182" s="110"/>
      <c r="I182" s="110"/>
      <c r="J182" s="110"/>
      <c r="K182" s="110"/>
      <c r="L182" s="110"/>
      <c r="M182" s="110"/>
      <c r="N182" s="110"/>
    </row>
    <row r="183" spans="1:14" ht="12" customHeight="1" x14ac:dyDescent="0.15">
      <c r="A183" s="110"/>
      <c r="B183" s="110"/>
      <c r="C183" s="110"/>
      <c r="D183" s="110"/>
      <c r="E183" s="110"/>
      <c r="F183" s="110"/>
      <c r="G183" s="110"/>
      <c r="H183" s="110"/>
      <c r="I183" s="110"/>
      <c r="J183" s="110"/>
      <c r="K183" s="110"/>
      <c r="L183" s="110"/>
      <c r="M183" s="110"/>
      <c r="N183" s="110"/>
    </row>
    <row r="184" spans="1:14" ht="12" customHeight="1" x14ac:dyDescent="0.15">
      <c r="A184" s="110"/>
      <c r="B184" s="110"/>
      <c r="C184" s="110"/>
      <c r="D184" s="110"/>
      <c r="E184" s="110"/>
      <c r="F184" s="110"/>
      <c r="G184" s="110"/>
      <c r="H184" s="110"/>
      <c r="I184" s="110"/>
      <c r="J184" s="110"/>
      <c r="K184" s="110"/>
      <c r="L184" s="110"/>
      <c r="M184" s="110"/>
      <c r="N184" s="110"/>
    </row>
    <row r="185" spans="1:14" ht="12" customHeight="1" x14ac:dyDescent="0.15">
      <c r="A185" s="110"/>
      <c r="B185" s="110"/>
      <c r="C185" s="110"/>
      <c r="D185" s="110"/>
      <c r="E185" s="110"/>
      <c r="F185" s="110"/>
      <c r="G185" s="110"/>
      <c r="H185" s="110"/>
      <c r="I185" s="110"/>
      <c r="J185" s="110"/>
      <c r="K185" s="110"/>
      <c r="L185" s="110"/>
      <c r="M185" s="110"/>
      <c r="N185" s="110"/>
    </row>
    <row r="186" spans="1:14" ht="12" customHeight="1" x14ac:dyDescent="0.15">
      <c r="A186" s="110"/>
      <c r="B186" s="110"/>
      <c r="C186" s="110"/>
      <c r="D186" s="110"/>
      <c r="E186" s="110"/>
      <c r="F186" s="110"/>
      <c r="G186" s="110"/>
      <c r="H186" s="110"/>
      <c r="I186" s="110"/>
      <c r="J186" s="110"/>
      <c r="K186" s="110"/>
      <c r="L186" s="110"/>
      <c r="M186" s="110"/>
      <c r="N186" s="110"/>
    </row>
    <row r="187" spans="1:14" ht="12" customHeight="1" x14ac:dyDescent="0.15">
      <c r="A187" s="110"/>
      <c r="B187" s="110"/>
      <c r="C187" s="110"/>
      <c r="D187" s="110"/>
      <c r="E187" s="110"/>
      <c r="F187" s="110"/>
      <c r="G187" s="110"/>
      <c r="H187" s="110"/>
      <c r="I187" s="110"/>
      <c r="J187" s="110"/>
      <c r="K187" s="110"/>
      <c r="L187" s="110"/>
      <c r="M187" s="110"/>
      <c r="N187" s="110"/>
    </row>
    <row r="188" spans="1:14" ht="12" customHeight="1" x14ac:dyDescent="0.15">
      <c r="A188" s="110"/>
      <c r="B188" s="110"/>
      <c r="C188" s="110"/>
      <c r="D188" s="110"/>
      <c r="E188" s="110"/>
      <c r="F188" s="110"/>
      <c r="G188" s="110"/>
      <c r="H188" s="110"/>
      <c r="I188" s="110"/>
      <c r="J188" s="110"/>
      <c r="K188" s="110"/>
      <c r="L188" s="110"/>
      <c r="M188" s="110"/>
      <c r="N188" s="110"/>
    </row>
    <row r="189" spans="1:14" ht="12" customHeight="1" x14ac:dyDescent="0.15">
      <c r="A189" s="110"/>
      <c r="B189" s="110"/>
      <c r="C189" s="110"/>
      <c r="D189" s="110"/>
      <c r="E189" s="110"/>
      <c r="F189" s="110"/>
      <c r="G189" s="110"/>
      <c r="H189" s="110"/>
      <c r="I189" s="110"/>
      <c r="J189" s="110"/>
      <c r="K189" s="110"/>
      <c r="L189" s="110"/>
      <c r="M189" s="110"/>
      <c r="N189" s="110"/>
    </row>
    <row r="190" spans="1:14" ht="12" customHeight="1" x14ac:dyDescent="0.15">
      <c r="A190" s="110"/>
      <c r="B190" s="110"/>
      <c r="C190" s="110"/>
      <c r="D190" s="110"/>
      <c r="E190" s="110"/>
      <c r="F190" s="110"/>
      <c r="G190" s="110"/>
      <c r="H190" s="110"/>
      <c r="I190" s="110"/>
      <c r="J190" s="110"/>
      <c r="K190" s="110"/>
      <c r="L190" s="110"/>
      <c r="M190" s="110"/>
      <c r="N190" s="110"/>
    </row>
    <row r="191" spans="1:14" ht="12" customHeight="1" x14ac:dyDescent="0.15">
      <c r="A191" s="110"/>
      <c r="B191" s="110"/>
      <c r="C191" s="110"/>
      <c r="D191" s="110"/>
      <c r="E191" s="110"/>
      <c r="F191" s="110"/>
      <c r="G191" s="110"/>
      <c r="H191" s="110"/>
      <c r="I191" s="110"/>
      <c r="J191" s="110"/>
      <c r="K191" s="110"/>
      <c r="L191" s="110"/>
      <c r="M191" s="110"/>
      <c r="N191" s="110"/>
    </row>
    <row r="192" spans="1:14" ht="12" customHeight="1" x14ac:dyDescent="0.15">
      <c r="A192" s="110"/>
      <c r="B192" s="110"/>
      <c r="C192" s="110"/>
      <c r="D192" s="110"/>
      <c r="E192" s="110"/>
      <c r="F192" s="110"/>
      <c r="G192" s="110"/>
      <c r="H192" s="110"/>
      <c r="I192" s="110"/>
      <c r="J192" s="110"/>
      <c r="K192" s="110"/>
      <c r="L192" s="110"/>
      <c r="M192" s="110"/>
      <c r="N192" s="110"/>
    </row>
    <row r="193" spans="1:14" ht="12" customHeight="1" x14ac:dyDescent="0.15">
      <c r="A193" s="110"/>
      <c r="B193" s="110"/>
      <c r="C193" s="110"/>
      <c r="D193" s="110"/>
      <c r="E193" s="110"/>
      <c r="F193" s="110"/>
      <c r="G193" s="110"/>
      <c r="H193" s="110"/>
      <c r="I193" s="110"/>
      <c r="J193" s="110"/>
      <c r="K193" s="110"/>
      <c r="L193" s="110"/>
      <c r="M193" s="110"/>
      <c r="N193" s="110"/>
    </row>
    <row r="194" spans="1:14" ht="12" customHeight="1" x14ac:dyDescent="0.15">
      <c r="A194" s="110"/>
      <c r="B194" s="110"/>
      <c r="C194" s="110"/>
      <c r="D194" s="110"/>
      <c r="E194" s="110"/>
      <c r="F194" s="110"/>
      <c r="G194" s="110"/>
      <c r="H194" s="110"/>
      <c r="I194" s="110"/>
      <c r="J194" s="110"/>
      <c r="K194" s="110"/>
      <c r="L194" s="110"/>
      <c r="M194" s="110"/>
      <c r="N194" s="110"/>
    </row>
    <row r="195" spans="1:14" ht="12" customHeight="1" x14ac:dyDescent="0.15">
      <c r="A195" s="110"/>
      <c r="B195" s="110"/>
      <c r="C195" s="110"/>
      <c r="D195" s="110"/>
      <c r="E195" s="110"/>
      <c r="F195" s="110"/>
      <c r="G195" s="110"/>
      <c r="H195" s="110"/>
      <c r="I195" s="110"/>
      <c r="J195" s="110"/>
      <c r="K195" s="110"/>
      <c r="L195" s="110"/>
      <c r="M195" s="110"/>
      <c r="N195" s="110"/>
    </row>
    <row r="196" spans="1:14" ht="12" customHeight="1" x14ac:dyDescent="0.15">
      <c r="A196" s="110"/>
      <c r="B196" s="110"/>
      <c r="C196" s="110"/>
      <c r="D196" s="110"/>
      <c r="E196" s="110"/>
      <c r="F196" s="110"/>
      <c r="G196" s="110"/>
      <c r="H196" s="110"/>
      <c r="I196" s="110"/>
      <c r="J196" s="110"/>
      <c r="K196" s="110"/>
      <c r="L196" s="110"/>
      <c r="M196" s="110"/>
      <c r="N196" s="110"/>
    </row>
    <row r="197" spans="1:14" ht="12" customHeight="1" x14ac:dyDescent="0.15">
      <c r="A197" s="110"/>
      <c r="B197" s="110"/>
      <c r="C197" s="110"/>
      <c r="D197" s="110"/>
      <c r="E197" s="110"/>
      <c r="F197" s="110"/>
      <c r="G197" s="110"/>
      <c r="H197" s="110"/>
      <c r="I197" s="110"/>
      <c r="J197" s="110"/>
      <c r="K197" s="110"/>
      <c r="L197" s="110"/>
      <c r="M197" s="110"/>
      <c r="N197" s="110"/>
    </row>
    <row r="198" spans="1:14" ht="12" customHeight="1" x14ac:dyDescent="0.15">
      <c r="A198" s="110"/>
      <c r="B198" s="110"/>
      <c r="C198" s="110"/>
      <c r="D198" s="110"/>
      <c r="E198" s="110"/>
      <c r="F198" s="110"/>
      <c r="G198" s="110"/>
      <c r="H198" s="110"/>
      <c r="I198" s="110"/>
      <c r="J198" s="110"/>
      <c r="K198" s="110"/>
      <c r="L198" s="110"/>
      <c r="M198" s="110"/>
      <c r="N198" s="110"/>
    </row>
    <row r="199" spans="1:14" ht="12" customHeight="1" x14ac:dyDescent="0.15">
      <c r="A199" s="110"/>
      <c r="B199" s="110"/>
      <c r="C199" s="110"/>
      <c r="D199" s="110"/>
      <c r="E199" s="110"/>
      <c r="F199" s="110"/>
      <c r="G199" s="110"/>
      <c r="H199" s="110"/>
      <c r="I199" s="110"/>
      <c r="J199" s="110"/>
      <c r="K199" s="110"/>
      <c r="L199" s="110"/>
      <c r="M199" s="110"/>
      <c r="N199" s="110"/>
    </row>
    <row r="200" spans="1:14" ht="12" customHeight="1" x14ac:dyDescent="0.15">
      <c r="A200" s="110"/>
      <c r="B200" s="110"/>
      <c r="C200" s="110"/>
      <c r="D200" s="110"/>
      <c r="E200" s="110"/>
      <c r="F200" s="110"/>
      <c r="G200" s="110"/>
      <c r="H200" s="110"/>
      <c r="I200" s="110"/>
      <c r="J200" s="110"/>
      <c r="K200" s="110"/>
      <c r="L200" s="110"/>
      <c r="M200" s="110"/>
      <c r="N200" s="110"/>
    </row>
    <row r="201" spans="1:14" ht="12" customHeight="1" x14ac:dyDescent="0.15">
      <c r="A201" s="110"/>
      <c r="B201" s="110"/>
      <c r="C201" s="110"/>
      <c r="D201" s="110"/>
      <c r="E201" s="110"/>
      <c r="F201" s="110"/>
      <c r="G201" s="110"/>
      <c r="H201" s="110"/>
      <c r="I201" s="110"/>
      <c r="J201" s="110"/>
      <c r="K201" s="110"/>
      <c r="L201" s="110"/>
      <c r="M201" s="110"/>
      <c r="N201" s="110"/>
    </row>
    <row r="202" spans="1:14" ht="12" customHeight="1" x14ac:dyDescent="0.15">
      <c r="A202" s="110"/>
      <c r="B202" s="110"/>
      <c r="C202" s="110"/>
      <c r="D202" s="110"/>
      <c r="E202" s="110"/>
      <c r="F202" s="110"/>
      <c r="G202" s="110"/>
      <c r="H202" s="110"/>
      <c r="I202" s="110"/>
      <c r="J202" s="110"/>
      <c r="K202" s="110"/>
      <c r="L202" s="110"/>
      <c r="M202" s="110"/>
      <c r="N202" s="110"/>
    </row>
    <row r="203" spans="1:14" ht="12" customHeight="1" x14ac:dyDescent="0.15">
      <c r="A203" s="110"/>
      <c r="B203" s="110"/>
      <c r="C203" s="110"/>
      <c r="D203" s="110"/>
      <c r="E203" s="110"/>
      <c r="F203" s="110"/>
      <c r="G203" s="110"/>
      <c r="H203" s="110"/>
      <c r="I203" s="110"/>
      <c r="J203" s="110"/>
      <c r="K203" s="110"/>
      <c r="L203" s="110"/>
      <c r="M203" s="110"/>
      <c r="N203" s="110"/>
    </row>
    <row r="204" spans="1:14" ht="12" customHeight="1" x14ac:dyDescent="0.15">
      <c r="A204" s="110"/>
      <c r="B204" s="110"/>
      <c r="C204" s="110"/>
      <c r="D204" s="110"/>
      <c r="E204" s="110"/>
      <c r="F204" s="110"/>
      <c r="G204" s="110"/>
      <c r="H204" s="110"/>
      <c r="I204" s="110"/>
      <c r="J204" s="110"/>
      <c r="K204" s="110"/>
      <c r="L204" s="110"/>
      <c r="M204" s="110"/>
      <c r="N204" s="110"/>
    </row>
    <row r="205" spans="1:14" ht="12" customHeight="1" x14ac:dyDescent="0.15">
      <c r="A205" s="110"/>
      <c r="B205" s="110"/>
      <c r="C205" s="110"/>
      <c r="D205" s="110"/>
      <c r="E205" s="110"/>
      <c r="F205" s="110"/>
      <c r="G205" s="110"/>
      <c r="H205" s="110"/>
      <c r="I205" s="110"/>
      <c r="J205" s="110"/>
      <c r="K205" s="110"/>
      <c r="L205" s="110"/>
      <c r="M205" s="110"/>
      <c r="N205" s="110"/>
    </row>
    <row r="206" spans="1:14" ht="12" customHeight="1" x14ac:dyDescent="0.15">
      <c r="A206" s="110"/>
      <c r="B206" s="110"/>
      <c r="C206" s="110"/>
      <c r="D206" s="110"/>
      <c r="E206" s="110"/>
      <c r="F206" s="110"/>
      <c r="G206" s="110"/>
      <c r="H206" s="110"/>
      <c r="I206" s="110"/>
      <c r="J206" s="110"/>
      <c r="K206" s="110"/>
      <c r="L206" s="110"/>
      <c r="M206" s="110"/>
      <c r="N206" s="110"/>
    </row>
    <row r="207" spans="1:14" ht="12" customHeight="1" x14ac:dyDescent="0.15">
      <c r="A207" s="110"/>
      <c r="B207" s="110"/>
      <c r="C207" s="110"/>
      <c r="D207" s="110"/>
      <c r="E207" s="110"/>
      <c r="F207" s="110"/>
      <c r="G207" s="110"/>
      <c r="H207" s="110"/>
      <c r="I207" s="110"/>
      <c r="J207" s="110"/>
      <c r="K207" s="110"/>
      <c r="L207" s="110"/>
      <c r="M207" s="110"/>
      <c r="N207" s="110"/>
    </row>
    <row r="208" spans="1:14" ht="12" customHeight="1" x14ac:dyDescent="0.15">
      <c r="A208" s="110"/>
      <c r="B208" s="110"/>
      <c r="C208" s="110"/>
      <c r="D208" s="110"/>
      <c r="E208" s="110"/>
      <c r="F208" s="110"/>
      <c r="G208" s="110"/>
      <c r="H208" s="110"/>
      <c r="I208" s="110"/>
      <c r="J208" s="110"/>
      <c r="K208" s="110"/>
      <c r="L208" s="110"/>
      <c r="M208" s="110"/>
      <c r="N208" s="110"/>
    </row>
    <row r="209" spans="1:14" ht="12" customHeight="1" x14ac:dyDescent="0.15">
      <c r="A209" s="110"/>
      <c r="B209" s="110"/>
      <c r="C209" s="110"/>
      <c r="D209" s="110"/>
      <c r="E209" s="110"/>
      <c r="F209" s="110"/>
      <c r="G209" s="110"/>
      <c r="H209" s="110"/>
      <c r="I209" s="110"/>
      <c r="J209" s="110"/>
      <c r="K209" s="110"/>
      <c r="L209" s="110"/>
      <c r="M209" s="110"/>
      <c r="N209" s="110"/>
    </row>
    <row r="210" spans="1:14" ht="12" customHeight="1" x14ac:dyDescent="0.15">
      <c r="A210" s="110"/>
      <c r="B210" s="110"/>
      <c r="C210" s="110"/>
      <c r="D210" s="110"/>
      <c r="E210" s="110"/>
      <c r="F210" s="110"/>
      <c r="G210" s="110"/>
      <c r="H210" s="110"/>
      <c r="I210" s="110"/>
      <c r="J210" s="110"/>
      <c r="K210" s="110"/>
      <c r="L210" s="110"/>
      <c r="M210" s="110"/>
      <c r="N210" s="110"/>
    </row>
    <row r="211" spans="1:14" ht="12" customHeight="1" x14ac:dyDescent="0.15">
      <c r="A211" s="110"/>
      <c r="B211" s="110"/>
      <c r="C211" s="110"/>
      <c r="D211" s="110"/>
      <c r="E211" s="110"/>
      <c r="F211" s="110"/>
      <c r="G211" s="110"/>
      <c r="H211" s="110"/>
      <c r="I211" s="110"/>
      <c r="J211" s="110"/>
      <c r="K211" s="110"/>
      <c r="L211" s="110"/>
      <c r="M211" s="110"/>
      <c r="N211" s="110"/>
    </row>
    <row r="212" spans="1:14" ht="12" customHeight="1" x14ac:dyDescent="0.15">
      <c r="A212" s="110"/>
      <c r="B212" s="110"/>
      <c r="C212" s="110"/>
      <c r="D212" s="110"/>
      <c r="E212" s="110"/>
      <c r="F212" s="110"/>
      <c r="G212" s="110"/>
      <c r="H212" s="110"/>
      <c r="I212" s="110"/>
      <c r="J212" s="110"/>
      <c r="K212" s="110"/>
      <c r="L212" s="110"/>
      <c r="M212" s="110"/>
      <c r="N212" s="110"/>
    </row>
    <row r="213" spans="1:14" ht="12" customHeight="1" x14ac:dyDescent="0.15">
      <c r="A213" s="110"/>
      <c r="B213" s="110"/>
      <c r="C213" s="110"/>
      <c r="D213" s="110"/>
      <c r="E213" s="110"/>
      <c r="F213" s="110"/>
      <c r="G213" s="110"/>
      <c r="H213" s="110"/>
      <c r="I213" s="110"/>
      <c r="J213" s="110"/>
      <c r="K213" s="110"/>
      <c r="L213" s="110"/>
      <c r="M213" s="110"/>
      <c r="N213" s="110"/>
    </row>
    <row r="214" spans="1:14" ht="12" customHeight="1" x14ac:dyDescent="0.15">
      <c r="A214" s="110"/>
      <c r="B214" s="110"/>
      <c r="C214" s="110"/>
      <c r="D214" s="110"/>
      <c r="E214" s="110"/>
      <c r="F214" s="110"/>
      <c r="G214" s="110"/>
      <c r="H214" s="110"/>
      <c r="I214" s="110"/>
      <c r="J214" s="110"/>
      <c r="K214" s="110"/>
      <c r="L214" s="110"/>
      <c r="M214" s="110"/>
      <c r="N214" s="110"/>
    </row>
    <row r="215" spans="1:14" ht="12" customHeight="1" x14ac:dyDescent="0.15">
      <c r="A215" s="110"/>
      <c r="B215" s="110"/>
      <c r="C215" s="110"/>
      <c r="D215" s="110"/>
      <c r="E215" s="110"/>
      <c r="F215" s="110"/>
      <c r="G215" s="110"/>
      <c r="H215" s="110"/>
      <c r="I215" s="110"/>
      <c r="J215" s="110"/>
      <c r="K215" s="110"/>
      <c r="L215" s="110"/>
      <c r="M215" s="110"/>
      <c r="N215" s="110"/>
    </row>
    <row r="216" spans="1:14" ht="12" customHeight="1" x14ac:dyDescent="0.15">
      <c r="A216" s="110"/>
      <c r="B216" s="110"/>
      <c r="C216" s="110"/>
      <c r="D216" s="110"/>
      <c r="E216" s="110"/>
      <c r="F216" s="110"/>
      <c r="G216" s="110"/>
      <c r="H216" s="110"/>
      <c r="I216" s="110"/>
      <c r="J216" s="110"/>
      <c r="K216" s="110"/>
      <c r="L216" s="110"/>
      <c r="M216" s="110"/>
      <c r="N216" s="110"/>
    </row>
    <row r="217" spans="1:14" ht="12" customHeight="1" x14ac:dyDescent="0.15">
      <c r="A217" s="110"/>
      <c r="B217" s="110"/>
      <c r="C217" s="110"/>
      <c r="D217" s="110"/>
      <c r="E217" s="110"/>
      <c r="F217" s="110"/>
      <c r="G217" s="110"/>
      <c r="H217" s="110"/>
      <c r="I217" s="110"/>
      <c r="J217" s="110"/>
      <c r="K217" s="110"/>
      <c r="L217" s="110"/>
      <c r="M217" s="110"/>
      <c r="N217" s="110"/>
    </row>
    <row r="218" spans="1:14" ht="12" customHeight="1" x14ac:dyDescent="0.15">
      <c r="A218" s="110"/>
      <c r="B218" s="110"/>
      <c r="C218" s="110"/>
      <c r="D218" s="110"/>
      <c r="E218" s="110"/>
      <c r="F218" s="110"/>
      <c r="G218" s="110"/>
      <c r="H218" s="110"/>
      <c r="I218" s="110"/>
      <c r="J218" s="110"/>
      <c r="K218" s="110"/>
      <c r="L218" s="110"/>
      <c r="M218" s="110"/>
      <c r="N218" s="110"/>
    </row>
    <row r="219" spans="1:14" ht="12" customHeight="1" x14ac:dyDescent="0.15">
      <c r="A219" s="110"/>
      <c r="B219" s="110"/>
      <c r="C219" s="110"/>
      <c r="D219" s="110"/>
      <c r="E219" s="110"/>
      <c r="F219" s="110"/>
      <c r="G219" s="110"/>
      <c r="H219" s="110"/>
      <c r="I219" s="110"/>
      <c r="J219" s="110"/>
      <c r="K219" s="110"/>
      <c r="L219" s="110"/>
      <c r="M219" s="110"/>
      <c r="N219" s="110"/>
    </row>
    <row r="220" spans="1:14" ht="12" customHeight="1" x14ac:dyDescent="0.15">
      <c r="A220" s="110"/>
      <c r="B220" s="110"/>
      <c r="C220" s="110"/>
      <c r="D220" s="110"/>
      <c r="E220" s="110"/>
      <c r="F220" s="110"/>
      <c r="G220" s="110"/>
      <c r="H220" s="110"/>
      <c r="I220" s="110"/>
      <c r="J220" s="110"/>
      <c r="K220" s="110"/>
      <c r="L220" s="110"/>
      <c r="M220" s="110"/>
      <c r="N220" s="110"/>
    </row>
    <row r="221" spans="1:14" ht="12" customHeight="1" x14ac:dyDescent="0.15">
      <c r="A221" s="110"/>
      <c r="B221" s="110"/>
      <c r="C221" s="110"/>
      <c r="D221" s="110"/>
      <c r="E221" s="110"/>
      <c r="F221" s="110"/>
      <c r="G221" s="110"/>
      <c r="H221" s="110"/>
      <c r="I221" s="110"/>
      <c r="J221" s="110"/>
      <c r="K221" s="110"/>
      <c r="L221" s="110"/>
      <c r="M221" s="110"/>
      <c r="N221" s="110"/>
    </row>
    <row r="222" spans="1:14" ht="12" customHeight="1" x14ac:dyDescent="0.15">
      <c r="A222" s="110"/>
      <c r="B222" s="110"/>
      <c r="C222" s="110"/>
      <c r="D222" s="110"/>
      <c r="E222" s="110"/>
      <c r="F222" s="110"/>
      <c r="G222" s="110"/>
      <c r="H222" s="110"/>
      <c r="I222" s="110"/>
      <c r="J222" s="110"/>
      <c r="K222" s="110"/>
      <c r="L222" s="110"/>
      <c r="M222" s="110"/>
      <c r="N222" s="110"/>
    </row>
    <row r="223" spans="1:14" ht="12" customHeight="1" x14ac:dyDescent="0.15">
      <c r="A223" s="110"/>
      <c r="B223" s="110"/>
      <c r="C223" s="110"/>
      <c r="D223" s="110"/>
      <c r="E223" s="110"/>
      <c r="F223" s="110"/>
      <c r="G223" s="110"/>
      <c r="H223" s="110"/>
      <c r="I223" s="110"/>
      <c r="J223" s="110"/>
      <c r="K223" s="110"/>
      <c r="L223" s="110"/>
      <c r="M223" s="110"/>
      <c r="N223" s="110"/>
    </row>
    <row r="224" spans="1:14" ht="12" customHeight="1" x14ac:dyDescent="0.15">
      <c r="A224" s="110"/>
      <c r="B224" s="110"/>
      <c r="C224" s="110"/>
      <c r="D224" s="110"/>
      <c r="E224" s="110"/>
      <c r="F224" s="110"/>
      <c r="G224" s="110"/>
      <c r="H224" s="110"/>
      <c r="I224" s="110"/>
      <c r="J224" s="110"/>
      <c r="K224" s="110"/>
      <c r="L224" s="110"/>
      <c r="M224" s="110"/>
      <c r="N224" s="110"/>
    </row>
    <row r="225" spans="1:14" ht="12" customHeight="1" x14ac:dyDescent="0.15">
      <c r="A225" s="110"/>
      <c r="B225" s="110"/>
      <c r="C225" s="110"/>
      <c r="D225" s="110"/>
      <c r="E225" s="110"/>
      <c r="F225" s="110"/>
      <c r="G225" s="110"/>
      <c r="H225" s="110"/>
      <c r="I225" s="110"/>
      <c r="J225" s="110"/>
      <c r="K225" s="110"/>
      <c r="L225" s="110"/>
      <c r="M225" s="110"/>
      <c r="N225" s="110"/>
    </row>
    <row r="226" spans="1:14" ht="12" customHeight="1" x14ac:dyDescent="0.15">
      <c r="A226" s="110"/>
      <c r="B226" s="110"/>
      <c r="C226" s="110"/>
      <c r="D226" s="110"/>
      <c r="E226" s="110"/>
      <c r="F226" s="110"/>
      <c r="G226" s="110"/>
      <c r="H226" s="110"/>
      <c r="I226" s="110"/>
      <c r="J226" s="110"/>
      <c r="K226" s="110"/>
      <c r="L226" s="110"/>
      <c r="M226" s="110"/>
      <c r="N226" s="110"/>
    </row>
    <row r="227" spans="1:14" ht="12" customHeight="1" x14ac:dyDescent="0.15">
      <c r="A227" s="110"/>
      <c r="B227" s="110"/>
      <c r="C227" s="110"/>
      <c r="D227" s="110"/>
      <c r="E227" s="110"/>
      <c r="F227" s="110"/>
      <c r="G227" s="110"/>
      <c r="H227" s="110"/>
      <c r="I227" s="110"/>
      <c r="J227" s="110"/>
      <c r="K227" s="110"/>
      <c r="L227" s="110"/>
      <c r="M227" s="110"/>
      <c r="N227" s="110"/>
    </row>
    <row r="228" spans="1:14" ht="12" customHeight="1" x14ac:dyDescent="0.15">
      <c r="A228" s="110"/>
      <c r="B228" s="110"/>
      <c r="C228" s="110"/>
      <c r="D228" s="110"/>
      <c r="E228" s="110"/>
      <c r="F228" s="110"/>
      <c r="G228" s="110"/>
      <c r="H228" s="110"/>
      <c r="I228" s="110"/>
      <c r="J228" s="110"/>
      <c r="K228" s="110"/>
      <c r="L228" s="110"/>
      <c r="M228" s="110"/>
      <c r="N228" s="110"/>
    </row>
    <row r="229" spans="1:14" ht="12" customHeight="1" x14ac:dyDescent="0.15">
      <c r="A229" s="110"/>
      <c r="B229" s="110"/>
      <c r="C229" s="110"/>
      <c r="D229" s="110"/>
      <c r="E229" s="110"/>
      <c r="F229" s="110"/>
      <c r="G229" s="110"/>
      <c r="H229" s="110"/>
      <c r="I229" s="110"/>
      <c r="J229" s="110"/>
      <c r="K229" s="110"/>
      <c r="L229" s="110"/>
      <c r="M229" s="110"/>
      <c r="N229" s="110"/>
    </row>
    <row r="230" spans="1:14" ht="12" customHeight="1" x14ac:dyDescent="0.15">
      <c r="A230" s="110"/>
      <c r="B230" s="110"/>
      <c r="C230" s="110"/>
      <c r="D230" s="110"/>
      <c r="E230" s="110"/>
      <c r="F230" s="110"/>
      <c r="G230" s="110"/>
      <c r="H230" s="110"/>
      <c r="I230" s="110"/>
      <c r="J230" s="110"/>
      <c r="K230" s="110"/>
      <c r="L230" s="110"/>
      <c r="M230" s="110"/>
      <c r="N230" s="110"/>
    </row>
    <row r="231" spans="1:14" ht="12" customHeight="1" x14ac:dyDescent="0.15">
      <c r="A231" s="110"/>
      <c r="B231" s="110"/>
      <c r="C231" s="110"/>
      <c r="D231" s="110"/>
      <c r="E231" s="110"/>
      <c r="F231" s="110"/>
      <c r="G231" s="110"/>
      <c r="H231" s="110"/>
      <c r="I231" s="110"/>
      <c r="J231" s="110"/>
      <c r="K231" s="110"/>
      <c r="L231" s="110"/>
      <c r="M231" s="110"/>
      <c r="N231" s="110"/>
    </row>
    <row r="232" spans="1:14" ht="12" customHeight="1" x14ac:dyDescent="0.15">
      <c r="A232" s="110"/>
      <c r="B232" s="110"/>
      <c r="C232" s="110"/>
      <c r="D232" s="110"/>
      <c r="E232" s="110"/>
      <c r="F232" s="110"/>
      <c r="G232" s="110"/>
      <c r="H232" s="110"/>
      <c r="I232" s="110"/>
      <c r="J232" s="110"/>
      <c r="K232" s="110"/>
      <c r="L232" s="110"/>
      <c r="M232" s="110"/>
      <c r="N232" s="110"/>
    </row>
    <row r="233" spans="1:14" ht="12" customHeight="1" x14ac:dyDescent="0.15">
      <c r="A233" s="110"/>
      <c r="B233" s="110"/>
      <c r="C233" s="110"/>
      <c r="D233" s="110"/>
      <c r="E233" s="110"/>
      <c r="F233" s="110"/>
      <c r="G233" s="110"/>
      <c r="H233" s="110"/>
      <c r="I233" s="110"/>
      <c r="J233" s="110"/>
      <c r="K233" s="110"/>
      <c r="L233" s="110"/>
      <c r="M233" s="110"/>
      <c r="N233" s="110"/>
    </row>
    <row r="234" spans="1:14" ht="12" customHeight="1" x14ac:dyDescent="0.15">
      <c r="A234" s="110"/>
      <c r="B234" s="110"/>
      <c r="C234" s="110"/>
      <c r="D234" s="110"/>
      <c r="E234" s="110"/>
      <c r="F234" s="110"/>
      <c r="G234" s="110"/>
      <c r="H234" s="110"/>
      <c r="I234" s="110"/>
      <c r="J234" s="110"/>
      <c r="K234" s="110"/>
      <c r="L234" s="110"/>
      <c r="M234" s="110"/>
      <c r="N234" s="110"/>
    </row>
    <row r="235" spans="1:14" ht="12" customHeight="1" x14ac:dyDescent="0.15">
      <c r="A235" s="110"/>
      <c r="B235" s="110"/>
      <c r="C235" s="110"/>
      <c r="D235" s="110"/>
      <c r="E235" s="110"/>
      <c r="F235" s="110"/>
      <c r="G235" s="110"/>
      <c r="H235" s="110"/>
      <c r="I235" s="110"/>
      <c r="J235" s="110"/>
      <c r="K235" s="110"/>
      <c r="L235" s="110"/>
      <c r="M235" s="110"/>
      <c r="N235" s="110"/>
    </row>
    <row r="236" spans="1:14" ht="12" customHeight="1" x14ac:dyDescent="0.15">
      <c r="A236" s="110"/>
      <c r="B236" s="110"/>
      <c r="C236" s="110"/>
      <c r="D236" s="110"/>
      <c r="E236" s="110"/>
      <c r="F236" s="110"/>
      <c r="G236" s="110"/>
      <c r="H236" s="110"/>
      <c r="I236" s="110"/>
      <c r="J236" s="110"/>
      <c r="K236" s="110"/>
      <c r="L236" s="110"/>
      <c r="M236" s="110"/>
      <c r="N236" s="110"/>
    </row>
    <row r="237" spans="1:14" ht="12" customHeight="1" x14ac:dyDescent="0.15">
      <c r="A237" s="110"/>
      <c r="B237" s="110"/>
      <c r="C237" s="110"/>
      <c r="D237" s="110"/>
      <c r="E237" s="110"/>
      <c r="F237" s="110"/>
      <c r="G237" s="110"/>
      <c r="H237" s="110"/>
      <c r="I237" s="110"/>
      <c r="J237" s="110"/>
      <c r="K237" s="110"/>
      <c r="L237" s="110"/>
      <c r="M237" s="110"/>
      <c r="N237" s="110"/>
    </row>
    <row r="238" spans="1:14" ht="12" customHeight="1" x14ac:dyDescent="0.15">
      <c r="A238" s="110"/>
      <c r="B238" s="110"/>
      <c r="C238" s="110"/>
      <c r="D238" s="110"/>
      <c r="E238" s="110"/>
      <c r="F238" s="110"/>
      <c r="G238" s="110"/>
      <c r="H238" s="110"/>
      <c r="I238" s="110"/>
      <c r="J238" s="110"/>
      <c r="K238" s="110"/>
      <c r="L238" s="110"/>
      <c r="M238" s="110"/>
      <c r="N238" s="110"/>
    </row>
    <row r="239" spans="1:14" ht="12" customHeight="1" x14ac:dyDescent="0.15">
      <c r="A239" s="110"/>
      <c r="B239" s="110"/>
      <c r="C239" s="110"/>
      <c r="D239" s="110"/>
      <c r="E239" s="110"/>
      <c r="F239" s="110"/>
      <c r="G239" s="110"/>
      <c r="H239" s="110"/>
      <c r="I239" s="110"/>
      <c r="J239" s="110"/>
      <c r="K239" s="110"/>
      <c r="L239" s="110"/>
      <c r="M239" s="110"/>
      <c r="N239" s="110"/>
    </row>
    <row r="240" spans="1:14" ht="12" customHeight="1" x14ac:dyDescent="0.15">
      <c r="A240" s="110"/>
      <c r="B240" s="110"/>
      <c r="C240" s="110"/>
      <c r="D240" s="110"/>
      <c r="E240" s="110"/>
      <c r="F240" s="110"/>
      <c r="G240" s="110"/>
      <c r="H240" s="110"/>
      <c r="I240" s="110"/>
      <c r="J240" s="110"/>
      <c r="K240" s="110"/>
      <c r="L240" s="110"/>
      <c r="M240" s="110"/>
      <c r="N240" s="110"/>
    </row>
    <row r="241" spans="1:14" ht="12" customHeight="1" x14ac:dyDescent="0.15">
      <c r="A241" s="110"/>
      <c r="B241" s="110"/>
      <c r="C241" s="110"/>
      <c r="D241" s="110"/>
      <c r="E241" s="110"/>
      <c r="F241" s="110"/>
      <c r="G241" s="110"/>
      <c r="H241" s="110"/>
      <c r="I241" s="110"/>
      <c r="J241" s="110"/>
      <c r="K241" s="110"/>
      <c r="L241" s="110"/>
      <c r="M241" s="110"/>
      <c r="N241" s="110"/>
    </row>
    <row r="242" spans="1:14" ht="12" customHeight="1" x14ac:dyDescent="0.15">
      <c r="A242" s="110"/>
      <c r="B242" s="110"/>
      <c r="C242" s="110"/>
      <c r="D242" s="110"/>
      <c r="E242" s="110"/>
      <c r="F242" s="110"/>
      <c r="G242" s="110"/>
      <c r="H242" s="110"/>
      <c r="I242" s="110"/>
      <c r="J242" s="110"/>
      <c r="K242" s="110"/>
      <c r="L242" s="110"/>
      <c r="M242" s="110"/>
      <c r="N242" s="110"/>
    </row>
    <row r="243" spans="1:14" ht="12" customHeight="1" x14ac:dyDescent="0.15">
      <c r="A243" s="110"/>
      <c r="B243" s="110"/>
      <c r="C243" s="110"/>
      <c r="D243" s="110"/>
      <c r="E243" s="110"/>
      <c r="F243" s="110"/>
      <c r="G243" s="110"/>
      <c r="H243" s="110"/>
      <c r="I243" s="110"/>
      <c r="J243" s="110"/>
      <c r="K243" s="110"/>
      <c r="L243" s="110"/>
      <c r="M243" s="110"/>
      <c r="N243" s="110"/>
    </row>
    <row r="244" spans="1:14" ht="12" customHeight="1" x14ac:dyDescent="0.15">
      <c r="A244" s="110"/>
      <c r="B244" s="110"/>
      <c r="C244" s="110"/>
      <c r="D244" s="110"/>
      <c r="E244" s="110"/>
      <c r="F244" s="110"/>
      <c r="G244" s="110"/>
      <c r="H244" s="110"/>
      <c r="I244" s="110"/>
      <c r="J244" s="110"/>
      <c r="K244" s="110"/>
      <c r="L244" s="110"/>
      <c r="M244" s="110"/>
      <c r="N244" s="110"/>
    </row>
    <row r="245" spans="1:14" ht="12" customHeight="1" x14ac:dyDescent="0.15">
      <c r="A245" s="110"/>
      <c r="B245" s="110"/>
      <c r="C245" s="110"/>
      <c r="D245" s="110"/>
      <c r="E245" s="110"/>
      <c r="F245" s="110"/>
      <c r="G245" s="110"/>
      <c r="H245" s="110"/>
      <c r="I245" s="110"/>
      <c r="J245" s="110"/>
      <c r="K245" s="110"/>
      <c r="L245" s="110"/>
      <c r="M245" s="110"/>
      <c r="N245" s="110"/>
    </row>
    <row r="246" spans="1:14" ht="12" customHeight="1" x14ac:dyDescent="0.15">
      <c r="A246" s="110"/>
      <c r="B246" s="110"/>
      <c r="C246" s="110"/>
      <c r="D246" s="110"/>
      <c r="E246" s="110"/>
      <c r="F246" s="110"/>
      <c r="G246" s="110"/>
      <c r="H246" s="110"/>
      <c r="I246" s="110"/>
      <c r="J246" s="110"/>
      <c r="K246" s="110"/>
      <c r="L246" s="110"/>
      <c r="M246" s="110"/>
      <c r="N246" s="110"/>
    </row>
    <row r="247" spans="1:14" ht="12" customHeight="1" x14ac:dyDescent="0.15">
      <c r="A247" s="110"/>
      <c r="B247" s="110"/>
      <c r="C247" s="110"/>
      <c r="D247" s="110"/>
      <c r="E247" s="110"/>
      <c r="F247" s="110"/>
      <c r="G247" s="110"/>
      <c r="H247" s="110"/>
      <c r="I247" s="110"/>
      <c r="J247" s="110"/>
      <c r="K247" s="110"/>
      <c r="L247" s="110"/>
      <c r="M247" s="110"/>
      <c r="N247" s="110"/>
    </row>
    <row r="248" spans="1:14" ht="12" customHeight="1" x14ac:dyDescent="0.15">
      <c r="A248" s="110"/>
      <c r="B248" s="110"/>
      <c r="C248" s="110"/>
      <c r="D248" s="110"/>
      <c r="E248" s="110"/>
      <c r="F248" s="110"/>
      <c r="G248" s="110"/>
      <c r="H248" s="110"/>
      <c r="I248" s="110"/>
      <c r="J248" s="110"/>
      <c r="K248" s="110"/>
      <c r="L248" s="110"/>
      <c r="M248" s="110"/>
      <c r="N248" s="110"/>
    </row>
    <row r="249" spans="1:14" ht="12" customHeight="1" x14ac:dyDescent="0.15">
      <c r="A249" s="110"/>
      <c r="B249" s="110"/>
      <c r="C249" s="110"/>
      <c r="D249" s="110"/>
      <c r="E249" s="110"/>
      <c r="F249" s="110"/>
      <c r="G249" s="110"/>
      <c r="H249" s="110"/>
      <c r="I249" s="110"/>
      <c r="J249" s="110"/>
      <c r="K249" s="110"/>
      <c r="L249" s="110"/>
      <c r="M249" s="110"/>
      <c r="N249" s="110"/>
    </row>
    <row r="250" spans="1:14" ht="12" customHeight="1" x14ac:dyDescent="0.15">
      <c r="A250" s="110"/>
      <c r="B250" s="110"/>
      <c r="C250" s="110"/>
      <c r="D250" s="110"/>
      <c r="E250" s="110"/>
      <c r="F250" s="110"/>
      <c r="G250" s="110"/>
      <c r="H250" s="110"/>
      <c r="I250" s="110"/>
      <c r="J250" s="110"/>
      <c r="K250" s="110"/>
      <c r="L250" s="110"/>
      <c r="M250" s="110"/>
      <c r="N250" s="110"/>
    </row>
    <row r="251" spans="1:14" ht="12" customHeight="1" x14ac:dyDescent="0.15">
      <c r="A251" s="110"/>
      <c r="B251" s="110"/>
      <c r="C251" s="110"/>
      <c r="D251" s="110"/>
      <c r="E251" s="110"/>
      <c r="F251" s="110"/>
      <c r="G251" s="110"/>
      <c r="H251" s="110"/>
      <c r="I251" s="110"/>
      <c r="J251" s="110"/>
      <c r="K251" s="110"/>
      <c r="L251" s="110"/>
      <c r="M251" s="110"/>
      <c r="N251" s="110"/>
    </row>
    <row r="252" spans="1:14" ht="12" customHeight="1" x14ac:dyDescent="0.15">
      <c r="A252" s="110"/>
      <c r="B252" s="110"/>
      <c r="C252" s="110"/>
      <c r="D252" s="110"/>
      <c r="E252" s="110"/>
      <c r="F252" s="110"/>
      <c r="G252" s="110"/>
      <c r="H252" s="110"/>
      <c r="I252" s="110"/>
      <c r="J252" s="110"/>
      <c r="K252" s="110"/>
      <c r="L252" s="110"/>
      <c r="M252" s="110"/>
      <c r="N252" s="110"/>
    </row>
    <row r="253" spans="1:14" ht="12" customHeight="1" x14ac:dyDescent="0.15">
      <c r="A253" s="110"/>
      <c r="B253" s="110"/>
      <c r="C253" s="110"/>
      <c r="D253" s="110"/>
      <c r="E253" s="110"/>
      <c r="F253" s="110"/>
      <c r="G253" s="110"/>
      <c r="H253" s="110"/>
      <c r="I253" s="110"/>
      <c r="J253" s="110"/>
      <c r="K253" s="110"/>
      <c r="L253" s="110"/>
      <c r="M253" s="110"/>
      <c r="N253" s="110"/>
    </row>
    <row r="254" spans="1:14" ht="12" customHeight="1" x14ac:dyDescent="0.15">
      <c r="A254" s="110"/>
      <c r="B254" s="110"/>
      <c r="C254" s="110"/>
      <c r="D254" s="110"/>
      <c r="E254" s="110"/>
      <c r="F254" s="110"/>
      <c r="G254" s="110"/>
      <c r="H254" s="110"/>
      <c r="I254" s="110"/>
      <c r="J254" s="110"/>
      <c r="K254" s="110"/>
      <c r="L254" s="110"/>
      <c r="M254" s="110"/>
      <c r="N254" s="110"/>
    </row>
    <row r="255" spans="1:14" ht="12" customHeight="1" x14ac:dyDescent="0.15">
      <c r="A255" s="110"/>
      <c r="B255" s="110"/>
      <c r="C255" s="110"/>
      <c r="D255" s="110"/>
      <c r="E255" s="110"/>
      <c r="F255" s="110"/>
      <c r="G255" s="110"/>
      <c r="H255" s="110"/>
      <c r="I255" s="110"/>
      <c r="J255" s="110"/>
      <c r="K255" s="110"/>
      <c r="L255" s="110"/>
      <c r="M255" s="110"/>
      <c r="N255" s="110"/>
    </row>
    <row r="256" spans="1:14" ht="12" customHeight="1" x14ac:dyDescent="0.15">
      <c r="A256" s="110"/>
      <c r="B256" s="110"/>
      <c r="C256" s="110"/>
      <c r="D256" s="110"/>
      <c r="E256" s="110"/>
      <c r="F256" s="110"/>
      <c r="G256" s="110"/>
      <c r="H256" s="110"/>
      <c r="I256" s="110"/>
      <c r="J256" s="110"/>
      <c r="K256" s="110"/>
      <c r="L256" s="110"/>
      <c r="M256" s="110"/>
      <c r="N256" s="110"/>
    </row>
    <row r="257" spans="1:14" ht="12" customHeight="1" x14ac:dyDescent="0.15">
      <c r="A257" s="110"/>
      <c r="B257" s="110"/>
      <c r="C257" s="110"/>
      <c r="D257" s="110"/>
      <c r="E257" s="110"/>
      <c r="F257" s="110"/>
      <c r="G257" s="110"/>
      <c r="H257" s="110"/>
      <c r="I257" s="110"/>
      <c r="J257" s="110"/>
      <c r="K257" s="110"/>
      <c r="L257" s="110"/>
      <c r="M257" s="110"/>
      <c r="N257" s="110"/>
    </row>
    <row r="258" spans="1:14" ht="12" customHeight="1" x14ac:dyDescent="0.15">
      <c r="A258" s="110"/>
      <c r="B258" s="110"/>
      <c r="C258" s="110"/>
      <c r="D258" s="110"/>
      <c r="E258" s="110"/>
      <c r="F258" s="110"/>
      <c r="G258" s="110"/>
      <c r="H258" s="110"/>
      <c r="I258" s="110"/>
      <c r="J258" s="110"/>
      <c r="K258" s="110"/>
      <c r="L258" s="110"/>
      <c r="M258" s="110"/>
      <c r="N258" s="110"/>
    </row>
    <row r="259" spans="1:14" ht="12" customHeight="1" x14ac:dyDescent="0.15">
      <c r="A259" s="110"/>
      <c r="B259" s="110"/>
      <c r="C259" s="110"/>
      <c r="D259" s="110"/>
      <c r="E259" s="110"/>
      <c r="F259" s="110"/>
      <c r="G259" s="110"/>
      <c r="H259" s="110"/>
      <c r="I259" s="110"/>
      <c r="J259" s="110"/>
      <c r="K259" s="110"/>
      <c r="L259" s="110"/>
      <c r="M259" s="110"/>
      <c r="N259" s="110"/>
    </row>
    <row r="260" spans="1:14" ht="12" customHeight="1" x14ac:dyDescent="0.15">
      <c r="A260" s="110"/>
      <c r="B260" s="110"/>
      <c r="C260" s="110"/>
      <c r="D260" s="110"/>
      <c r="E260" s="110"/>
      <c r="F260" s="110"/>
      <c r="G260" s="110"/>
      <c r="H260" s="110"/>
      <c r="I260" s="110"/>
      <c r="J260" s="110"/>
      <c r="K260" s="110"/>
      <c r="L260" s="110"/>
      <c r="M260" s="110"/>
      <c r="N260" s="110"/>
    </row>
    <row r="261" spans="1:14" ht="12" customHeight="1" x14ac:dyDescent="0.15">
      <c r="A261" s="110"/>
      <c r="B261" s="110"/>
      <c r="C261" s="110"/>
      <c r="D261" s="110"/>
      <c r="E261" s="110"/>
      <c r="F261" s="110"/>
      <c r="G261" s="110"/>
      <c r="H261" s="110"/>
      <c r="I261" s="110"/>
      <c r="J261" s="110"/>
      <c r="K261" s="110"/>
      <c r="L261" s="110"/>
      <c r="M261" s="110"/>
      <c r="N261" s="110"/>
    </row>
    <row r="262" spans="1:14" ht="12" customHeight="1" x14ac:dyDescent="0.15">
      <c r="A262" s="110"/>
      <c r="B262" s="110"/>
      <c r="C262" s="110"/>
      <c r="D262" s="110"/>
      <c r="E262" s="110"/>
      <c r="F262" s="110"/>
      <c r="G262" s="110"/>
      <c r="H262" s="110"/>
      <c r="I262" s="110"/>
      <c r="J262" s="110"/>
      <c r="K262" s="110"/>
      <c r="L262" s="110"/>
      <c r="M262" s="110"/>
      <c r="N262" s="110"/>
    </row>
    <row r="263" spans="1:14" ht="12" customHeight="1" x14ac:dyDescent="0.15">
      <c r="A263" s="110"/>
      <c r="B263" s="110"/>
      <c r="C263" s="110"/>
      <c r="D263" s="110"/>
      <c r="E263" s="110"/>
      <c r="F263" s="110"/>
      <c r="G263" s="110"/>
      <c r="H263" s="110"/>
      <c r="I263" s="110"/>
      <c r="J263" s="110"/>
      <c r="K263" s="110"/>
      <c r="L263" s="110"/>
      <c r="M263" s="110"/>
      <c r="N263" s="110"/>
    </row>
    <row r="264" spans="1:14" ht="12" customHeight="1" x14ac:dyDescent="0.15">
      <c r="A264" s="110"/>
      <c r="B264" s="110"/>
      <c r="C264" s="110"/>
      <c r="D264" s="110"/>
      <c r="E264" s="110"/>
      <c r="F264" s="110"/>
      <c r="G264" s="110"/>
      <c r="H264" s="110"/>
      <c r="I264" s="110"/>
      <c r="J264" s="110"/>
      <c r="K264" s="110"/>
      <c r="L264" s="110"/>
      <c r="M264" s="110"/>
      <c r="N264" s="110"/>
    </row>
    <row r="265" spans="1:14" ht="12" customHeight="1" x14ac:dyDescent="0.15">
      <c r="A265" s="110"/>
      <c r="B265" s="110"/>
      <c r="C265" s="110"/>
      <c r="D265" s="110"/>
      <c r="E265" s="110"/>
      <c r="F265" s="110"/>
      <c r="G265" s="110"/>
      <c r="H265" s="110"/>
      <c r="I265" s="110"/>
      <c r="J265" s="110"/>
      <c r="K265" s="110"/>
      <c r="L265" s="110"/>
      <c r="M265" s="110"/>
      <c r="N265" s="110"/>
    </row>
    <row r="266" spans="1:14" ht="12" customHeight="1" x14ac:dyDescent="0.15">
      <c r="A266" s="110"/>
      <c r="B266" s="110"/>
      <c r="C266" s="110"/>
      <c r="D266" s="110"/>
      <c r="E266" s="110"/>
      <c r="F266" s="110"/>
      <c r="G266" s="110"/>
      <c r="H266" s="110"/>
      <c r="I266" s="110"/>
      <c r="J266" s="110"/>
      <c r="K266" s="110"/>
      <c r="L266" s="110"/>
      <c r="M266" s="110"/>
      <c r="N266" s="110"/>
    </row>
    <row r="267" spans="1:14" ht="12" customHeight="1" x14ac:dyDescent="0.15">
      <c r="A267" s="110"/>
      <c r="B267" s="110"/>
      <c r="C267" s="110"/>
      <c r="D267" s="110"/>
      <c r="E267" s="110"/>
      <c r="F267" s="110"/>
      <c r="G267" s="110"/>
      <c r="H267" s="110"/>
      <c r="I267" s="110"/>
      <c r="J267" s="110"/>
      <c r="K267" s="110"/>
      <c r="L267" s="110"/>
      <c r="M267" s="110"/>
      <c r="N267" s="110"/>
    </row>
    <row r="268" spans="1:14" ht="12" customHeight="1" x14ac:dyDescent="0.15">
      <c r="A268" s="110"/>
      <c r="B268" s="110"/>
      <c r="C268" s="110"/>
      <c r="D268" s="110"/>
      <c r="E268" s="110"/>
      <c r="F268" s="110"/>
      <c r="G268" s="110"/>
      <c r="H268" s="110"/>
      <c r="I268" s="110"/>
      <c r="J268" s="110"/>
      <c r="K268" s="110"/>
      <c r="L268" s="110"/>
      <c r="M268" s="110"/>
      <c r="N268" s="110"/>
    </row>
    <row r="269" spans="1:14" ht="12" customHeight="1" x14ac:dyDescent="0.15">
      <c r="A269" s="110"/>
      <c r="B269" s="110"/>
      <c r="C269" s="110"/>
      <c r="D269" s="110"/>
      <c r="E269" s="110"/>
      <c r="F269" s="110"/>
      <c r="G269" s="110"/>
      <c r="H269" s="110"/>
      <c r="I269" s="110"/>
      <c r="J269" s="110"/>
      <c r="K269" s="110"/>
      <c r="L269" s="110"/>
      <c r="M269" s="110"/>
      <c r="N269" s="110"/>
    </row>
    <row r="270" spans="1:14" ht="12" customHeight="1" x14ac:dyDescent="0.15">
      <c r="A270" s="110"/>
      <c r="B270" s="110"/>
      <c r="C270" s="110"/>
      <c r="D270" s="110"/>
      <c r="E270" s="110"/>
      <c r="F270" s="110"/>
      <c r="G270" s="110"/>
      <c r="H270" s="110"/>
      <c r="I270" s="110"/>
      <c r="J270" s="110"/>
      <c r="K270" s="110"/>
      <c r="L270" s="110"/>
      <c r="M270" s="110"/>
      <c r="N270" s="110"/>
    </row>
    <row r="271" spans="1:14" ht="12" customHeight="1" x14ac:dyDescent="0.15">
      <c r="A271" s="110"/>
      <c r="B271" s="110"/>
      <c r="C271" s="110"/>
      <c r="D271" s="110"/>
      <c r="E271" s="110"/>
      <c r="F271" s="110"/>
      <c r="G271" s="110"/>
      <c r="H271" s="110"/>
      <c r="I271" s="110"/>
      <c r="J271" s="110"/>
      <c r="K271" s="110"/>
      <c r="L271" s="110"/>
      <c r="M271" s="110"/>
      <c r="N271" s="110"/>
    </row>
    <row r="272" spans="1:14" ht="12" customHeight="1" x14ac:dyDescent="0.15">
      <c r="A272" s="110"/>
      <c r="B272" s="110"/>
      <c r="C272" s="110"/>
      <c r="D272" s="110"/>
      <c r="E272" s="110"/>
      <c r="F272" s="110"/>
      <c r="G272" s="110"/>
      <c r="H272" s="110"/>
      <c r="I272" s="110"/>
      <c r="J272" s="110"/>
      <c r="K272" s="110"/>
      <c r="L272" s="110"/>
      <c r="M272" s="110"/>
      <c r="N272" s="110"/>
    </row>
    <row r="273" spans="1:14" ht="12" customHeight="1" x14ac:dyDescent="0.15">
      <c r="A273" s="110"/>
      <c r="B273" s="110"/>
      <c r="C273" s="110"/>
      <c r="D273" s="110"/>
      <c r="E273" s="110"/>
      <c r="F273" s="110"/>
      <c r="G273" s="110"/>
      <c r="H273" s="110"/>
      <c r="I273" s="110"/>
      <c r="J273" s="110"/>
      <c r="K273" s="110"/>
      <c r="L273" s="110"/>
      <c r="M273" s="110"/>
      <c r="N273" s="110"/>
    </row>
    <row r="274" spans="1:14" ht="12" customHeight="1" x14ac:dyDescent="0.15">
      <c r="A274" s="110"/>
      <c r="B274" s="110"/>
      <c r="C274" s="110"/>
      <c r="D274" s="110"/>
      <c r="E274" s="110"/>
      <c r="F274" s="110"/>
      <c r="G274" s="110"/>
      <c r="H274" s="110"/>
      <c r="I274" s="110"/>
      <c r="J274" s="110"/>
      <c r="K274" s="110"/>
      <c r="L274" s="110"/>
      <c r="M274" s="110"/>
      <c r="N274" s="110"/>
    </row>
    <row r="275" spans="1:14" ht="12" customHeight="1" x14ac:dyDescent="0.15">
      <c r="A275" s="110"/>
      <c r="B275" s="110"/>
      <c r="C275" s="110"/>
      <c r="D275" s="110"/>
      <c r="E275" s="110"/>
      <c r="F275" s="110"/>
      <c r="G275" s="110"/>
      <c r="H275" s="110"/>
      <c r="I275" s="110"/>
      <c r="J275" s="110"/>
      <c r="K275" s="110"/>
      <c r="L275" s="110"/>
      <c r="M275" s="110"/>
      <c r="N275" s="110"/>
    </row>
    <row r="276" spans="1:14" ht="12" customHeight="1" x14ac:dyDescent="0.15">
      <c r="A276" s="110"/>
      <c r="B276" s="110"/>
      <c r="C276" s="110"/>
      <c r="D276" s="110"/>
      <c r="E276" s="110"/>
      <c r="F276" s="110"/>
      <c r="G276" s="110"/>
      <c r="H276" s="110"/>
      <c r="I276" s="110"/>
      <c r="J276" s="110"/>
      <c r="K276" s="110"/>
      <c r="L276" s="110"/>
      <c r="M276" s="110"/>
      <c r="N276" s="110"/>
    </row>
    <row r="277" spans="1:14" ht="12" customHeight="1" x14ac:dyDescent="0.15">
      <c r="A277" s="110"/>
      <c r="B277" s="110"/>
      <c r="C277" s="110"/>
      <c r="D277" s="110"/>
      <c r="E277" s="110"/>
      <c r="F277" s="110"/>
      <c r="G277" s="110"/>
      <c r="H277" s="110"/>
      <c r="I277" s="110"/>
      <c r="J277" s="110"/>
      <c r="K277" s="110"/>
      <c r="L277" s="110"/>
      <c r="M277" s="110"/>
      <c r="N277" s="110"/>
    </row>
    <row r="278" spans="1:14" ht="12" customHeight="1" x14ac:dyDescent="0.15">
      <c r="A278" s="110"/>
      <c r="B278" s="110"/>
      <c r="C278" s="110"/>
      <c r="D278" s="110"/>
      <c r="E278" s="110"/>
      <c r="F278" s="110"/>
      <c r="G278" s="110"/>
      <c r="H278" s="110"/>
      <c r="I278" s="110"/>
      <c r="J278" s="110"/>
      <c r="K278" s="110"/>
      <c r="L278" s="110"/>
      <c r="M278" s="110"/>
      <c r="N278" s="110"/>
    </row>
    <row r="279" spans="1:14" ht="12" customHeight="1" x14ac:dyDescent="0.15">
      <c r="A279" s="110"/>
      <c r="B279" s="110"/>
      <c r="C279" s="110"/>
      <c r="D279" s="110"/>
      <c r="E279" s="110"/>
      <c r="F279" s="110"/>
      <c r="G279" s="110"/>
      <c r="H279" s="110"/>
      <c r="I279" s="110"/>
      <c r="J279" s="110"/>
      <c r="K279" s="110"/>
      <c r="L279" s="110"/>
      <c r="M279" s="110"/>
      <c r="N279" s="110"/>
    </row>
    <row r="280" spans="1:14" ht="12" customHeight="1" x14ac:dyDescent="0.15">
      <c r="A280" s="110"/>
      <c r="B280" s="110"/>
      <c r="C280" s="110"/>
      <c r="D280" s="110"/>
      <c r="E280" s="110"/>
      <c r="F280" s="110"/>
      <c r="G280" s="110"/>
      <c r="H280" s="110"/>
      <c r="I280" s="110"/>
      <c r="J280" s="110"/>
      <c r="K280" s="110"/>
      <c r="L280" s="110"/>
      <c r="M280" s="110"/>
      <c r="N280" s="110"/>
    </row>
    <row r="281" spans="1:14" ht="12" customHeight="1" x14ac:dyDescent="0.15">
      <c r="A281" s="110"/>
      <c r="B281" s="110"/>
      <c r="C281" s="110"/>
      <c r="D281" s="110"/>
      <c r="E281" s="110"/>
      <c r="F281" s="110"/>
      <c r="G281" s="110"/>
      <c r="H281" s="110"/>
      <c r="I281" s="110"/>
      <c r="J281" s="110"/>
      <c r="K281" s="110"/>
      <c r="L281" s="110"/>
      <c r="M281" s="110"/>
      <c r="N281" s="110"/>
    </row>
    <row r="282" spans="1:14" ht="12" customHeight="1" x14ac:dyDescent="0.15">
      <c r="A282" s="110"/>
      <c r="B282" s="110"/>
      <c r="C282" s="110"/>
      <c r="D282" s="110"/>
      <c r="E282" s="110"/>
      <c r="F282" s="110"/>
      <c r="G282" s="110"/>
      <c r="H282" s="110"/>
      <c r="I282" s="110"/>
      <c r="J282" s="110"/>
      <c r="K282" s="110"/>
      <c r="L282" s="110"/>
      <c r="M282" s="110"/>
      <c r="N282" s="110"/>
    </row>
    <row r="283" spans="1:14" ht="12" customHeight="1" x14ac:dyDescent="0.15">
      <c r="A283" s="110"/>
      <c r="B283" s="110"/>
      <c r="C283" s="110"/>
      <c r="D283" s="110"/>
      <c r="E283" s="110"/>
      <c r="F283" s="110"/>
      <c r="G283" s="110"/>
      <c r="H283" s="110"/>
      <c r="I283" s="110"/>
      <c r="J283" s="110"/>
      <c r="K283" s="110"/>
      <c r="L283" s="110"/>
      <c r="M283" s="110"/>
      <c r="N283" s="110"/>
    </row>
    <row r="284" spans="1:14" ht="12" customHeight="1" x14ac:dyDescent="0.15">
      <c r="A284" s="110"/>
      <c r="B284" s="110"/>
      <c r="C284" s="110"/>
      <c r="D284" s="110"/>
      <c r="E284" s="110"/>
      <c r="F284" s="110"/>
      <c r="G284" s="110"/>
      <c r="H284" s="110"/>
      <c r="I284" s="110"/>
      <c r="J284" s="110"/>
      <c r="K284" s="110"/>
      <c r="L284" s="110"/>
      <c r="M284" s="110"/>
      <c r="N284" s="110"/>
    </row>
    <row r="285" spans="1:14" ht="12" customHeight="1" x14ac:dyDescent="0.15">
      <c r="A285" s="110"/>
      <c r="B285" s="110"/>
      <c r="C285" s="110"/>
      <c r="D285" s="110"/>
      <c r="E285" s="110"/>
      <c r="F285" s="110"/>
      <c r="G285" s="110"/>
      <c r="H285" s="110"/>
      <c r="I285" s="110"/>
      <c r="J285" s="110"/>
      <c r="K285" s="110"/>
      <c r="L285" s="110"/>
      <c r="M285" s="110"/>
      <c r="N285" s="110"/>
    </row>
    <row r="286" spans="1:14" ht="12" customHeight="1" x14ac:dyDescent="0.15">
      <c r="A286" s="110"/>
      <c r="B286" s="110"/>
      <c r="C286" s="110"/>
      <c r="D286" s="110"/>
      <c r="E286" s="110"/>
      <c r="F286" s="110"/>
      <c r="G286" s="110"/>
      <c r="H286" s="110"/>
      <c r="I286" s="110"/>
      <c r="J286" s="110"/>
      <c r="K286" s="110"/>
      <c r="L286" s="110"/>
      <c r="M286" s="110"/>
      <c r="N286" s="110"/>
    </row>
    <row r="287" spans="1:14" ht="12" customHeight="1" x14ac:dyDescent="0.15">
      <c r="A287" s="110"/>
      <c r="B287" s="110"/>
      <c r="C287" s="110"/>
      <c r="D287" s="110"/>
      <c r="E287" s="110"/>
      <c r="F287" s="110"/>
      <c r="G287" s="110"/>
      <c r="H287" s="110"/>
      <c r="I287" s="110"/>
      <c r="J287" s="110"/>
      <c r="K287" s="110"/>
      <c r="L287" s="110"/>
      <c r="M287" s="110"/>
      <c r="N287" s="110"/>
    </row>
    <row r="288" spans="1:14" ht="12" customHeight="1" x14ac:dyDescent="0.15">
      <c r="A288" s="110"/>
      <c r="B288" s="110"/>
      <c r="C288" s="110"/>
      <c r="D288" s="110"/>
      <c r="E288" s="110"/>
      <c r="F288" s="110"/>
      <c r="G288" s="110"/>
      <c r="H288" s="110"/>
      <c r="I288" s="110"/>
      <c r="J288" s="110"/>
      <c r="K288" s="110"/>
      <c r="L288" s="110"/>
      <c r="M288" s="110"/>
      <c r="N288" s="110"/>
    </row>
    <row r="289" spans="1:14" ht="12" customHeight="1" x14ac:dyDescent="0.15">
      <c r="A289" s="110"/>
      <c r="B289" s="110"/>
      <c r="C289" s="110"/>
      <c r="D289" s="110"/>
      <c r="E289" s="110"/>
      <c r="F289" s="110"/>
      <c r="G289" s="110"/>
      <c r="H289" s="110"/>
      <c r="I289" s="110"/>
      <c r="J289" s="110"/>
      <c r="K289" s="110"/>
      <c r="L289" s="110"/>
      <c r="M289" s="110"/>
      <c r="N289" s="110"/>
    </row>
    <row r="290" spans="1:14" ht="12" customHeight="1" x14ac:dyDescent="0.15">
      <c r="A290" s="110"/>
      <c r="B290" s="110"/>
      <c r="C290" s="110"/>
      <c r="D290" s="110"/>
      <c r="E290" s="110"/>
      <c r="F290" s="110"/>
      <c r="G290" s="110"/>
      <c r="H290" s="110"/>
      <c r="I290" s="110"/>
      <c r="J290" s="110"/>
      <c r="K290" s="110"/>
      <c r="L290" s="110"/>
      <c r="M290" s="110"/>
      <c r="N290" s="110"/>
    </row>
    <row r="291" spans="1:14" ht="12" customHeight="1" x14ac:dyDescent="0.15">
      <c r="A291" s="110"/>
      <c r="B291" s="110"/>
      <c r="C291" s="110"/>
      <c r="D291" s="110"/>
      <c r="E291" s="110"/>
      <c r="F291" s="110"/>
      <c r="G291" s="110"/>
      <c r="H291" s="110"/>
      <c r="I291" s="110"/>
      <c r="J291" s="110"/>
      <c r="K291" s="110"/>
      <c r="L291" s="110"/>
      <c r="M291" s="110"/>
      <c r="N291" s="110"/>
    </row>
    <row r="292" spans="1:14" ht="12" customHeight="1" x14ac:dyDescent="0.15">
      <c r="A292" s="110"/>
      <c r="B292" s="110"/>
      <c r="C292" s="110"/>
      <c r="D292" s="110"/>
      <c r="E292" s="110"/>
      <c r="F292" s="110"/>
      <c r="G292" s="110"/>
      <c r="H292" s="110"/>
      <c r="I292" s="110"/>
      <c r="J292" s="110"/>
      <c r="K292" s="110"/>
      <c r="L292" s="110"/>
      <c r="M292" s="110"/>
      <c r="N292" s="110"/>
    </row>
    <row r="293" spans="1:14" ht="12" customHeight="1" x14ac:dyDescent="0.15">
      <c r="A293" s="110"/>
      <c r="B293" s="110"/>
      <c r="C293" s="110"/>
      <c r="D293" s="110"/>
      <c r="E293" s="110"/>
      <c r="F293" s="110"/>
      <c r="G293" s="110"/>
      <c r="H293" s="110"/>
      <c r="I293" s="110"/>
      <c r="J293" s="110"/>
      <c r="K293" s="110"/>
      <c r="L293" s="110"/>
      <c r="M293" s="110"/>
      <c r="N293" s="110"/>
    </row>
    <row r="294" spans="1:14" ht="12" customHeight="1" x14ac:dyDescent="0.15">
      <c r="A294" s="110"/>
      <c r="B294" s="110"/>
      <c r="C294" s="110"/>
      <c r="D294" s="110"/>
      <c r="E294" s="110"/>
      <c r="F294" s="110"/>
      <c r="G294" s="110"/>
      <c r="H294" s="110"/>
      <c r="I294" s="110"/>
      <c r="J294" s="110"/>
      <c r="K294" s="110"/>
      <c r="L294" s="110"/>
      <c r="M294" s="110"/>
      <c r="N294" s="110"/>
    </row>
    <row r="295" spans="1:14" ht="12" customHeight="1" x14ac:dyDescent="0.15">
      <c r="A295" s="110"/>
      <c r="B295" s="110"/>
      <c r="C295" s="110"/>
      <c r="D295" s="110"/>
      <c r="E295" s="110"/>
      <c r="F295" s="110"/>
      <c r="G295" s="110"/>
      <c r="H295" s="110"/>
      <c r="I295" s="110"/>
      <c r="J295" s="110"/>
      <c r="K295" s="110"/>
      <c r="L295" s="110"/>
      <c r="M295" s="110"/>
      <c r="N295" s="110"/>
    </row>
    <row r="296" spans="1:14" ht="12" customHeight="1" x14ac:dyDescent="0.15">
      <c r="A296" s="110"/>
      <c r="B296" s="110"/>
      <c r="C296" s="110"/>
      <c r="D296" s="110"/>
      <c r="E296" s="110"/>
      <c r="F296" s="110"/>
      <c r="G296" s="110"/>
      <c r="H296" s="110"/>
      <c r="I296" s="110"/>
      <c r="J296" s="110"/>
      <c r="K296" s="110"/>
      <c r="L296" s="110"/>
      <c r="M296" s="110"/>
      <c r="N296" s="110"/>
    </row>
    <row r="297" spans="1:14" ht="12" customHeight="1" x14ac:dyDescent="0.15">
      <c r="A297" s="110"/>
      <c r="B297" s="110"/>
      <c r="C297" s="110"/>
      <c r="D297" s="110"/>
      <c r="E297" s="110"/>
      <c r="F297" s="110"/>
      <c r="G297" s="110"/>
      <c r="H297" s="110"/>
      <c r="I297" s="110"/>
      <c r="J297" s="110"/>
      <c r="K297" s="110"/>
      <c r="L297" s="110"/>
      <c r="M297" s="110"/>
      <c r="N297" s="110"/>
    </row>
    <row r="298" spans="1:14" ht="12" customHeight="1" x14ac:dyDescent="0.15">
      <c r="A298" s="110"/>
      <c r="B298" s="110"/>
      <c r="C298" s="110"/>
      <c r="D298" s="110"/>
      <c r="E298" s="110"/>
      <c r="F298" s="110"/>
      <c r="G298" s="110"/>
      <c r="H298" s="110"/>
      <c r="I298" s="110"/>
      <c r="J298" s="110"/>
      <c r="K298" s="110"/>
      <c r="L298" s="110"/>
      <c r="M298" s="110"/>
      <c r="N298" s="110"/>
    </row>
    <row r="299" spans="1:14" ht="12" customHeight="1" x14ac:dyDescent="0.15">
      <c r="A299" s="110"/>
      <c r="B299" s="110"/>
      <c r="C299" s="110"/>
      <c r="D299" s="110"/>
      <c r="E299" s="110"/>
      <c r="F299" s="110"/>
      <c r="G299" s="110"/>
      <c r="H299" s="110"/>
      <c r="I299" s="110"/>
      <c r="J299" s="110"/>
      <c r="K299" s="110"/>
      <c r="L299" s="110"/>
      <c r="M299" s="110"/>
      <c r="N299" s="110"/>
    </row>
    <row r="300" spans="1:14" ht="12" customHeight="1" x14ac:dyDescent="0.15">
      <c r="A300" s="110"/>
      <c r="B300" s="110"/>
      <c r="C300" s="110"/>
      <c r="D300" s="110"/>
      <c r="E300" s="110"/>
      <c r="F300" s="110"/>
      <c r="G300" s="110"/>
      <c r="H300" s="110"/>
      <c r="I300" s="110"/>
      <c r="J300" s="110"/>
      <c r="K300" s="110"/>
      <c r="L300" s="110"/>
      <c r="M300" s="110"/>
      <c r="N300" s="110"/>
    </row>
    <row r="301" spans="1:14" ht="12" customHeight="1" x14ac:dyDescent="0.15">
      <c r="A301" s="110"/>
      <c r="B301" s="110"/>
      <c r="C301" s="110"/>
      <c r="D301" s="110"/>
      <c r="E301" s="110"/>
      <c r="F301" s="110"/>
      <c r="G301" s="110"/>
      <c r="H301" s="110"/>
      <c r="I301" s="110"/>
      <c r="J301" s="110"/>
      <c r="K301" s="110"/>
      <c r="L301" s="110"/>
      <c r="M301" s="110"/>
      <c r="N301" s="110"/>
    </row>
    <row r="302" spans="1:14" ht="12" customHeight="1" x14ac:dyDescent="0.15">
      <c r="A302" s="110"/>
      <c r="B302" s="110"/>
      <c r="C302" s="110"/>
      <c r="D302" s="110"/>
      <c r="E302" s="110"/>
      <c r="F302" s="110"/>
      <c r="G302" s="110"/>
      <c r="H302" s="110"/>
      <c r="I302" s="110"/>
      <c r="J302" s="110"/>
      <c r="K302" s="110"/>
      <c r="L302" s="110"/>
      <c r="M302" s="110"/>
      <c r="N302" s="110"/>
    </row>
    <row r="303" spans="1:14" ht="12" customHeight="1" x14ac:dyDescent="0.15">
      <c r="A303" s="110"/>
      <c r="B303" s="110"/>
      <c r="C303" s="110"/>
      <c r="D303" s="110"/>
      <c r="E303" s="110"/>
      <c r="F303" s="110"/>
      <c r="G303" s="110"/>
      <c r="H303" s="110"/>
      <c r="I303" s="110"/>
      <c r="J303" s="110"/>
      <c r="K303" s="110"/>
      <c r="L303" s="110"/>
      <c r="M303" s="110"/>
      <c r="N303" s="110"/>
    </row>
    <row r="304" spans="1:14" ht="12" customHeight="1" x14ac:dyDescent="0.15">
      <c r="A304" s="110"/>
      <c r="B304" s="110"/>
      <c r="C304" s="110"/>
      <c r="D304" s="110"/>
      <c r="E304" s="110"/>
      <c r="F304" s="110"/>
      <c r="G304" s="110"/>
      <c r="H304" s="110"/>
      <c r="I304" s="110"/>
      <c r="J304" s="110"/>
      <c r="K304" s="110"/>
      <c r="L304" s="110"/>
      <c r="M304" s="110"/>
      <c r="N304" s="110"/>
    </row>
    <row r="305" spans="1:14" ht="12" customHeight="1" x14ac:dyDescent="0.15">
      <c r="A305" s="110"/>
      <c r="B305" s="110"/>
      <c r="C305" s="110"/>
      <c r="D305" s="110"/>
      <c r="E305" s="110"/>
      <c r="F305" s="110"/>
      <c r="G305" s="110"/>
      <c r="H305" s="110"/>
      <c r="I305" s="110"/>
      <c r="J305" s="110"/>
      <c r="K305" s="110"/>
      <c r="L305" s="110"/>
      <c r="M305" s="110"/>
      <c r="N305" s="110"/>
    </row>
    <row r="306" spans="1:14" ht="12" customHeight="1" x14ac:dyDescent="0.15">
      <c r="A306" s="110"/>
      <c r="B306" s="110"/>
      <c r="C306" s="110"/>
      <c r="D306" s="110"/>
      <c r="E306" s="110"/>
      <c r="F306" s="110"/>
      <c r="G306" s="110"/>
      <c r="H306" s="110"/>
      <c r="I306" s="110"/>
      <c r="J306" s="110"/>
      <c r="K306" s="110"/>
      <c r="L306" s="110"/>
      <c r="M306" s="110"/>
      <c r="N306" s="110"/>
    </row>
    <row r="307" spans="1:14" ht="12" customHeight="1" x14ac:dyDescent="0.15">
      <c r="A307" s="110"/>
      <c r="B307" s="110"/>
      <c r="C307" s="110"/>
      <c r="D307" s="110"/>
      <c r="E307" s="110"/>
      <c r="F307" s="110"/>
      <c r="G307" s="110"/>
      <c r="H307" s="110"/>
      <c r="I307" s="110"/>
      <c r="J307" s="110"/>
      <c r="K307" s="110"/>
      <c r="L307" s="110"/>
      <c r="M307" s="110"/>
      <c r="N307" s="110"/>
    </row>
    <row r="308" spans="1:14" ht="12" customHeight="1" x14ac:dyDescent="0.15">
      <c r="A308" s="110"/>
      <c r="B308" s="110"/>
      <c r="C308" s="110"/>
      <c r="D308" s="110"/>
      <c r="E308" s="110"/>
      <c r="F308" s="110"/>
      <c r="G308" s="110"/>
      <c r="H308" s="110"/>
      <c r="I308" s="110"/>
      <c r="J308" s="110"/>
      <c r="K308" s="110"/>
      <c r="L308" s="110"/>
      <c r="M308" s="110"/>
      <c r="N308" s="110"/>
    </row>
    <row r="309" spans="1:14" ht="12" customHeight="1" x14ac:dyDescent="0.15">
      <c r="A309" s="110"/>
      <c r="B309" s="110"/>
      <c r="C309" s="110"/>
      <c r="D309" s="110"/>
      <c r="E309" s="110"/>
      <c r="F309" s="110"/>
      <c r="G309" s="110"/>
      <c r="H309" s="110"/>
      <c r="I309" s="110"/>
      <c r="J309" s="110"/>
      <c r="K309" s="110"/>
      <c r="L309" s="110"/>
      <c r="M309" s="110"/>
      <c r="N309" s="110"/>
    </row>
    <row r="310" spans="1:14" ht="12" customHeight="1" x14ac:dyDescent="0.15">
      <c r="A310" s="110"/>
      <c r="B310" s="110"/>
      <c r="C310" s="110"/>
      <c r="D310" s="110"/>
      <c r="E310" s="110"/>
      <c r="F310" s="110"/>
      <c r="G310" s="110"/>
      <c r="H310" s="110"/>
      <c r="I310" s="110"/>
      <c r="J310" s="110"/>
      <c r="K310" s="110"/>
      <c r="L310" s="110"/>
      <c r="M310" s="110"/>
      <c r="N310" s="110"/>
    </row>
    <row r="311" spans="1:14" ht="12" customHeight="1" x14ac:dyDescent="0.15">
      <c r="A311" s="110"/>
      <c r="B311" s="110"/>
      <c r="C311" s="110"/>
      <c r="D311" s="110"/>
      <c r="E311" s="110"/>
      <c r="F311" s="110"/>
      <c r="G311" s="110"/>
      <c r="H311" s="110"/>
      <c r="I311" s="110"/>
      <c r="J311" s="110"/>
      <c r="K311" s="110"/>
      <c r="L311" s="110"/>
      <c r="M311" s="110"/>
      <c r="N311" s="110"/>
    </row>
    <row r="312" spans="1:14" ht="12" customHeight="1" x14ac:dyDescent="0.15">
      <c r="A312" s="110"/>
      <c r="B312" s="110"/>
      <c r="C312" s="110"/>
      <c r="D312" s="110"/>
      <c r="E312" s="110"/>
      <c r="F312" s="110"/>
      <c r="G312" s="110"/>
      <c r="H312" s="110"/>
      <c r="I312" s="110"/>
      <c r="J312" s="110"/>
      <c r="K312" s="110"/>
      <c r="L312" s="110"/>
      <c r="M312" s="110"/>
      <c r="N312" s="110"/>
    </row>
    <row r="313" spans="1:14" ht="12" customHeight="1" x14ac:dyDescent="0.15">
      <c r="A313" s="110"/>
      <c r="B313" s="110"/>
      <c r="C313" s="110"/>
      <c r="D313" s="110"/>
      <c r="E313" s="110"/>
      <c r="F313" s="110"/>
      <c r="G313" s="110"/>
      <c r="H313" s="110"/>
      <c r="I313" s="110"/>
      <c r="J313" s="110"/>
      <c r="K313" s="110"/>
      <c r="L313" s="110"/>
      <c r="M313" s="110"/>
      <c r="N313" s="110"/>
    </row>
    <row r="314" spans="1:14" ht="12" customHeight="1" x14ac:dyDescent="0.15">
      <c r="A314" s="110"/>
      <c r="B314" s="110"/>
      <c r="C314" s="110"/>
      <c r="D314" s="110"/>
      <c r="E314" s="110"/>
      <c r="F314" s="110"/>
      <c r="G314" s="110"/>
      <c r="H314" s="110"/>
      <c r="I314" s="110"/>
      <c r="J314" s="110"/>
      <c r="K314" s="110"/>
      <c r="L314" s="110"/>
      <c r="M314" s="110"/>
      <c r="N314" s="110"/>
    </row>
    <row r="315" spans="1:14" ht="12" customHeight="1" x14ac:dyDescent="0.15">
      <c r="A315" s="110"/>
      <c r="B315" s="110"/>
      <c r="C315" s="110"/>
      <c r="D315" s="110"/>
      <c r="E315" s="110"/>
      <c r="F315" s="110"/>
      <c r="G315" s="110"/>
      <c r="H315" s="110"/>
      <c r="I315" s="110"/>
      <c r="J315" s="110"/>
      <c r="K315" s="110"/>
      <c r="L315" s="110"/>
      <c r="M315" s="110"/>
      <c r="N315" s="110"/>
    </row>
    <row r="316" spans="1:14" ht="12" customHeight="1" x14ac:dyDescent="0.15">
      <c r="A316" s="110"/>
      <c r="B316" s="110"/>
      <c r="C316" s="110"/>
      <c r="D316" s="110"/>
      <c r="E316" s="110"/>
      <c r="F316" s="110"/>
      <c r="G316" s="110"/>
      <c r="H316" s="110"/>
      <c r="I316" s="110"/>
      <c r="J316" s="110"/>
      <c r="K316" s="110"/>
      <c r="L316" s="110"/>
      <c r="M316" s="110"/>
      <c r="N316" s="110"/>
    </row>
    <row r="317" spans="1:14" ht="12" customHeight="1" x14ac:dyDescent="0.15">
      <c r="A317" s="110"/>
      <c r="B317" s="110"/>
      <c r="C317" s="110"/>
      <c r="D317" s="110"/>
      <c r="E317" s="110"/>
      <c r="F317" s="110"/>
      <c r="G317" s="110"/>
      <c r="H317" s="110"/>
      <c r="I317" s="110"/>
      <c r="J317" s="110"/>
      <c r="K317" s="110"/>
      <c r="L317" s="110"/>
      <c r="M317" s="110"/>
      <c r="N317" s="110"/>
    </row>
    <row r="318" spans="1:14" ht="12" customHeight="1" x14ac:dyDescent="0.15">
      <c r="A318" s="110"/>
      <c r="B318" s="110"/>
      <c r="C318" s="110"/>
      <c r="D318" s="110"/>
      <c r="E318" s="110"/>
      <c r="F318" s="110"/>
      <c r="G318" s="110"/>
      <c r="H318" s="110"/>
      <c r="I318" s="110"/>
      <c r="J318" s="110"/>
      <c r="K318" s="110"/>
      <c r="L318" s="110"/>
      <c r="M318" s="110"/>
      <c r="N318" s="110"/>
    </row>
    <row r="319" spans="1:14" ht="12" customHeight="1" x14ac:dyDescent="0.15">
      <c r="A319" s="110"/>
      <c r="B319" s="110"/>
      <c r="C319" s="110"/>
      <c r="D319" s="110"/>
      <c r="E319" s="110"/>
      <c r="F319" s="110"/>
      <c r="G319" s="110"/>
      <c r="H319" s="110"/>
      <c r="I319" s="110"/>
      <c r="J319" s="110"/>
      <c r="K319" s="110"/>
      <c r="L319" s="110"/>
      <c r="M319" s="110"/>
      <c r="N319" s="110"/>
    </row>
    <row r="320" spans="1:14" ht="12" customHeight="1" x14ac:dyDescent="0.15">
      <c r="A320" s="110"/>
      <c r="B320" s="110"/>
      <c r="C320" s="110"/>
      <c r="D320" s="110"/>
      <c r="E320" s="110"/>
      <c r="F320" s="110"/>
      <c r="G320" s="110"/>
      <c r="H320" s="110"/>
      <c r="I320" s="110"/>
      <c r="J320" s="110"/>
      <c r="K320" s="110"/>
      <c r="L320" s="110"/>
      <c r="M320" s="110"/>
      <c r="N320" s="110"/>
    </row>
    <row r="321" spans="1:14" ht="12" customHeight="1" x14ac:dyDescent="0.15">
      <c r="A321" s="110"/>
      <c r="B321" s="110"/>
      <c r="C321" s="110"/>
      <c r="D321" s="110"/>
      <c r="E321" s="110"/>
      <c r="F321" s="110"/>
      <c r="G321" s="110"/>
      <c r="H321" s="110"/>
      <c r="I321" s="110"/>
      <c r="J321" s="110"/>
      <c r="K321" s="110"/>
      <c r="L321" s="110"/>
      <c r="M321" s="110"/>
      <c r="N321" s="110"/>
    </row>
    <row r="322" spans="1:14" ht="12" customHeight="1" x14ac:dyDescent="0.15">
      <c r="A322" s="110"/>
      <c r="B322" s="110"/>
      <c r="C322" s="110"/>
      <c r="D322" s="110"/>
      <c r="E322" s="110"/>
      <c r="F322" s="110"/>
      <c r="G322" s="110"/>
      <c r="H322" s="110"/>
      <c r="I322" s="110"/>
      <c r="J322" s="110"/>
      <c r="K322" s="110"/>
      <c r="L322" s="110"/>
      <c r="M322" s="110"/>
      <c r="N322" s="110"/>
    </row>
    <row r="323" spans="1:14" ht="12" customHeight="1" x14ac:dyDescent="0.15">
      <c r="A323" s="110"/>
      <c r="B323" s="110"/>
      <c r="C323" s="110"/>
      <c r="D323" s="110"/>
      <c r="E323" s="110"/>
      <c r="F323" s="110"/>
      <c r="G323" s="110"/>
      <c r="H323" s="110"/>
      <c r="I323" s="110"/>
      <c r="J323" s="110"/>
      <c r="K323" s="110"/>
      <c r="L323" s="110"/>
      <c r="M323" s="110"/>
      <c r="N323" s="110"/>
    </row>
    <row r="324" spans="1:14" ht="12" customHeight="1" x14ac:dyDescent="0.15">
      <c r="A324" s="110"/>
      <c r="B324" s="110"/>
      <c r="C324" s="110"/>
      <c r="D324" s="110"/>
      <c r="E324" s="110"/>
      <c r="F324" s="110"/>
      <c r="G324" s="110"/>
      <c r="H324" s="110"/>
      <c r="I324" s="110"/>
      <c r="J324" s="110"/>
      <c r="K324" s="110"/>
      <c r="L324" s="110"/>
      <c r="M324" s="110"/>
      <c r="N324" s="110"/>
    </row>
    <row r="325" spans="1:14" ht="12" customHeight="1" x14ac:dyDescent="0.15">
      <c r="A325" s="110"/>
      <c r="B325" s="110"/>
      <c r="C325" s="110"/>
      <c r="D325" s="110"/>
      <c r="E325" s="110"/>
      <c r="F325" s="110"/>
      <c r="G325" s="110"/>
      <c r="H325" s="110"/>
      <c r="I325" s="110"/>
      <c r="J325" s="110"/>
      <c r="K325" s="110"/>
      <c r="L325" s="110"/>
      <c r="M325" s="110"/>
      <c r="N325" s="110"/>
    </row>
    <row r="326" spans="1:14" ht="12" customHeight="1" x14ac:dyDescent="0.15">
      <c r="A326" s="110"/>
      <c r="B326" s="110"/>
      <c r="C326" s="110"/>
      <c r="D326" s="110"/>
      <c r="E326" s="110"/>
      <c r="F326" s="110"/>
      <c r="G326" s="110"/>
      <c r="H326" s="110"/>
      <c r="I326" s="110"/>
      <c r="J326" s="110"/>
      <c r="K326" s="110"/>
      <c r="L326" s="110"/>
      <c r="M326" s="110"/>
      <c r="N326" s="110"/>
    </row>
    <row r="327" spans="1:14" ht="12" customHeight="1" x14ac:dyDescent="0.15">
      <c r="A327" s="110"/>
      <c r="B327" s="110"/>
      <c r="C327" s="110"/>
      <c r="D327" s="110"/>
      <c r="E327" s="110"/>
      <c r="F327" s="110"/>
      <c r="G327" s="110"/>
      <c r="H327" s="110"/>
      <c r="I327" s="110"/>
      <c r="J327" s="110"/>
      <c r="K327" s="110"/>
      <c r="L327" s="110"/>
      <c r="M327" s="110"/>
      <c r="N327" s="110"/>
    </row>
    <row r="328" spans="1:14" ht="12" customHeight="1" x14ac:dyDescent="0.15">
      <c r="A328" s="110"/>
      <c r="B328" s="110"/>
      <c r="C328" s="110"/>
      <c r="D328" s="110"/>
      <c r="E328" s="110"/>
      <c r="F328" s="110"/>
      <c r="G328" s="110"/>
      <c r="H328" s="110"/>
      <c r="I328" s="110"/>
      <c r="J328" s="110"/>
      <c r="K328" s="110"/>
      <c r="L328" s="110"/>
      <c r="M328" s="110"/>
      <c r="N328" s="110"/>
    </row>
    <row r="329" spans="1:14" ht="12" customHeight="1" x14ac:dyDescent="0.15">
      <c r="A329" s="110"/>
      <c r="B329" s="110"/>
      <c r="C329" s="110"/>
      <c r="D329" s="110"/>
      <c r="E329" s="110"/>
      <c r="F329" s="110"/>
      <c r="G329" s="110"/>
      <c r="H329" s="110"/>
      <c r="I329" s="110"/>
      <c r="J329" s="110"/>
      <c r="K329" s="110"/>
      <c r="L329" s="110"/>
      <c r="M329" s="110"/>
      <c r="N329" s="110"/>
    </row>
    <row r="330" spans="1:14" ht="12" customHeight="1" x14ac:dyDescent="0.15">
      <c r="A330" s="110"/>
      <c r="B330" s="110"/>
      <c r="C330" s="110"/>
      <c r="D330" s="110"/>
      <c r="E330" s="110"/>
      <c r="F330" s="110"/>
      <c r="G330" s="110"/>
      <c r="H330" s="110"/>
      <c r="I330" s="110"/>
      <c r="J330" s="110"/>
      <c r="K330" s="110"/>
      <c r="L330" s="110"/>
      <c r="M330" s="110"/>
      <c r="N330" s="110"/>
    </row>
    <row r="331" spans="1:14" ht="12" customHeight="1" x14ac:dyDescent="0.15">
      <c r="A331" s="110"/>
      <c r="B331" s="110"/>
      <c r="C331" s="110"/>
      <c r="D331" s="110"/>
      <c r="E331" s="110"/>
      <c r="F331" s="110"/>
      <c r="G331" s="110"/>
      <c r="H331" s="110"/>
      <c r="I331" s="110"/>
      <c r="J331" s="110"/>
      <c r="K331" s="110"/>
      <c r="L331" s="110"/>
      <c r="M331" s="110"/>
      <c r="N331" s="110"/>
    </row>
    <row r="332" spans="1:14" ht="12" customHeight="1" x14ac:dyDescent="0.15">
      <c r="A332" s="110"/>
      <c r="B332" s="110"/>
      <c r="C332" s="110"/>
      <c r="D332" s="110"/>
      <c r="E332" s="110"/>
      <c r="F332" s="110"/>
      <c r="G332" s="110"/>
      <c r="H332" s="110"/>
      <c r="I332" s="110"/>
      <c r="J332" s="110"/>
      <c r="K332" s="110"/>
      <c r="L332" s="110"/>
      <c r="M332" s="110"/>
      <c r="N332" s="110"/>
    </row>
    <row r="333" spans="1:14" ht="12" customHeight="1" x14ac:dyDescent="0.15">
      <c r="A333" s="110"/>
      <c r="B333" s="110"/>
      <c r="C333" s="110"/>
      <c r="D333" s="110"/>
      <c r="E333" s="110"/>
      <c r="F333" s="110"/>
      <c r="G333" s="110"/>
      <c r="H333" s="110"/>
      <c r="I333" s="110"/>
      <c r="J333" s="110"/>
      <c r="K333" s="110"/>
      <c r="L333" s="110"/>
      <c r="M333" s="110"/>
      <c r="N333" s="110"/>
    </row>
    <row r="334" spans="1:14" ht="12" customHeight="1" x14ac:dyDescent="0.15">
      <c r="A334" s="110"/>
      <c r="B334" s="110"/>
      <c r="C334" s="110"/>
      <c r="D334" s="110"/>
      <c r="E334" s="110"/>
      <c r="F334" s="110"/>
      <c r="G334" s="110"/>
      <c r="H334" s="110"/>
      <c r="I334" s="110"/>
      <c r="J334" s="110"/>
      <c r="K334" s="110"/>
      <c r="L334" s="110"/>
      <c r="M334" s="110"/>
      <c r="N334" s="110"/>
    </row>
    <row r="335" spans="1:14" ht="12" customHeight="1" x14ac:dyDescent="0.15">
      <c r="A335" s="110"/>
      <c r="B335" s="110"/>
      <c r="C335" s="110"/>
      <c r="D335" s="110"/>
      <c r="E335" s="110"/>
      <c r="F335" s="110"/>
      <c r="G335" s="110"/>
      <c r="H335" s="110"/>
      <c r="I335" s="110"/>
      <c r="J335" s="110"/>
      <c r="K335" s="110"/>
      <c r="L335" s="110"/>
      <c r="M335" s="110"/>
      <c r="N335" s="110"/>
    </row>
    <row r="336" spans="1:14" ht="12" customHeight="1" x14ac:dyDescent="0.15">
      <c r="A336" s="110"/>
      <c r="B336" s="110"/>
      <c r="C336" s="110"/>
      <c r="D336" s="110"/>
      <c r="E336" s="110"/>
      <c r="F336" s="110"/>
      <c r="G336" s="110"/>
      <c r="H336" s="110"/>
      <c r="I336" s="110"/>
      <c r="J336" s="110"/>
      <c r="K336" s="110"/>
      <c r="L336" s="110"/>
      <c r="M336" s="110"/>
      <c r="N336" s="110"/>
    </row>
    <row r="337" spans="1:14" ht="12" customHeight="1" x14ac:dyDescent="0.15">
      <c r="A337" s="110"/>
      <c r="B337" s="110"/>
      <c r="C337" s="110"/>
      <c r="D337" s="110"/>
      <c r="E337" s="110"/>
      <c r="F337" s="110"/>
      <c r="G337" s="110"/>
      <c r="H337" s="110"/>
      <c r="I337" s="110"/>
      <c r="J337" s="110"/>
      <c r="K337" s="110"/>
      <c r="L337" s="110"/>
      <c r="M337" s="110"/>
      <c r="N337" s="110"/>
    </row>
    <row r="338" spans="1:14" ht="12" customHeight="1" x14ac:dyDescent="0.15">
      <c r="A338" s="110"/>
      <c r="B338" s="110"/>
      <c r="C338" s="110"/>
      <c r="D338" s="110"/>
      <c r="E338" s="110"/>
      <c r="F338" s="110"/>
      <c r="G338" s="110"/>
      <c r="H338" s="110"/>
      <c r="I338" s="110"/>
      <c r="J338" s="110"/>
      <c r="K338" s="110"/>
      <c r="L338" s="110"/>
      <c r="M338" s="110"/>
      <c r="N338" s="110"/>
    </row>
    <row r="339" spans="1:14" ht="12" customHeight="1" x14ac:dyDescent="0.15">
      <c r="A339" s="110"/>
      <c r="B339" s="110"/>
      <c r="C339" s="110"/>
      <c r="D339" s="110"/>
      <c r="E339" s="110"/>
      <c r="F339" s="110"/>
      <c r="G339" s="110"/>
      <c r="H339" s="110"/>
      <c r="I339" s="110"/>
      <c r="J339" s="110"/>
      <c r="K339" s="110"/>
      <c r="L339" s="110"/>
      <c r="M339" s="110"/>
      <c r="N339" s="110"/>
    </row>
    <row r="340" spans="1:14" ht="12" customHeight="1" x14ac:dyDescent="0.15">
      <c r="A340" s="110"/>
      <c r="B340" s="110"/>
      <c r="C340" s="110"/>
      <c r="D340" s="110"/>
      <c r="E340" s="110"/>
      <c r="F340" s="110"/>
      <c r="G340" s="110"/>
      <c r="H340" s="110"/>
      <c r="I340" s="110"/>
      <c r="J340" s="110"/>
      <c r="K340" s="110"/>
      <c r="L340" s="110"/>
      <c r="M340" s="110"/>
      <c r="N340" s="110"/>
    </row>
    <row r="341" spans="1:14" ht="12" customHeight="1" x14ac:dyDescent="0.15">
      <c r="A341" s="110"/>
      <c r="B341" s="110"/>
      <c r="C341" s="110"/>
      <c r="D341" s="110"/>
      <c r="E341" s="110"/>
      <c r="F341" s="110"/>
      <c r="G341" s="110"/>
      <c r="H341" s="110"/>
      <c r="I341" s="110"/>
      <c r="J341" s="110"/>
      <c r="K341" s="110"/>
      <c r="L341" s="110"/>
      <c r="M341" s="110"/>
      <c r="N341" s="110"/>
    </row>
    <row r="342" spans="1:14" ht="12" customHeight="1" x14ac:dyDescent="0.15">
      <c r="A342" s="110"/>
      <c r="B342" s="110"/>
      <c r="C342" s="110"/>
      <c r="D342" s="110"/>
      <c r="E342" s="110"/>
      <c r="F342" s="110"/>
      <c r="G342" s="110"/>
      <c r="H342" s="110"/>
      <c r="I342" s="110"/>
      <c r="J342" s="110"/>
      <c r="K342" s="110"/>
      <c r="L342" s="110"/>
      <c r="M342" s="110"/>
      <c r="N342" s="110"/>
    </row>
    <row r="343" spans="1:14" ht="12" customHeight="1" x14ac:dyDescent="0.15">
      <c r="A343" s="110"/>
      <c r="B343" s="110"/>
      <c r="C343" s="110"/>
      <c r="D343" s="110"/>
      <c r="E343" s="110"/>
      <c r="F343" s="110"/>
      <c r="G343" s="110"/>
      <c r="H343" s="110"/>
      <c r="I343" s="110"/>
      <c r="J343" s="110"/>
      <c r="K343" s="110"/>
      <c r="L343" s="110"/>
      <c r="M343" s="110"/>
      <c r="N343" s="110"/>
    </row>
    <row r="344" spans="1:14" ht="12" customHeight="1" x14ac:dyDescent="0.15">
      <c r="A344" s="110"/>
      <c r="B344" s="110"/>
      <c r="C344" s="110"/>
      <c r="D344" s="110"/>
      <c r="E344" s="110"/>
      <c r="F344" s="110"/>
      <c r="G344" s="110"/>
      <c r="H344" s="110"/>
      <c r="I344" s="110"/>
      <c r="J344" s="110"/>
      <c r="K344" s="110"/>
      <c r="L344" s="110"/>
      <c r="M344" s="110"/>
      <c r="N344" s="110"/>
    </row>
    <row r="345" spans="1:14" ht="12" customHeight="1" x14ac:dyDescent="0.15">
      <c r="A345" s="110"/>
      <c r="B345" s="110"/>
      <c r="C345" s="110"/>
      <c r="D345" s="110"/>
      <c r="E345" s="110"/>
      <c r="F345" s="110"/>
      <c r="G345" s="110"/>
      <c r="H345" s="110"/>
      <c r="I345" s="110"/>
      <c r="J345" s="110"/>
      <c r="K345" s="110"/>
      <c r="L345" s="110"/>
      <c r="M345" s="110"/>
      <c r="N345" s="110"/>
    </row>
    <row r="346" spans="1:14" ht="12" customHeight="1" x14ac:dyDescent="0.15">
      <c r="A346" s="110"/>
      <c r="B346" s="110"/>
      <c r="C346" s="110"/>
      <c r="D346" s="110"/>
      <c r="E346" s="110"/>
      <c r="F346" s="110"/>
      <c r="G346" s="110"/>
      <c r="H346" s="110"/>
      <c r="I346" s="110"/>
      <c r="J346" s="110"/>
      <c r="K346" s="110"/>
      <c r="L346" s="110"/>
      <c r="M346" s="110"/>
      <c r="N346" s="110"/>
    </row>
    <row r="347" spans="1:14" ht="12" customHeight="1" x14ac:dyDescent="0.15">
      <c r="A347" s="110"/>
      <c r="B347" s="110"/>
      <c r="C347" s="110"/>
      <c r="D347" s="110"/>
      <c r="E347" s="110"/>
      <c r="F347" s="110"/>
      <c r="G347" s="110"/>
      <c r="H347" s="110"/>
      <c r="I347" s="110"/>
      <c r="J347" s="110"/>
      <c r="K347" s="110"/>
      <c r="L347" s="110"/>
      <c r="M347" s="110"/>
      <c r="N347" s="110"/>
    </row>
    <row r="348" spans="1:14" ht="12" customHeight="1" x14ac:dyDescent="0.15">
      <c r="A348" s="110"/>
      <c r="B348" s="110"/>
      <c r="C348" s="110"/>
      <c r="D348" s="110"/>
      <c r="E348" s="110"/>
      <c r="F348" s="110"/>
      <c r="G348" s="110"/>
      <c r="H348" s="110"/>
      <c r="I348" s="110"/>
      <c r="J348" s="110"/>
      <c r="K348" s="110"/>
      <c r="L348" s="110"/>
      <c r="M348" s="110"/>
      <c r="N348" s="110"/>
    </row>
    <row r="349" spans="1:14" ht="12" customHeight="1" x14ac:dyDescent="0.15">
      <c r="A349" s="110"/>
      <c r="B349" s="110"/>
      <c r="C349" s="110"/>
      <c r="D349" s="110"/>
      <c r="E349" s="110"/>
      <c r="F349" s="110"/>
      <c r="G349" s="110"/>
      <c r="H349" s="110"/>
      <c r="I349" s="110"/>
      <c r="J349" s="110"/>
      <c r="K349" s="110"/>
      <c r="L349" s="110"/>
      <c r="M349" s="110"/>
      <c r="N349" s="110"/>
    </row>
    <row r="350" spans="1:14" ht="12" customHeight="1" x14ac:dyDescent="0.15">
      <c r="A350" s="110"/>
      <c r="B350" s="110"/>
      <c r="C350" s="110"/>
      <c r="D350" s="110"/>
      <c r="E350" s="110"/>
      <c r="F350" s="110"/>
      <c r="G350" s="110"/>
      <c r="H350" s="110"/>
      <c r="I350" s="110"/>
      <c r="J350" s="110"/>
      <c r="K350" s="110"/>
      <c r="L350" s="110"/>
      <c r="M350" s="110"/>
      <c r="N350" s="110"/>
    </row>
    <row r="351" spans="1:14" ht="12" customHeight="1" x14ac:dyDescent="0.15">
      <c r="A351" s="110"/>
      <c r="B351" s="110"/>
      <c r="C351" s="110"/>
      <c r="D351" s="110"/>
      <c r="E351" s="110"/>
      <c r="F351" s="110"/>
      <c r="G351" s="110"/>
      <c r="H351" s="110"/>
      <c r="I351" s="110"/>
      <c r="J351" s="110"/>
      <c r="K351" s="110"/>
      <c r="L351" s="110"/>
      <c r="M351" s="110"/>
      <c r="N351" s="110"/>
    </row>
    <row r="352" spans="1:14" ht="12" customHeight="1" x14ac:dyDescent="0.15">
      <c r="A352" s="110"/>
      <c r="B352" s="110"/>
      <c r="C352" s="110"/>
      <c r="D352" s="110"/>
      <c r="E352" s="110"/>
      <c r="F352" s="110"/>
      <c r="G352" s="110"/>
      <c r="H352" s="110"/>
      <c r="I352" s="110"/>
      <c r="J352" s="110"/>
      <c r="K352" s="110"/>
      <c r="L352" s="110"/>
      <c r="M352" s="110"/>
      <c r="N352" s="110"/>
    </row>
    <row r="353" spans="1:14" ht="12" customHeight="1" x14ac:dyDescent="0.15">
      <c r="A353" s="110"/>
      <c r="B353" s="110"/>
      <c r="C353" s="110"/>
      <c r="D353" s="110"/>
      <c r="E353" s="110"/>
      <c r="F353" s="110"/>
      <c r="G353" s="110"/>
      <c r="H353" s="110"/>
      <c r="I353" s="110"/>
      <c r="J353" s="110"/>
      <c r="K353" s="110"/>
      <c r="L353" s="110"/>
      <c r="M353" s="110"/>
      <c r="N353" s="110"/>
    </row>
    <row r="354" spans="1:14" ht="12" customHeight="1" x14ac:dyDescent="0.15">
      <c r="A354" s="110"/>
      <c r="B354" s="110"/>
      <c r="C354" s="110"/>
      <c r="D354" s="110"/>
      <c r="E354" s="110"/>
      <c r="F354" s="110"/>
      <c r="G354" s="110"/>
      <c r="H354" s="110"/>
      <c r="I354" s="110"/>
      <c r="J354" s="110"/>
      <c r="K354" s="110"/>
      <c r="L354" s="110"/>
      <c r="M354" s="110"/>
      <c r="N354" s="110"/>
    </row>
    <row r="355" spans="1:14" ht="12" customHeight="1" x14ac:dyDescent="0.15">
      <c r="A355" s="110"/>
      <c r="B355" s="110"/>
      <c r="C355" s="110"/>
      <c r="D355" s="110"/>
      <c r="E355" s="110"/>
      <c r="F355" s="110"/>
      <c r="G355" s="110"/>
      <c r="H355" s="110"/>
      <c r="I355" s="110"/>
      <c r="J355" s="110"/>
      <c r="K355" s="110"/>
      <c r="L355" s="110"/>
      <c r="M355" s="110"/>
      <c r="N355" s="110"/>
    </row>
    <row r="356" spans="1:14" ht="12" customHeight="1" x14ac:dyDescent="0.15">
      <c r="A356" s="110"/>
      <c r="B356" s="110"/>
      <c r="C356" s="110"/>
      <c r="D356" s="110"/>
      <c r="E356" s="110"/>
      <c r="F356" s="110"/>
      <c r="G356" s="110"/>
      <c r="H356" s="110"/>
      <c r="I356" s="110"/>
      <c r="J356" s="110"/>
      <c r="K356" s="110"/>
      <c r="L356" s="110"/>
      <c r="M356" s="110"/>
      <c r="N356" s="110"/>
    </row>
    <row r="357" spans="1:14" ht="12" customHeight="1" x14ac:dyDescent="0.15">
      <c r="A357" s="110"/>
      <c r="B357" s="110"/>
      <c r="C357" s="110"/>
      <c r="D357" s="110"/>
      <c r="E357" s="110"/>
      <c r="F357" s="110"/>
      <c r="G357" s="110"/>
      <c r="H357" s="110"/>
      <c r="I357" s="110"/>
      <c r="J357" s="110"/>
      <c r="K357" s="110"/>
      <c r="L357" s="110"/>
      <c r="M357" s="110"/>
      <c r="N357" s="110"/>
    </row>
    <row r="358" spans="1:14" ht="12" customHeight="1" x14ac:dyDescent="0.15">
      <c r="A358" s="110"/>
      <c r="B358" s="110"/>
      <c r="C358" s="110"/>
      <c r="D358" s="110"/>
      <c r="E358" s="110"/>
      <c r="F358" s="110"/>
      <c r="G358" s="110"/>
      <c r="H358" s="110"/>
      <c r="I358" s="110"/>
      <c r="J358" s="110"/>
      <c r="K358" s="110"/>
      <c r="L358" s="110"/>
      <c r="M358" s="110"/>
      <c r="N358" s="110"/>
    </row>
    <row r="359" spans="1:14" ht="12" customHeight="1" x14ac:dyDescent="0.15">
      <c r="A359" s="110"/>
      <c r="B359" s="110"/>
      <c r="C359" s="110"/>
      <c r="D359" s="110"/>
      <c r="E359" s="110"/>
      <c r="F359" s="110"/>
      <c r="G359" s="110"/>
      <c r="H359" s="110"/>
      <c r="I359" s="110"/>
      <c r="J359" s="110"/>
      <c r="K359" s="110"/>
      <c r="L359" s="110"/>
      <c r="M359" s="110"/>
      <c r="N359" s="110"/>
    </row>
    <row r="360" spans="1:14" ht="12" customHeight="1" x14ac:dyDescent="0.15">
      <c r="A360" s="110"/>
      <c r="B360" s="110"/>
      <c r="C360" s="110"/>
      <c r="D360" s="110"/>
      <c r="E360" s="110"/>
      <c r="F360" s="110"/>
      <c r="G360" s="110"/>
      <c r="H360" s="110"/>
      <c r="I360" s="110"/>
      <c r="J360" s="110"/>
      <c r="K360" s="110"/>
      <c r="L360" s="110"/>
      <c r="M360" s="110"/>
      <c r="N360" s="110"/>
    </row>
    <row r="361" spans="1:14" ht="12" customHeight="1" x14ac:dyDescent="0.15">
      <c r="A361" s="110"/>
      <c r="B361" s="110"/>
      <c r="C361" s="110"/>
      <c r="D361" s="110"/>
      <c r="E361" s="110"/>
      <c r="F361" s="110"/>
      <c r="G361" s="110"/>
      <c r="H361" s="110"/>
      <c r="I361" s="110"/>
      <c r="J361" s="110"/>
      <c r="K361" s="110"/>
      <c r="L361" s="110"/>
      <c r="M361" s="110"/>
      <c r="N361" s="110"/>
    </row>
    <row r="362" spans="1:14" ht="12" customHeight="1" x14ac:dyDescent="0.15">
      <c r="A362" s="110"/>
      <c r="B362" s="110"/>
      <c r="C362" s="110"/>
      <c r="D362" s="110"/>
      <c r="E362" s="110"/>
      <c r="F362" s="110"/>
      <c r="G362" s="110"/>
      <c r="H362" s="110"/>
      <c r="I362" s="110"/>
      <c r="J362" s="110"/>
      <c r="K362" s="110"/>
      <c r="L362" s="110"/>
      <c r="M362" s="110"/>
      <c r="N362" s="110"/>
    </row>
    <row r="363" spans="1:14" ht="12" customHeight="1" x14ac:dyDescent="0.15">
      <c r="A363" s="110"/>
      <c r="B363" s="110"/>
      <c r="C363" s="110"/>
      <c r="D363" s="110"/>
      <c r="E363" s="110"/>
      <c r="F363" s="110"/>
      <c r="G363" s="110"/>
      <c r="H363" s="110"/>
      <c r="I363" s="110"/>
      <c r="J363" s="110"/>
      <c r="K363" s="110"/>
      <c r="L363" s="110"/>
      <c r="M363" s="110"/>
      <c r="N363" s="110"/>
    </row>
    <row r="364" spans="1:14" ht="12" customHeight="1" x14ac:dyDescent="0.15">
      <c r="A364" s="110"/>
      <c r="B364" s="110"/>
      <c r="C364" s="110"/>
      <c r="D364" s="110"/>
      <c r="E364" s="110"/>
      <c r="F364" s="110"/>
      <c r="G364" s="110"/>
      <c r="H364" s="110"/>
      <c r="I364" s="110"/>
      <c r="J364" s="110"/>
      <c r="K364" s="110"/>
      <c r="L364" s="110"/>
      <c r="M364" s="110"/>
      <c r="N364" s="110"/>
    </row>
    <row r="365" spans="1:14" ht="12" customHeight="1" x14ac:dyDescent="0.15">
      <c r="A365" s="110"/>
      <c r="B365" s="110"/>
      <c r="C365" s="110"/>
      <c r="D365" s="110"/>
      <c r="E365" s="110"/>
      <c r="F365" s="110"/>
      <c r="G365" s="110"/>
      <c r="H365" s="110"/>
      <c r="I365" s="110"/>
      <c r="J365" s="110"/>
      <c r="K365" s="110"/>
      <c r="L365" s="110"/>
      <c r="M365" s="110"/>
      <c r="N365" s="110"/>
    </row>
    <row r="366" spans="1:14" ht="12" customHeight="1" x14ac:dyDescent="0.15">
      <c r="A366" s="110"/>
      <c r="B366" s="110"/>
      <c r="C366" s="110"/>
      <c r="D366" s="110"/>
      <c r="E366" s="110"/>
      <c r="F366" s="110"/>
      <c r="G366" s="110"/>
      <c r="H366" s="110"/>
      <c r="I366" s="110"/>
      <c r="J366" s="110"/>
      <c r="K366" s="110"/>
      <c r="L366" s="110"/>
      <c r="M366" s="110"/>
      <c r="N366" s="110"/>
    </row>
    <row r="367" spans="1:14" ht="12" customHeight="1" x14ac:dyDescent="0.15">
      <c r="A367" s="110"/>
      <c r="B367" s="110"/>
      <c r="C367" s="110"/>
      <c r="D367" s="110"/>
      <c r="E367" s="110"/>
      <c r="F367" s="110"/>
      <c r="G367" s="110"/>
      <c r="H367" s="110"/>
      <c r="I367" s="110"/>
      <c r="J367" s="110"/>
      <c r="K367" s="110"/>
      <c r="L367" s="110"/>
      <c r="M367" s="110"/>
      <c r="N367" s="110"/>
    </row>
    <row r="368" spans="1:14" ht="12" customHeight="1" x14ac:dyDescent="0.15">
      <c r="A368" s="110"/>
      <c r="B368" s="110"/>
      <c r="C368" s="110"/>
      <c r="D368" s="110"/>
      <c r="E368" s="110"/>
      <c r="F368" s="110"/>
      <c r="G368" s="110"/>
      <c r="H368" s="110"/>
      <c r="I368" s="110"/>
      <c r="J368" s="110"/>
      <c r="K368" s="110"/>
      <c r="L368" s="110"/>
      <c r="M368" s="110"/>
      <c r="N368" s="110"/>
    </row>
    <row r="369" spans="1:14" ht="12" customHeight="1" x14ac:dyDescent="0.15">
      <c r="A369" s="110"/>
      <c r="B369" s="110"/>
      <c r="C369" s="110"/>
      <c r="D369" s="110"/>
      <c r="E369" s="110"/>
      <c r="F369" s="110"/>
      <c r="G369" s="110"/>
      <c r="H369" s="110"/>
      <c r="I369" s="110"/>
      <c r="J369" s="110"/>
      <c r="K369" s="110"/>
      <c r="L369" s="110"/>
      <c r="M369" s="110"/>
      <c r="N369" s="110"/>
    </row>
    <row r="370" spans="1:14" ht="12" customHeight="1" x14ac:dyDescent="0.15">
      <c r="A370" s="110"/>
      <c r="B370" s="110"/>
      <c r="C370" s="110"/>
      <c r="D370" s="110"/>
      <c r="E370" s="110"/>
      <c r="F370" s="110"/>
      <c r="G370" s="110"/>
      <c r="H370" s="110"/>
      <c r="I370" s="110"/>
      <c r="J370" s="110"/>
      <c r="K370" s="110"/>
      <c r="L370" s="110"/>
      <c r="M370" s="110"/>
      <c r="N370" s="110"/>
    </row>
    <row r="371" spans="1:14" ht="12" customHeight="1" x14ac:dyDescent="0.15">
      <c r="A371" s="110"/>
      <c r="B371" s="110"/>
      <c r="C371" s="110"/>
      <c r="D371" s="110"/>
      <c r="E371" s="110"/>
      <c r="F371" s="110"/>
      <c r="G371" s="110"/>
      <c r="H371" s="110"/>
      <c r="I371" s="110"/>
      <c r="J371" s="110"/>
      <c r="K371" s="110"/>
      <c r="L371" s="110"/>
      <c r="M371" s="110"/>
      <c r="N371" s="110"/>
    </row>
    <row r="372" spans="1:14" ht="12" customHeight="1" x14ac:dyDescent="0.15">
      <c r="A372" s="110"/>
      <c r="B372" s="110"/>
      <c r="C372" s="110"/>
      <c r="D372" s="110"/>
      <c r="E372" s="110"/>
      <c r="F372" s="110"/>
      <c r="G372" s="110"/>
      <c r="H372" s="110"/>
      <c r="I372" s="110"/>
      <c r="J372" s="110"/>
      <c r="K372" s="110"/>
      <c r="L372" s="110"/>
      <c r="M372" s="110"/>
      <c r="N372" s="110"/>
    </row>
    <row r="373" spans="1:14" ht="12" customHeight="1" x14ac:dyDescent="0.15">
      <c r="A373" s="110"/>
      <c r="B373" s="110"/>
      <c r="C373" s="110"/>
      <c r="D373" s="110"/>
      <c r="E373" s="110"/>
      <c r="F373" s="110"/>
      <c r="G373" s="110"/>
      <c r="H373" s="110"/>
      <c r="I373" s="110"/>
      <c r="J373" s="110"/>
      <c r="K373" s="110"/>
      <c r="L373" s="110"/>
      <c r="M373" s="110"/>
      <c r="N373" s="110"/>
    </row>
    <row r="374" spans="1:14" ht="12" customHeight="1" x14ac:dyDescent="0.15">
      <c r="A374" s="110"/>
      <c r="B374" s="110"/>
      <c r="C374" s="110"/>
      <c r="D374" s="110"/>
      <c r="E374" s="110"/>
      <c r="F374" s="110"/>
      <c r="G374" s="110"/>
      <c r="H374" s="110"/>
      <c r="I374" s="110"/>
      <c r="J374" s="110"/>
      <c r="K374" s="110"/>
      <c r="L374" s="110"/>
      <c r="M374" s="110"/>
      <c r="N374" s="110"/>
    </row>
    <row r="375" spans="1:14" ht="12" customHeight="1" x14ac:dyDescent="0.15">
      <c r="A375" s="110"/>
      <c r="B375" s="110"/>
      <c r="C375" s="110"/>
      <c r="D375" s="110"/>
      <c r="E375" s="110"/>
      <c r="F375" s="110"/>
      <c r="G375" s="110"/>
      <c r="H375" s="110"/>
      <c r="I375" s="110"/>
      <c r="J375" s="110"/>
      <c r="K375" s="110"/>
      <c r="L375" s="110"/>
      <c r="M375" s="110"/>
      <c r="N375" s="110"/>
    </row>
    <row r="376" spans="1:14" ht="12" customHeight="1" x14ac:dyDescent="0.15">
      <c r="A376" s="110"/>
      <c r="B376" s="110"/>
      <c r="C376" s="110"/>
      <c r="D376" s="110"/>
      <c r="E376" s="110"/>
      <c r="F376" s="110"/>
      <c r="G376" s="110"/>
      <c r="H376" s="110"/>
      <c r="I376" s="110"/>
      <c r="J376" s="110"/>
      <c r="K376" s="110"/>
      <c r="L376" s="110"/>
      <c r="M376" s="110"/>
      <c r="N376" s="110"/>
    </row>
    <row r="377" spans="1:14" ht="12" customHeight="1" x14ac:dyDescent="0.15">
      <c r="A377" s="110"/>
      <c r="B377" s="110"/>
      <c r="C377" s="110"/>
      <c r="D377" s="110"/>
      <c r="E377" s="110"/>
      <c r="F377" s="110"/>
      <c r="G377" s="110"/>
      <c r="H377" s="110"/>
      <c r="I377" s="110"/>
      <c r="J377" s="110"/>
      <c r="K377" s="110"/>
      <c r="L377" s="110"/>
      <c r="M377" s="110"/>
      <c r="N377" s="110"/>
    </row>
    <row r="378" spans="1:14" ht="12" customHeight="1" x14ac:dyDescent="0.15">
      <c r="A378" s="110"/>
      <c r="B378" s="110"/>
      <c r="C378" s="110"/>
      <c r="D378" s="110"/>
      <c r="E378" s="110"/>
      <c r="F378" s="110"/>
      <c r="G378" s="110"/>
      <c r="H378" s="110"/>
      <c r="I378" s="110"/>
      <c r="J378" s="110"/>
      <c r="K378" s="110"/>
      <c r="L378" s="110"/>
      <c r="M378" s="110"/>
      <c r="N378" s="110"/>
    </row>
    <row r="379" spans="1:14" ht="12" customHeight="1" x14ac:dyDescent="0.15">
      <c r="A379" s="110"/>
      <c r="B379" s="110"/>
      <c r="C379" s="110"/>
      <c r="D379" s="110"/>
      <c r="E379" s="110"/>
      <c r="F379" s="110"/>
      <c r="G379" s="110"/>
      <c r="H379" s="110"/>
      <c r="I379" s="110"/>
      <c r="J379" s="110"/>
      <c r="K379" s="110"/>
      <c r="L379" s="110"/>
      <c r="M379" s="110"/>
      <c r="N379" s="110"/>
    </row>
    <row r="380" spans="1:14" ht="12" customHeight="1" x14ac:dyDescent="0.15">
      <c r="A380" s="110"/>
      <c r="B380" s="110"/>
      <c r="C380" s="110"/>
      <c r="D380" s="110"/>
      <c r="E380" s="110"/>
      <c r="F380" s="110"/>
      <c r="G380" s="110"/>
      <c r="H380" s="110"/>
      <c r="I380" s="110"/>
      <c r="J380" s="110"/>
      <c r="K380" s="110"/>
      <c r="L380" s="110"/>
      <c r="M380" s="110"/>
      <c r="N380" s="110"/>
    </row>
    <row r="381" spans="1:14" ht="12" customHeight="1" x14ac:dyDescent="0.15">
      <c r="A381" s="110"/>
      <c r="B381" s="110"/>
      <c r="C381" s="110"/>
      <c r="D381" s="110"/>
      <c r="E381" s="110"/>
      <c r="F381" s="110"/>
      <c r="G381" s="110"/>
      <c r="H381" s="110"/>
      <c r="I381" s="110"/>
      <c r="J381" s="110"/>
      <c r="K381" s="110"/>
      <c r="L381" s="110"/>
      <c r="M381" s="110"/>
      <c r="N381" s="110"/>
    </row>
    <row r="382" spans="1:14" ht="12" customHeight="1" x14ac:dyDescent="0.15">
      <c r="A382" s="110"/>
      <c r="B382" s="110"/>
      <c r="C382" s="110"/>
      <c r="D382" s="110"/>
      <c r="E382" s="110"/>
      <c r="F382" s="110"/>
      <c r="G382" s="110"/>
      <c r="H382" s="110"/>
      <c r="I382" s="110"/>
      <c r="J382" s="110"/>
      <c r="K382" s="110"/>
      <c r="L382" s="110"/>
      <c r="M382" s="110"/>
      <c r="N382" s="110"/>
    </row>
    <row r="383" spans="1:14" ht="12" customHeight="1" x14ac:dyDescent="0.15">
      <c r="A383" s="110"/>
      <c r="B383" s="110"/>
      <c r="C383" s="110"/>
      <c r="D383" s="110"/>
      <c r="E383" s="110"/>
      <c r="F383" s="110"/>
      <c r="G383" s="110"/>
      <c r="H383" s="110"/>
      <c r="I383" s="110"/>
      <c r="J383" s="110"/>
      <c r="K383" s="110"/>
      <c r="L383" s="110"/>
      <c r="M383" s="110"/>
      <c r="N383" s="110"/>
    </row>
    <row r="384" spans="1:14" ht="12" customHeight="1" x14ac:dyDescent="0.15">
      <c r="A384" s="110"/>
      <c r="B384" s="110"/>
      <c r="C384" s="110"/>
      <c r="D384" s="110"/>
      <c r="E384" s="110"/>
      <c r="F384" s="110"/>
      <c r="G384" s="110"/>
      <c r="H384" s="110"/>
      <c r="I384" s="110"/>
      <c r="J384" s="110"/>
      <c r="K384" s="110"/>
      <c r="L384" s="110"/>
      <c r="M384" s="110"/>
      <c r="N384" s="110"/>
    </row>
    <row r="385" spans="1:14" ht="12" customHeight="1" x14ac:dyDescent="0.15">
      <c r="A385" s="110"/>
      <c r="B385" s="110"/>
      <c r="C385" s="110"/>
      <c r="D385" s="110"/>
      <c r="E385" s="110"/>
      <c r="F385" s="110"/>
      <c r="G385" s="110"/>
      <c r="H385" s="110"/>
      <c r="I385" s="110"/>
      <c r="J385" s="110"/>
      <c r="K385" s="110"/>
      <c r="L385" s="110"/>
      <c r="M385" s="110"/>
      <c r="N385" s="110"/>
    </row>
    <row r="386" spans="1:14" ht="12" customHeight="1" x14ac:dyDescent="0.15">
      <c r="A386" s="110"/>
      <c r="B386" s="110"/>
      <c r="C386" s="110"/>
      <c r="D386" s="110"/>
      <c r="E386" s="110"/>
      <c r="F386" s="110"/>
      <c r="G386" s="110"/>
      <c r="H386" s="110"/>
      <c r="I386" s="110"/>
      <c r="J386" s="110"/>
      <c r="K386" s="110"/>
      <c r="L386" s="110"/>
      <c r="M386" s="110"/>
      <c r="N386" s="110"/>
    </row>
    <row r="387" spans="1:14" ht="12" customHeight="1" x14ac:dyDescent="0.15">
      <c r="A387" s="110"/>
      <c r="B387" s="110"/>
      <c r="C387" s="110"/>
      <c r="D387" s="110"/>
      <c r="E387" s="110"/>
      <c r="F387" s="110"/>
      <c r="G387" s="110"/>
      <c r="H387" s="110"/>
      <c r="I387" s="110"/>
      <c r="J387" s="110"/>
      <c r="K387" s="110"/>
      <c r="L387" s="110"/>
      <c r="M387" s="110"/>
      <c r="N387" s="110"/>
    </row>
    <row r="388" spans="1:14" ht="12" customHeight="1" x14ac:dyDescent="0.15">
      <c r="A388" s="110"/>
      <c r="B388" s="110"/>
      <c r="C388" s="110"/>
      <c r="D388" s="110"/>
      <c r="E388" s="110"/>
      <c r="F388" s="110"/>
      <c r="G388" s="110"/>
      <c r="H388" s="110"/>
      <c r="I388" s="110"/>
      <c r="J388" s="110"/>
      <c r="K388" s="110"/>
      <c r="L388" s="110"/>
      <c r="M388" s="110"/>
      <c r="N388" s="110"/>
    </row>
    <row r="389" spans="1:14" ht="12" customHeight="1" x14ac:dyDescent="0.15">
      <c r="A389" s="110"/>
      <c r="B389" s="110"/>
      <c r="C389" s="110"/>
      <c r="D389" s="110"/>
      <c r="E389" s="110"/>
      <c r="F389" s="110"/>
      <c r="G389" s="110"/>
      <c r="H389" s="110"/>
      <c r="I389" s="110"/>
      <c r="J389" s="110"/>
      <c r="K389" s="110"/>
      <c r="L389" s="110"/>
      <c r="M389" s="110"/>
      <c r="N389" s="110"/>
    </row>
    <row r="390" spans="1:14" ht="12" customHeight="1" x14ac:dyDescent="0.15">
      <c r="A390" s="110"/>
      <c r="B390" s="110"/>
      <c r="C390" s="110"/>
      <c r="D390" s="110"/>
      <c r="E390" s="110"/>
      <c r="F390" s="110"/>
      <c r="G390" s="110"/>
      <c r="H390" s="110"/>
      <c r="I390" s="110"/>
      <c r="J390" s="110"/>
      <c r="K390" s="110"/>
      <c r="L390" s="110"/>
      <c r="M390" s="110"/>
      <c r="N390" s="110"/>
    </row>
    <row r="391" spans="1:14" ht="12" customHeight="1" x14ac:dyDescent="0.15">
      <c r="A391" s="110"/>
      <c r="B391" s="110"/>
      <c r="C391" s="110"/>
      <c r="D391" s="110"/>
      <c r="E391" s="110"/>
      <c r="F391" s="110"/>
      <c r="G391" s="110"/>
      <c r="H391" s="110"/>
      <c r="I391" s="110"/>
      <c r="J391" s="110"/>
      <c r="K391" s="110"/>
      <c r="L391" s="110"/>
      <c r="M391" s="110"/>
      <c r="N391" s="110"/>
    </row>
    <row r="392" spans="1:14" ht="12" customHeight="1" x14ac:dyDescent="0.15">
      <c r="A392" s="110"/>
      <c r="B392" s="110"/>
      <c r="C392" s="110"/>
      <c r="D392" s="110"/>
      <c r="E392" s="110"/>
      <c r="F392" s="110"/>
      <c r="G392" s="110"/>
      <c r="H392" s="110"/>
      <c r="I392" s="110"/>
      <c r="J392" s="110"/>
      <c r="K392" s="110"/>
      <c r="L392" s="110"/>
      <c r="M392" s="110"/>
      <c r="N392" s="110"/>
    </row>
    <row r="393" spans="1:14" ht="12" customHeight="1" x14ac:dyDescent="0.15">
      <c r="A393" s="110"/>
      <c r="B393" s="110"/>
      <c r="C393" s="110"/>
      <c r="D393" s="110"/>
      <c r="E393" s="110"/>
      <c r="F393" s="110"/>
      <c r="G393" s="110"/>
      <c r="H393" s="110"/>
      <c r="I393" s="110"/>
      <c r="J393" s="110"/>
      <c r="K393" s="110"/>
      <c r="L393" s="110"/>
      <c r="M393" s="110"/>
      <c r="N393" s="110"/>
    </row>
    <row r="394" spans="1:14" ht="12" customHeight="1" x14ac:dyDescent="0.15">
      <c r="A394" s="110"/>
      <c r="B394" s="110"/>
      <c r="C394" s="110"/>
      <c r="D394" s="110"/>
      <c r="E394" s="110"/>
      <c r="F394" s="110"/>
      <c r="G394" s="110"/>
      <c r="H394" s="110"/>
      <c r="I394" s="110"/>
      <c r="J394" s="110"/>
      <c r="K394" s="110"/>
      <c r="L394" s="110"/>
      <c r="M394" s="110"/>
      <c r="N394" s="110"/>
    </row>
    <row r="395" spans="1:14" ht="12" customHeight="1" x14ac:dyDescent="0.15">
      <c r="A395" s="110"/>
      <c r="B395" s="110"/>
      <c r="C395" s="110"/>
      <c r="D395" s="110"/>
      <c r="E395" s="110"/>
      <c r="F395" s="110"/>
      <c r="G395" s="110"/>
      <c r="H395" s="110"/>
      <c r="I395" s="110"/>
      <c r="J395" s="110"/>
      <c r="K395" s="110"/>
      <c r="L395" s="110"/>
      <c r="M395" s="110"/>
      <c r="N395" s="110"/>
    </row>
    <row r="396" spans="1:14" ht="12" customHeight="1" x14ac:dyDescent="0.15">
      <c r="A396" s="110"/>
      <c r="B396" s="110"/>
      <c r="C396" s="110"/>
      <c r="D396" s="110"/>
      <c r="E396" s="110"/>
      <c r="F396" s="110"/>
      <c r="G396" s="110"/>
      <c r="H396" s="110"/>
      <c r="I396" s="110"/>
      <c r="J396" s="110"/>
      <c r="K396" s="110"/>
      <c r="L396" s="110"/>
      <c r="M396" s="110"/>
      <c r="N396" s="110"/>
    </row>
    <row r="397" spans="1:14" ht="12" customHeight="1" x14ac:dyDescent="0.15">
      <c r="A397" s="110"/>
      <c r="B397" s="110"/>
      <c r="C397" s="110"/>
      <c r="D397" s="110"/>
      <c r="E397" s="110"/>
      <c r="F397" s="110"/>
      <c r="G397" s="110"/>
      <c r="H397" s="110"/>
      <c r="I397" s="110"/>
      <c r="J397" s="110"/>
      <c r="K397" s="110"/>
      <c r="L397" s="110"/>
      <c r="M397" s="110"/>
      <c r="N397" s="110"/>
    </row>
    <row r="398" spans="1:14" ht="12" customHeight="1" x14ac:dyDescent="0.15">
      <c r="A398" s="110"/>
      <c r="B398" s="110"/>
      <c r="C398" s="110"/>
      <c r="D398" s="110"/>
      <c r="E398" s="110"/>
      <c r="F398" s="110"/>
      <c r="G398" s="110"/>
      <c r="H398" s="110"/>
      <c r="I398" s="110"/>
      <c r="J398" s="110"/>
      <c r="K398" s="110"/>
      <c r="L398" s="110"/>
      <c r="M398" s="110"/>
      <c r="N398" s="110"/>
    </row>
    <row r="399" spans="1:14" ht="12" customHeight="1" x14ac:dyDescent="0.15">
      <c r="A399" s="110"/>
      <c r="B399" s="110"/>
      <c r="C399" s="110"/>
      <c r="D399" s="110"/>
      <c r="E399" s="110"/>
      <c r="F399" s="110"/>
      <c r="G399" s="110"/>
      <c r="H399" s="110"/>
      <c r="I399" s="110"/>
      <c r="J399" s="110"/>
      <c r="K399" s="110"/>
      <c r="L399" s="110"/>
      <c r="M399" s="110"/>
      <c r="N399" s="110"/>
    </row>
    <row r="400" spans="1:14" ht="12" customHeight="1" x14ac:dyDescent="0.15">
      <c r="A400" s="110"/>
      <c r="B400" s="110"/>
      <c r="C400" s="110"/>
      <c r="D400" s="110"/>
      <c r="E400" s="110"/>
      <c r="F400" s="110"/>
      <c r="G400" s="110"/>
      <c r="H400" s="110"/>
      <c r="I400" s="110"/>
      <c r="J400" s="110"/>
      <c r="K400" s="110"/>
      <c r="L400" s="110"/>
      <c r="M400" s="110"/>
      <c r="N400" s="110"/>
    </row>
    <row r="401" spans="1:14" ht="12" customHeight="1" x14ac:dyDescent="0.15">
      <c r="A401" s="110"/>
      <c r="B401" s="110"/>
      <c r="C401" s="110"/>
      <c r="D401" s="110"/>
      <c r="E401" s="110"/>
      <c r="F401" s="110"/>
      <c r="G401" s="110"/>
      <c r="H401" s="110"/>
      <c r="I401" s="110"/>
      <c r="J401" s="110"/>
      <c r="K401" s="110"/>
      <c r="L401" s="110"/>
      <c r="M401" s="110"/>
      <c r="N401" s="110"/>
    </row>
    <row r="402" spans="1:14" ht="12" customHeight="1" x14ac:dyDescent="0.15">
      <c r="A402" s="110"/>
      <c r="B402" s="110"/>
      <c r="C402" s="110"/>
      <c r="D402" s="110"/>
      <c r="E402" s="110"/>
      <c r="F402" s="110"/>
      <c r="G402" s="110"/>
      <c r="H402" s="110"/>
      <c r="I402" s="110"/>
      <c r="J402" s="110"/>
      <c r="K402" s="110"/>
      <c r="L402" s="110"/>
      <c r="M402" s="110"/>
      <c r="N402" s="110"/>
    </row>
    <row r="403" spans="1:14" ht="12" customHeight="1" x14ac:dyDescent="0.15">
      <c r="A403" s="110"/>
      <c r="B403" s="110"/>
      <c r="C403" s="110"/>
      <c r="D403" s="110"/>
      <c r="E403" s="110"/>
      <c r="F403" s="110"/>
      <c r="G403" s="110"/>
      <c r="H403" s="110"/>
      <c r="I403" s="110"/>
      <c r="J403" s="110"/>
      <c r="K403" s="110"/>
      <c r="L403" s="110"/>
      <c r="M403" s="110"/>
      <c r="N403" s="110"/>
    </row>
    <row r="404" spans="1:14" ht="12" customHeight="1" x14ac:dyDescent="0.15">
      <c r="A404" s="110"/>
      <c r="B404" s="110"/>
      <c r="C404" s="110"/>
      <c r="D404" s="110"/>
      <c r="E404" s="110"/>
      <c r="F404" s="110"/>
      <c r="G404" s="110"/>
      <c r="H404" s="110"/>
      <c r="I404" s="110"/>
      <c r="J404" s="110"/>
      <c r="K404" s="110"/>
      <c r="L404" s="110"/>
      <c r="M404" s="110"/>
      <c r="N404" s="110"/>
    </row>
    <row r="405" spans="1:14" ht="12" customHeight="1" x14ac:dyDescent="0.15">
      <c r="A405" s="110"/>
      <c r="B405" s="110"/>
      <c r="C405" s="110"/>
      <c r="D405" s="110"/>
      <c r="E405" s="110"/>
      <c r="F405" s="110"/>
      <c r="G405" s="110"/>
      <c r="H405" s="110"/>
      <c r="I405" s="110"/>
      <c r="J405" s="110"/>
      <c r="K405" s="110"/>
      <c r="L405" s="110"/>
      <c r="M405" s="110"/>
      <c r="N405" s="110"/>
    </row>
    <row r="406" spans="1:14" ht="12" customHeight="1" x14ac:dyDescent="0.15">
      <c r="A406" s="110"/>
      <c r="B406" s="110"/>
      <c r="C406" s="110"/>
      <c r="D406" s="110"/>
      <c r="E406" s="110"/>
      <c r="F406" s="110"/>
      <c r="G406" s="110"/>
      <c r="H406" s="110"/>
      <c r="I406" s="110"/>
      <c r="J406" s="110"/>
      <c r="K406" s="110"/>
      <c r="L406" s="110"/>
      <c r="M406" s="110"/>
      <c r="N406" s="110"/>
    </row>
    <row r="407" spans="1:14" ht="12" customHeight="1" x14ac:dyDescent="0.15">
      <c r="A407" s="110"/>
      <c r="B407" s="110"/>
      <c r="C407" s="110"/>
      <c r="D407" s="110"/>
      <c r="E407" s="110"/>
      <c r="F407" s="110"/>
      <c r="G407" s="110"/>
      <c r="H407" s="110"/>
      <c r="I407" s="110"/>
      <c r="J407" s="110"/>
      <c r="K407" s="110"/>
      <c r="L407" s="110"/>
      <c r="M407" s="110"/>
      <c r="N407" s="110"/>
    </row>
    <row r="408" spans="1:14" ht="12" customHeight="1" x14ac:dyDescent="0.15">
      <c r="A408" s="110"/>
      <c r="B408" s="110"/>
      <c r="C408" s="110"/>
      <c r="D408" s="110"/>
      <c r="E408" s="110"/>
      <c r="F408" s="110"/>
      <c r="G408" s="110"/>
      <c r="H408" s="110"/>
      <c r="I408" s="110"/>
      <c r="J408" s="110"/>
      <c r="K408" s="110"/>
      <c r="L408" s="110"/>
      <c r="M408" s="110"/>
      <c r="N408" s="110"/>
    </row>
    <row r="409" spans="1:14" ht="12" customHeight="1" x14ac:dyDescent="0.15">
      <c r="A409" s="110"/>
      <c r="B409" s="110"/>
      <c r="C409" s="110"/>
      <c r="D409" s="110"/>
      <c r="E409" s="110"/>
      <c r="F409" s="110"/>
      <c r="G409" s="110"/>
      <c r="H409" s="110"/>
      <c r="I409" s="110"/>
      <c r="J409" s="110"/>
      <c r="K409" s="110"/>
      <c r="L409" s="110"/>
      <c r="M409" s="110"/>
      <c r="N409" s="110"/>
    </row>
    <row r="410" spans="1:14" ht="12" customHeight="1" x14ac:dyDescent="0.15">
      <c r="A410" s="110"/>
      <c r="B410" s="110"/>
      <c r="C410" s="110"/>
      <c r="D410" s="110"/>
      <c r="E410" s="110"/>
      <c r="F410" s="110"/>
      <c r="G410" s="110"/>
      <c r="H410" s="110"/>
      <c r="I410" s="110"/>
      <c r="J410" s="110"/>
      <c r="K410" s="110"/>
      <c r="L410" s="110"/>
      <c r="M410" s="110"/>
      <c r="N410" s="110"/>
    </row>
    <row r="411" spans="1:14" ht="12" customHeight="1" x14ac:dyDescent="0.15">
      <c r="A411" s="110"/>
      <c r="B411" s="110"/>
      <c r="C411" s="110"/>
      <c r="D411" s="110"/>
      <c r="E411" s="110"/>
      <c r="F411" s="110"/>
      <c r="G411" s="110"/>
      <c r="H411" s="110"/>
      <c r="I411" s="110"/>
      <c r="J411" s="110"/>
      <c r="K411" s="110"/>
      <c r="L411" s="110"/>
      <c r="M411" s="110"/>
      <c r="N411" s="110"/>
    </row>
    <row r="412" spans="1:14" ht="12" customHeight="1" x14ac:dyDescent="0.15">
      <c r="A412" s="110"/>
      <c r="B412" s="110"/>
      <c r="C412" s="110"/>
      <c r="D412" s="110"/>
      <c r="E412" s="110"/>
      <c r="F412" s="110"/>
      <c r="G412" s="110"/>
      <c r="H412" s="110"/>
      <c r="I412" s="110"/>
      <c r="J412" s="110"/>
      <c r="K412" s="110"/>
      <c r="L412" s="110"/>
      <c r="M412" s="110"/>
      <c r="N412" s="110"/>
    </row>
    <row r="413" spans="1:14" ht="12" customHeight="1" x14ac:dyDescent="0.15">
      <c r="A413" s="110"/>
      <c r="B413" s="110"/>
      <c r="C413" s="110"/>
      <c r="D413" s="110"/>
      <c r="E413" s="110"/>
      <c r="F413" s="110"/>
      <c r="G413" s="110"/>
      <c r="H413" s="110"/>
      <c r="I413" s="110"/>
      <c r="J413" s="110"/>
      <c r="K413" s="110"/>
      <c r="L413" s="110"/>
      <c r="M413" s="110"/>
      <c r="N413" s="110"/>
    </row>
    <row r="414" spans="1:14" ht="12" customHeight="1" x14ac:dyDescent="0.15">
      <c r="A414" s="110"/>
      <c r="B414" s="110"/>
      <c r="C414" s="110"/>
      <c r="D414" s="110"/>
      <c r="E414" s="110"/>
      <c r="F414" s="110"/>
      <c r="G414" s="110"/>
      <c r="H414" s="110"/>
      <c r="I414" s="110"/>
      <c r="J414" s="110"/>
      <c r="K414" s="110"/>
      <c r="L414" s="110"/>
      <c r="M414" s="110"/>
      <c r="N414" s="110"/>
    </row>
    <row r="415" spans="1:14" ht="12" customHeight="1" x14ac:dyDescent="0.15">
      <c r="A415" s="110"/>
      <c r="B415" s="110"/>
      <c r="C415" s="110"/>
      <c r="D415" s="110"/>
      <c r="E415" s="110"/>
      <c r="F415" s="110"/>
      <c r="G415" s="110"/>
      <c r="H415" s="110"/>
      <c r="I415" s="110"/>
      <c r="J415" s="110"/>
      <c r="K415" s="110"/>
      <c r="L415" s="110"/>
      <c r="M415" s="110"/>
      <c r="N415" s="110"/>
    </row>
    <row r="416" spans="1:14" ht="12" customHeight="1" x14ac:dyDescent="0.15">
      <c r="A416" s="110"/>
      <c r="B416" s="110"/>
      <c r="C416" s="110"/>
      <c r="D416" s="110"/>
      <c r="E416" s="110"/>
      <c r="F416" s="110"/>
      <c r="G416" s="110"/>
      <c r="H416" s="110"/>
      <c r="I416" s="110"/>
      <c r="J416" s="110"/>
      <c r="K416" s="110"/>
      <c r="L416" s="110"/>
      <c r="M416" s="110"/>
      <c r="N416" s="110"/>
    </row>
    <row r="417" spans="1:14" ht="12" customHeight="1" x14ac:dyDescent="0.15">
      <c r="A417" s="110"/>
      <c r="B417" s="110"/>
      <c r="C417" s="110"/>
      <c r="D417" s="110"/>
      <c r="E417" s="110"/>
      <c r="F417" s="110"/>
      <c r="G417" s="110"/>
      <c r="H417" s="110"/>
      <c r="I417" s="110"/>
      <c r="J417" s="110"/>
      <c r="K417" s="110"/>
      <c r="L417" s="110"/>
      <c r="M417" s="110"/>
      <c r="N417" s="110"/>
    </row>
    <row r="418" spans="1:14" ht="12" customHeight="1" x14ac:dyDescent="0.15">
      <c r="A418" s="110"/>
      <c r="B418" s="110"/>
      <c r="C418" s="110"/>
      <c r="D418" s="110"/>
      <c r="E418" s="110"/>
      <c r="F418" s="110"/>
      <c r="G418" s="110"/>
      <c r="H418" s="110"/>
      <c r="I418" s="110"/>
      <c r="J418" s="110"/>
      <c r="K418" s="110"/>
      <c r="L418" s="110"/>
      <c r="M418" s="110"/>
      <c r="N418" s="110"/>
    </row>
    <row r="419" spans="1:14" ht="12" customHeight="1" x14ac:dyDescent="0.15">
      <c r="A419" s="110"/>
      <c r="B419" s="110"/>
      <c r="C419" s="110"/>
      <c r="D419" s="110"/>
      <c r="E419" s="110"/>
      <c r="F419" s="110"/>
      <c r="G419" s="110"/>
      <c r="H419" s="110"/>
      <c r="I419" s="110"/>
      <c r="J419" s="110"/>
      <c r="K419" s="110"/>
      <c r="L419" s="110"/>
      <c r="M419" s="110"/>
      <c r="N419" s="110"/>
    </row>
    <row r="420" spans="1:14" ht="12" customHeight="1" x14ac:dyDescent="0.15">
      <c r="A420" s="110"/>
      <c r="B420" s="110"/>
      <c r="C420" s="110"/>
      <c r="D420" s="110"/>
      <c r="E420" s="110"/>
      <c r="F420" s="110"/>
      <c r="G420" s="110"/>
      <c r="H420" s="110"/>
      <c r="I420" s="110"/>
      <c r="J420" s="110"/>
      <c r="K420" s="110"/>
      <c r="L420" s="110"/>
      <c r="M420" s="110"/>
      <c r="N420" s="110"/>
    </row>
    <row r="421" spans="1:14" ht="12" customHeight="1" x14ac:dyDescent="0.15">
      <c r="A421" s="110"/>
      <c r="B421" s="110"/>
      <c r="C421" s="110"/>
      <c r="D421" s="110"/>
      <c r="E421" s="110"/>
      <c r="F421" s="110"/>
      <c r="G421" s="110"/>
      <c r="H421" s="110"/>
      <c r="I421" s="110"/>
      <c r="J421" s="110"/>
      <c r="K421" s="110"/>
      <c r="L421" s="110"/>
      <c r="M421" s="110"/>
      <c r="N421" s="110"/>
    </row>
    <row r="422" spans="1:14" ht="12" customHeight="1" x14ac:dyDescent="0.15">
      <c r="A422" s="110"/>
      <c r="B422" s="110"/>
      <c r="C422" s="110"/>
      <c r="D422" s="110"/>
      <c r="E422" s="110"/>
      <c r="F422" s="110"/>
      <c r="G422" s="110"/>
      <c r="H422" s="110"/>
      <c r="I422" s="110"/>
      <c r="J422" s="110"/>
      <c r="K422" s="110"/>
      <c r="L422" s="110"/>
      <c r="M422" s="110"/>
      <c r="N422" s="110"/>
    </row>
    <row r="423" spans="1:14" ht="12" customHeight="1" x14ac:dyDescent="0.15">
      <c r="A423" s="110"/>
      <c r="B423" s="110"/>
      <c r="C423" s="110"/>
      <c r="D423" s="110"/>
      <c r="E423" s="110"/>
      <c r="F423" s="110"/>
      <c r="G423" s="110"/>
      <c r="H423" s="110"/>
      <c r="I423" s="110"/>
      <c r="J423" s="110"/>
      <c r="K423" s="110"/>
      <c r="L423" s="110"/>
      <c r="M423" s="110"/>
      <c r="N423" s="110"/>
    </row>
    <row r="424" spans="1:14" ht="12" customHeight="1" x14ac:dyDescent="0.15">
      <c r="A424" s="110"/>
      <c r="B424" s="110"/>
      <c r="C424" s="110"/>
      <c r="D424" s="110"/>
      <c r="E424" s="110"/>
      <c r="F424" s="110"/>
      <c r="G424" s="110"/>
      <c r="H424" s="110"/>
      <c r="I424" s="110"/>
      <c r="J424" s="110"/>
      <c r="K424" s="110"/>
      <c r="L424" s="110"/>
      <c r="M424" s="110"/>
      <c r="N424" s="110"/>
    </row>
    <row r="425" spans="1:14" ht="12" customHeight="1" x14ac:dyDescent="0.15">
      <c r="A425" s="110"/>
      <c r="B425" s="110"/>
      <c r="C425" s="110"/>
      <c r="D425" s="110"/>
      <c r="E425" s="110"/>
      <c r="F425" s="110"/>
      <c r="G425" s="110"/>
      <c r="H425" s="110"/>
      <c r="I425" s="110"/>
      <c r="J425" s="110"/>
      <c r="K425" s="110"/>
      <c r="L425" s="110"/>
      <c r="M425" s="110"/>
      <c r="N425" s="110"/>
    </row>
    <row r="426" spans="1:14" ht="12" customHeight="1" x14ac:dyDescent="0.15">
      <c r="A426" s="110"/>
      <c r="B426" s="110"/>
      <c r="C426" s="110"/>
      <c r="D426" s="110"/>
      <c r="E426" s="110"/>
      <c r="F426" s="110"/>
      <c r="G426" s="110"/>
      <c r="H426" s="110"/>
      <c r="I426" s="110"/>
      <c r="J426" s="110"/>
      <c r="K426" s="110"/>
      <c r="L426" s="110"/>
      <c r="M426" s="110"/>
      <c r="N426" s="110"/>
    </row>
    <row r="427" spans="1:14" ht="12" customHeight="1" x14ac:dyDescent="0.15">
      <c r="A427" s="110"/>
      <c r="B427" s="110"/>
      <c r="C427" s="110"/>
      <c r="D427" s="110"/>
      <c r="E427" s="110"/>
      <c r="F427" s="110"/>
      <c r="G427" s="110"/>
      <c r="H427" s="110"/>
      <c r="I427" s="110"/>
      <c r="J427" s="110"/>
      <c r="K427" s="110"/>
      <c r="L427" s="110"/>
      <c r="M427" s="110"/>
      <c r="N427" s="110"/>
    </row>
    <row r="428" spans="1:14" ht="12" customHeight="1" x14ac:dyDescent="0.15">
      <c r="A428" s="110"/>
      <c r="B428" s="110"/>
      <c r="C428" s="110"/>
      <c r="D428" s="110"/>
      <c r="E428" s="110"/>
      <c r="F428" s="110"/>
      <c r="G428" s="110"/>
      <c r="H428" s="110"/>
      <c r="I428" s="110"/>
      <c r="J428" s="110"/>
      <c r="K428" s="110"/>
      <c r="L428" s="110"/>
      <c r="M428" s="110"/>
      <c r="N428" s="110"/>
    </row>
    <row r="429" spans="1:14" ht="12" customHeight="1" x14ac:dyDescent="0.15">
      <c r="A429" s="110"/>
      <c r="B429" s="110"/>
      <c r="C429" s="110"/>
      <c r="D429" s="110"/>
      <c r="E429" s="110"/>
      <c r="F429" s="110"/>
      <c r="G429" s="110"/>
      <c r="H429" s="110"/>
      <c r="I429" s="110"/>
      <c r="J429" s="110"/>
      <c r="K429" s="110"/>
      <c r="L429" s="110"/>
      <c r="M429" s="110"/>
      <c r="N429" s="110"/>
    </row>
    <row r="430" spans="1:14" ht="12" customHeight="1" x14ac:dyDescent="0.15">
      <c r="A430" s="110"/>
      <c r="B430" s="110"/>
      <c r="C430" s="110"/>
      <c r="D430" s="110"/>
      <c r="E430" s="110"/>
      <c r="F430" s="110"/>
      <c r="G430" s="110"/>
      <c r="H430" s="110"/>
      <c r="I430" s="110"/>
      <c r="J430" s="110"/>
      <c r="K430" s="110"/>
      <c r="L430" s="110"/>
      <c r="M430" s="110"/>
      <c r="N430" s="110"/>
    </row>
    <row r="431" spans="1:14" ht="12" customHeight="1" x14ac:dyDescent="0.15">
      <c r="A431" s="110"/>
      <c r="B431" s="110"/>
      <c r="C431" s="110"/>
      <c r="D431" s="110"/>
      <c r="E431" s="110"/>
      <c r="F431" s="110"/>
      <c r="G431" s="110"/>
      <c r="H431" s="110"/>
      <c r="I431" s="110"/>
      <c r="J431" s="110"/>
      <c r="K431" s="110"/>
      <c r="L431" s="110"/>
      <c r="M431" s="110"/>
      <c r="N431" s="110"/>
    </row>
    <row r="432" spans="1:14" ht="12" customHeight="1" x14ac:dyDescent="0.15">
      <c r="A432" s="110"/>
      <c r="B432" s="110"/>
      <c r="C432" s="110"/>
      <c r="D432" s="110"/>
      <c r="E432" s="110"/>
      <c r="F432" s="110"/>
      <c r="G432" s="110"/>
      <c r="H432" s="110"/>
      <c r="I432" s="110"/>
      <c r="J432" s="110"/>
      <c r="K432" s="110"/>
      <c r="L432" s="110"/>
      <c r="M432" s="110"/>
      <c r="N432" s="110"/>
    </row>
    <row r="433" spans="1:14" ht="12" customHeight="1" x14ac:dyDescent="0.15">
      <c r="A433" s="110"/>
      <c r="B433" s="110"/>
      <c r="C433" s="110"/>
      <c r="D433" s="110"/>
      <c r="E433" s="110"/>
      <c r="F433" s="110"/>
      <c r="G433" s="110"/>
      <c r="H433" s="110"/>
      <c r="I433" s="110"/>
      <c r="J433" s="110"/>
      <c r="K433" s="110"/>
      <c r="L433" s="110"/>
      <c r="M433" s="110"/>
      <c r="N433" s="110"/>
    </row>
    <row r="434" spans="1:14" ht="12" customHeight="1" x14ac:dyDescent="0.15">
      <c r="A434" s="110"/>
      <c r="B434" s="110"/>
      <c r="C434" s="110"/>
      <c r="D434" s="110"/>
      <c r="E434" s="110"/>
      <c r="F434" s="110"/>
      <c r="G434" s="110"/>
      <c r="H434" s="110"/>
      <c r="I434" s="110"/>
      <c r="J434" s="110"/>
      <c r="K434" s="110"/>
      <c r="L434" s="110"/>
      <c r="M434" s="110"/>
      <c r="N434" s="110"/>
    </row>
    <row r="435" spans="1:14" ht="12" customHeight="1" x14ac:dyDescent="0.15">
      <c r="A435" s="110"/>
      <c r="B435" s="110"/>
      <c r="C435" s="110"/>
      <c r="D435" s="110"/>
      <c r="E435" s="110"/>
      <c r="F435" s="110"/>
      <c r="G435" s="110"/>
      <c r="H435" s="110"/>
      <c r="I435" s="110"/>
      <c r="J435" s="110"/>
      <c r="K435" s="110"/>
      <c r="L435" s="110"/>
      <c r="M435" s="110"/>
      <c r="N435" s="110"/>
    </row>
    <row r="436" spans="1:14" ht="12" customHeight="1" x14ac:dyDescent="0.15">
      <c r="A436" s="110"/>
      <c r="B436" s="110"/>
      <c r="C436" s="110"/>
      <c r="D436" s="110"/>
      <c r="E436" s="110"/>
      <c r="F436" s="110"/>
      <c r="G436" s="110"/>
      <c r="H436" s="110"/>
      <c r="I436" s="110"/>
      <c r="J436" s="110"/>
      <c r="K436" s="110"/>
      <c r="L436" s="110"/>
      <c r="M436" s="110"/>
      <c r="N436" s="110"/>
    </row>
    <row r="437" spans="1:14" ht="12" customHeight="1" x14ac:dyDescent="0.15">
      <c r="A437" s="110"/>
      <c r="B437" s="110"/>
      <c r="C437" s="110"/>
      <c r="D437" s="110"/>
      <c r="E437" s="110"/>
      <c r="F437" s="110"/>
      <c r="G437" s="110"/>
      <c r="H437" s="110"/>
      <c r="I437" s="110"/>
      <c r="J437" s="110"/>
      <c r="K437" s="110"/>
      <c r="L437" s="110"/>
      <c r="M437" s="110"/>
      <c r="N437" s="110"/>
    </row>
    <row r="438" spans="1:14" ht="12" customHeight="1" x14ac:dyDescent="0.15">
      <c r="A438" s="110"/>
      <c r="B438" s="110"/>
      <c r="C438" s="110"/>
      <c r="D438" s="110"/>
      <c r="E438" s="110"/>
      <c r="F438" s="110"/>
      <c r="G438" s="110"/>
      <c r="H438" s="110"/>
      <c r="I438" s="110"/>
      <c r="J438" s="110"/>
      <c r="K438" s="110"/>
      <c r="L438" s="110"/>
      <c r="M438" s="110"/>
      <c r="N438" s="110"/>
    </row>
    <row r="439" spans="1:14" ht="12" customHeight="1" x14ac:dyDescent="0.15">
      <c r="A439" s="110"/>
      <c r="B439" s="110"/>
      <c r="C439" s="110"/>
      <c r="D439" s="110"/>
      <c r="E439" s="110"/>
      <c r="F439" s="110"/>
      <c r="G439" s="110"/>
      <c r="H439" s="110"/>
      <c r="I439" s="110"/>
      <c r="J439" s="110"/>
      <c r="K439" s="110"/>
      <c r="L439" s="110"/>
      <c r="M439" s="110"/>
      <c r="N439" s="110"/>
    </row>
    <row r="440" spans="1:14" ht="12" customHeight="1" x14ac:dyDescent="0.15">
      <c r="A440" s="110"/>
      <c r="B440" s="110"/>
      <c r="C440" s="110"/>
      <c r="D440" s="110"/>
      <c r="E440" s="110"/>
      <c r="F440" s="110"/>
      <c r="G440" s="110"/>
      <c r="H440" s="110"/>
      <c r="I440" s="110"/>
      <c r="J440" s="110"/>
      <c r="K440" s="110"/>
      <c r="L440" s="110"/>
      <c r="M440" s="110"/>
      <c r="N440" s="110"/>
    </row>
    <row r="441" spans="1:14" ht="12" customHeight="1" x14ac:dyDescent="0.15">
      <c r="A441" s="110"/>
      <c r="B441" s="110"/>
      <c r="C441" s="110"/>
      <c r="D441" s="110"/>
      <c r="E441" s="110"/>
      <c r="F441" s="110"/>
      <c r="G441" s="110"/>
      <c r="H441" s="110"/>
      <c r="I441" s="110"/>
      <c r="J441" s="110"/>
      <c r="K441" s="110"/>
      <c r="L441" s="110"/>
      <c r="M441" s="110"/>
      <c r="N441" s="110"/>
    </row>
    <row r="442" spans="1:14" ht="12" customHeight="1" x14ac:dyDescent="0.15">
      <c r="A442" s="110"/>
      <c r="B442" s="110"/>
      <c r="C442" s="110"/>
      <c r="D442" s="110"/>
      <c r="E442" s="110"/>
      <c r="F442" s="110"/>
      <c r="G442" s="110"/>
      <c r="H442" s="110"/>
      <c r="I442" s="110"/>
      <c r="J442" s="110"/>
      <c r="K442" s="110"/>
      <c r="L442" s="110"/>
      <c r="M442" s="110"/>
      <c r="N442" s="110"/>
    </row>
    <row r="443" spans="1:14" ht="12" customHeight="1" x14ac:dyDescent="0.15">
      <c r="A443" s="110"/>
      <c r="B443" s="110"/>
      <c r="C443" s="110"/>
      <c r="D443" s="110"/>
      <c r="E443" s="110"/>
      <c r="F443" s="110"/>
      <c r="G443" s="110"/>
      <c r="H443" s="110"/>
      <c r="I443" s="110"/>
      <c r="J443" s="110"/>
      <c r="K443" s="110"/>
      <c r="L443" s="110"/>
      <c r="M443" s="110"/>
      <c r="N443" s="110"/>
    </row>
    <row r="444" spans="1:14" ht="12" customHeight="1" x14ac:dyDescent="0.15">
      <c r="A444" s="110"/>
      <c r="B444" s="110"/>
      <c r="C444" s="110"/>
      <c r="D444" s="110"/>
      <c r="E444" s="110"/>
      <c r="F444" s="110"/>
      <c r="G444" s="110"/>
      <c r="H444" s="110"/>
      <c r="I444" s="110"/>
      <c r="J444" s="110"/>
      <c r="K444" s="110"/>
      <c r="L444" s="110"/>
      <c r="M444" s="110"/>
      <c r="N444" s="110"/>
    </row>
    <row r="445" spans="1:14" ht="12" customHeight="1" x14ac:dyDescent="0.15">
      <c r="A445" s="110"/>
      <c r="B445" s="110"/>
      <c r="C445" s="110"/>
      <c r="D445" s="110"/>
      <c r="E445" s="110"/>
      <c r="F445" s="110"/>
      <c r="G445" s="110"/>
      <c r="H445" s="110"/>
      <c r="I445" s="110"/>
      <c r="J445" s="110"/>
      <c r="K445" s="110"/>
      <c r="L445" s="110"/>
      <c r="M445" s="110"/>
      <c r="N445" s="110"/>
    </row>
    <row r="446" spans="1:14" ht="12" customHeight="1" x14ac:dyDescent="0.15">
      <c r="A446" s="110"/>
      <c r="B446" s="110"/>
      <c r="C446" s="110"/>
      <c r="D446" s="110"/>
      <c r="E446" s="110"/>
      <c r="F446" s="110"/>
      <c r="G446" s="110"/>
      <c r="H446" s="110"/>
      <c r="I446" s="110"/>
      <c r="J446" s="110"/>
      <c r="K446" s="110"/>
      <c r="L446" s="110"/>
      <c r="M446" s="110"/>
      <c r="N446" s="110"/>
    </row>
    <row r="447" spans="1:14" ht="12" customHeight="1" x14ac:dyDescent="0.15">
      <c r="A447" s="110"/>
      <c r="B447" s="110"/>
      <c r="C447" s="110"/>
      <c r="D447" s="110"/>
      <c r="E447" s="110"/>
      <c r="F447" s="110"/>
      <c r="G447" s="110"/>
      <c r="H447" s="110"/>
      <c r="I447" s="110"/>
      <c r="J447" s="110"/>
      <c r="K447" s="110"/>
      <c r="L447" s="110"/>
      <c r="M447" s="110"/>
      <c r="N447" s="110"/>
    </row>
    <row r="448" spans="1:14" ht="12" customHeight="1" x14ac:dyDescent="0.15">
      <c r="A448" s="110"/>
      <c r="B448" s="110"/>
      <c r="C448" s="110"/>
      <c r="D448" s="110"/>
      <c r="E448" s="110"/>
      <c r="F448" s="110"/>
      <c r="G448" s="110"/>
      <c r="H448" s="110"/>
      <c r="I448" s="110"/>
      <c r="J448" s="110"/>
      <c r="K448" s="110"/>
      <c r="L448" s="110"/>
      <c r="M448" s="110"/>
      <c r="N448" s="110"/>
    </row>
    <row r="449" spans="1:14" ht="12" customHeight="1" x14ac:dyDescent="0.15">
      <c r="A449" s="110"/>
      <c r="B449" s="110"/>
      <c r="C449" s="110"/>
      <c r="D449" s="110"/>
      <c r="E449" s="110"/>
      <c r="F449" s="110"/>
      <c r="G449" s="110"/>
      <c r="H449" s="110"/>
      <c r="I449" s="110"/>
      <c r="J449" s="110"/>
      <c r="K449" s="110"/>
      <c r="L449" s="110"/>
      <c r="M449" s="110"/>
      <c r="N449" s="110"/>
    </row>
    <row r="450" spans="1:14" ht="12" customHeight="1" x14ac:dyDescent="0.15">
      <c r="A450" s="110"/>
      <c r="B450" s="110"/>
      <c r="C450" s="110"/>
      <c r="D450" s="110"/>
      <c r="E450" s="110"/>
      <c r="F450" s="110"/>
      <c r="G450" s="110"/>
      <c r="H450" s="110"/>
      <c r="I450" s="110"/>
      <c r="J450" s="110"/>
      <c r="K450" s="110"/>
      <c r="L450" s="110"/>
      <c r="M450" s="110"/>
      <c r="N450" s="110"/>
    </row>
    <row r="451" spans="1:14" ht="12" customHeight="1" x14ac:dyDescent="0.15">
      <c r="A451" s="110"/>
      <c r="B451" s="110"/>
      <c r="C451" s="110"/>
      <c r="D451" s="110"/>
      <c r="E451" s="110"/>
      <c r="F451" s="110"/>
      <c r="G451" s="110"/>
      <c r="H451" s="110"/>
      <c r="I451" s="110"/>
      <c r="J451" s="110"/>
      <c r="K451" s="110"/>
      <c r="L451" s="110"/>
      <c r="M451" s="110"/>
      <c r="N451" s="110"/>
    </row>
    <row r="452" spans="1:14" ht="12" customHeight="1" x14ac:dyDescent="0.15">
      <c r="A452" s="110"/>
      <c r="B452" s="110"/>
      <c r="C452" s="110"/>
      <c r="D452" s="110"/>
      <c r="E452" s="110"/>
      <c r="F452" s="110"/>
      <c r="G452" s="110"/>
      <c r="H452" s="110"/>
      <c r="I452" s="110"/>
      <c r="J452" s="110"/>
      <c r="K452" s="110"/>
      <c r="L452" s="110"/>
      <c r="M452" s="110"/>
      <c r="N452" s="110"/>
    </row>
    <row r="453" spans="1:14" ht="12" customHeight="1" x14ac:dyDescent="0.15">
      <c r="A453" s="110"/>
      <c r="B453" s="110"/>
      <c r="C453" s="110"/>
      <c r="D453" s="110"/>
      <c r="E453" s="110"/>
      <c r="F453" s="110"/>
      <c r="G453" s="110"/>
      <c r="H453" s="110"/>
      <c r="I453" s="110"/>
      <c r="J453" s="110"/>
      <c r="K453" s="110"/>
      <c r="L453" s="110"/>
      <c r="M453" s="110"/>
      <c r="N453" s="110"/>
    </row>
    <row r="454" spans="1:14" ht="12" customHeight="1" x14ac:dyDescent="0.15">
      <c r="A454" s="110"/>
      <c r="B454" s="110"/>
      <c r="C454" s="110"/>
      <c r="D454" s="110"/>
      <c r="E454" s="110"/>
      <c r="F454" s="110"/>
      <c r="G454" s="110"/>
      <c r="H454" s="110"/>
      <c r="I454" s="110"/>
      <c r="J454" s="110"/>
      <c r="K454" s="110"/>
      <c r="L454" s="110"/>
      <c r="M454" s="110"/>
      <c r="N454" s="110"/>
    </row>
    <row r="455" spans="1:14" ht="12" customHeight="1" x14ac:dyDescent="0.15">
      <c r="A455" s="110"/>
      <c r="B455" s="110"/>
      <c r="C455" s="110"/>
      <c r="D455" s="110"/>
      <c r="E455" s="110"/>
      <c r="F455" s="110"/>
      <c r="G455" s="110"/>
      <c r="H455" s="110"/>
      <c r="I455" s="110"/>
      <c r="J455" s="110"/>
      <c r="K455" s="110"/>
      <c r="L455" s="110"/>
      <c r="M455" s="110"/>
      <c r="N455" s="110"/>
    </row>
    <row r="456" spans="1:14" ht="12" customHeight="1" x14ac:dyDescent="0.15">
      <c r="A456" s="110"/>
      <c r="B456" s="110"/>
      <c r="C456" s="110"/>
      <c r="D456" s="110"/>
      <c r="E456" s="110"/>
      <c r="F456" s="110"/>
      <c r="G456" s="110"/>
      <c r="H456" s="110"/>
      <c r="I456" s="110"/>
      <c r="J456" s="110"/>
      <c r="K456" s="110"/>
      <c r="L456" s="110"/>
      <c r="M456" s="110"/>
      <c r="N456" s="110"/>
    </row>
    <row r="457" spans="1:14" ht="12" customHeight="1" x14ac:dyDescent="0.15">
      <c r="A457" s="110"/>
      <c r="B457" s="110"/>
      <c r="C457" s="110"/>
      <c r="D457" s="110"/>
      <c r="E457" s="110"/>
      <c r="F457" s="110"/>
      <c r="G457" s="110"/>
      <c r="H457" s="110"/>
      <c r="I457" s="110"/>
      <c r="J457" s="110"/>
      <c r="K457" s="110"/>
      <c r="L457" s="110"/>
      <c r="M457" s="110"/>
      <c r="N457" s="110"/>
    </row>
    <row r="458" spans="1:14" ht="12" customHeight="1" x14ac:dyDescent="0.15">
      <c r="A458" s="110"/>
      <c r="B458" s="110"/>
      <c r="C458" s="110"/>
      <c r="D458" s="110"/>
      <c r="E458" s="110"/>
      <c r="F458" s="110"/>
      <c r="G458" s="110"/>
      <c r="H458" s="110"/>
      <c r="I458" s="110"/>
      <c r="J458" s="110"/>
      <c r="K458" s="110"/>
      <c r="L458" s="110"/>
      <c r="M458" s="110"/>
      <c r="N458" s="110"/>
    </row>
    <row r="459" spans="1:14" ht="12" customHeight="1" x14ac:dyDescent="0.15">
      <c r="A459" s="110"/>
      <c r="B459" s="110"/>
      <c r="C459" s="110"/>
      <c r="D459" s="110"/>
      <c r="E459" s="110"/>
      <c r="F459" s="110"/>
      <c r="G459" s="110"/>
      <c r="H459" s="110"/>
      <c r="I459" s="110"/>
      <c r="J459" s="110"/>
      <c r="K459" s="110"/>
      <c r="L459" s="110"/>
      <c r="M459" s="110"/>
      <c r="N459" s="110"/>
    </row>
    <row r="460" spans="1:14" ht="12" customHeight="1" x14ac:dyDescent="0.15">
      <c r="A460" s="110"/>
      <c r="B460" s="110"/>
      <c r="C460" s="110"/>
      <c r="D460" s="110"/>
      <c r="E460" s="110"/>
      <c r="F460" s="110"/>
      <c r="G460" s="110"/>
      <c r="H460" s="110"/>
      <c r="I460" s="110"/>
      <c r="J460" s="110"/>
      <c r="K460" s="110"/>
      <c r="L460" s="110"/>
      <c r="M460" s="110"/>
      <c r="N460" s="110"/>
    </row>
    <row r="461" spans="1:14" ht="12" customHeight="1" x14ac:dyDescent="0.15">
      <c r="A461" s="110"/>
      <c r="B461" s="110"/>
      <c r="C461" s="110"/>
      <c r="D461" s="110"/>
      <c r="E461" s="110"/>
      <c r="F461" s="110"/>
      <c r="G461" s="110"/>
      <c r="H461" s="110"/>
      <c r="I461" s="110"/>
      <c r="J461" s="110"/>
      <c r="K461" s="110"/>
      <c r="L461" s="110"/>
      <c r="M461" s="110"/>
      <c r="N461" s="110"/>
    </row>
    <row r="462" spans="1:14" ht="12" customHeight="1" x14ac:dyDescent="0.15">
      <c r="A462" s="110"/>
      <c r="B462" s="110"/>
      <c r="C462" s="110"/>
      <c r="D462" s="110"/>
      <c r="E462" s="110"/>
      <c r="F462" s="110"/>
      <c r="G462" s="110"/>
      <c r="H462" s="110"/>
      <c r="I462" s="110"/>
      <c r="J462" s="110"/>
      <c r="K462" s="110"/>
      <c r="L462" s="110"/>
      <c r="M462" s="110"/>
      <c r="N462" s="110"/>
    </row>
    <row r="463" spans="1:14" ht="12" customHeight="1" x14ac:dyDescent="0.15">
      <c r="A463" s="110"/>
      <c r="B463" s="110"/>
      <c r="C463" s="110"/>
      <c r="D463" s="110"/>
      <c r="E463" s="110"/>
      <c r="F463" s="110"/>
      <c r="G463" s="110"/>
      <c r="H463" s="110"/>
      <c r="I463" s="110"/>
      <c r="J463" s="110"/>
      <c r="K463" s="110"/>
      <c r="L463" s="110"/>
      <c r="M463" s="110"/>
      <c r="N463" s="110"/>
    </row>
    <row r="464" spans="1:14" ht="12" customHeight="1" x14ac:dyDescent="0.15">
      <c r="A464" s="110"/>
      <c r="B464" s="110"/>
      <c r="C464" s="110"/>
      <c r="D464" s="110"/>
      <c r="E464" s="110"/>
      <c r="F464" s="110"/>
      <c r="G464" s="110"/>
      <c r="H464" s="110"/>
      <c r="I464" s="110"/>
      <c r="J464" s="110"/>
      <c r="K464" s="110"/>
      <c r="L464" s="110"/>
      <c r="M464" s="110"/>
      <c r="N464" s="110"/>
    </row>
    <row r="465" spans="1:14" ht="12" customHeight="1" x14ac:dyDescent="0.15">
      <c r="A465" s="110"/>
      <c r="B465" s="110"/>
      <c r="C465" s="110"/>
      <c r="D465" s="110"/>
      <c r="E465" s="110"/>
      <c r="F465" s="110"/>
      <c r="G465" s="110"/>
      <c r="H465" s="110"/>
      <c r="I465" s="110"/>
      <c r="J465" s="110"/>
      <c r="K465" s="110"/>
      <c r="L465" s="110"/>
      <c r="M465" s="110"/>
      <c r="N465" s="110"/>
    </row>
    <row r="466" spans="1:14" ht="12" customHeight="1" x14ac:dyDescent="0.15">
      <c r="A466" s="110"/>
      <c r="B466" s="110"/>
      <c r="C466" s="110"/>
      <c r="D466" s="110"/>
      <c r="E466" s="110"/>
      <c r="F466" s="110"/>
      <c r="G466" s="110"/>
      <c r="H466" s="110"/>
      <c r="I466" s="110"/>
      <c r="J466" s="110"/>
      <c r="K466" s="110"/>
      <c r="L466" s="110"/>
      <c r="M466" s="110"/>
      <c r="N466" s="110"/>
    </row>
    <row r="467" spans="1:14" ht="12" customHeight="1" x14ac:dyDescent="0.15">
      <c r="A467" s="110"/>
      <c r="B467" s="110"/>
      <c r="C467" s="110"/>
      <c r="D467" s="110"/>
      <c r="E467" s="110"/>
      <c r="F467" s="110"/>
      <c r="G467" s="110"/>
      <c r="H467" s="110"/>
      <c r="I467" s="110"/>
      <c r="J467" s="110"/>
      <c r="K467" s="110"/>
      <c r="L467" s="110"/>
      <c r="M467" s="110"/>
      <c r="N467" s="110"/>
    </row>
    <row r="468" spans="1:14" ht="12" customHeight="1" x14ac:dyDescent="0.15">
      <c r="A468" s="110"/>
      <c r="B468" s="110"/>
      <c r="C468" s="110"/>
      <c r="D468" s="110"/>
      <c r="E468" s="110"/>
      <c r="F468" s="110"/>
      <c r="G468" s="110"/>
      <c r="H468" s="110"/>
      <c r="I468" s="110"/>
      <c r="J468" s="110"/>
      <c r="K468" s="110"/>
      <c r="L468" s="110"/>
      <c r="M468" s="110"/>
      <c r="N468" s="110"/>
    </row>
    <row r="469" spans="1:14" ht="12" customHeight="1" x14ac:dyDescent="0.15">
      <c r="A469" s="110"/>
      <c r="B469" s="110"/>
      <c r="C469" s="110"/>
      <c r="D469" s="110"/>
      <c r="E469" s="110"/>
      <c r="F469" s="110"/>
      <c r="G469" s="110"/>
      <c r="H469" s="110"/>
      <c r="I469" s="110"/>
      <c r="J469" s="110"/>
      <c r="K469" s="110"/>
      <c r="L469" s="110"/>
      <c r="M469" s="110"/>
      <c r="N469" s="110"/>
    </row>
    <row r="470" spans="1:14" ht="12" customHeight="1" x14ac:dyDescent="0.15">
      <c r="A470" s="110"/>
      <c r="B470" s="110"/>
      <c r="C470" s="110"/>
      <c r="D470" s="110"/>
      <c r="E470" s="110"/>
      <c r="F470" s="110"/>
      <c r="G470" s="110"/>
      <c r="H470" s="110"/>
      <c r="I470" s="110"/>
      <c r="J470" s="110"/>
      <c r="K470" s="110"/>
      <c r="L470" s="110"/>
      <c r="M470" s="110"/>
      <c r="N470" s="110"/>
    </row>
    <row r="471" spans="1:14" ht="12" customHeight="1" x14ac:dyDescent="0.15">
      <c r="A471" s="110"/>
      <c r="B471" s="110"/>
      <c r="C471" s="110"/>
      <c r="D471" s="110"/>
      <c r="E471" s="110"/>
      <c r="F471" s="110"/>
      <c r="G471" s="110"/>
      <c r="H471" s="110"/>
      <c r="I471" s="110"/>
      <c r="J471" s="110"/>
      <c r="K471" s="110"/>
      <c r="L471" s="110"/>
      <c r="M471" s="110"/>
      <c r="N471" s="110"/>
    </row>
    <row r="472" spans="1:14" ht="12" customHeight="1" x14ac:dyDescent="0.15">
      <c r="A472" s="110"/>
      <c r="B472" s="110"/>
      <c r="C472" s="110"/>
      <c r="D472" s="110"/>
      <c r="E472" s="110"/>
      <c r="F472" s="110"/>
      <c r="G472" s="110"/>
      <c r="H472" s="110"/>
      <c r="I472" s="110"/>
      <c r="J472" s="110"/>
      <c r="K472" s="110"/>
      <c r="L472" s="110"/>
      <c r="M472" s="110"/>
      <c r="N472" s="110"/>
    </row>
    <row r="473" spans="1:14" ht="12" customHeight="1" x14ac:dyDescent="0.15">
      <c r="A473" s="110"/>
      <c r="B473" s="110"/>
      <c r="C473" s="110"/>
      <c r="D473" s="110"/>
      <c r="E473" s="110"/>
      <c r="F473" s="110"/>
      <c r="G473" s="110"/>
      <c r="H473" s="110"/>
      <c r="I473" s="110"/>
      <c r="J473" s="110"/>
      <c r="K473" s="110"/>
      <c r="L473" s="110"/>
      <c r="M473" s="110"/>
      <c r="N473" s="110"/>
    </row>
    <row r="474" spans="1:14" ht="12" customHeight="1" x14ac:dyDescent="0.15">
      <c r="A474" s="110"/>
      <c r="B474" s="110"/>
      <c r="C474" s="110"/>
      <c r="D474" s="110"/>
      <c r="E474" s="110"/>
      <c r="F474" s="110"/>
      <c r="G474" s="110"/>
      <c r="H474" s="110"/>
      <c r="I474" s="110"/>
      <c r="J474" s="110"/>
      <c r="K474" s="110"/>
      <c r="L474" s="110"/>
      <c r="M474" s="110"/>
      <c r="N474" s="110"/>
    </row>
    <row r="475" spans="1:14" ht="12" customHeight="1" x14ac:dyDescent="0.15">
      <c r="A475" s="110"/>
      <c r="B475" s="110"/>
      <c r="C475" s="110"/>
      <c r="D475" s="110"/>
      <c r="E475" s="110"/>
      <c r="F475" s="110"/>
      <c r="G475" s="110"/>
      <c r="H475" s="110"/>
      <c r="I475" s="110"/>
      <c r="J475" s="110"/>
      <c r="K475" s="110"/>
      <c r="L475" s="110"/>
      <c r="M475" s="110"/>
      <c r="N475" s="110"/>
    </row>
    <row r="476" spans="1:14" ht="12" customHeight="1" x14ac:dyDescent="0.15">
      <c r="A476" s="110"/>
      <c r="B476" s="110"/>
      <c r="C476" s="110"/>
      <c r="D476" s="110"/>
      <c r="E476" s="110"/>
      <c r="F476" s="110"/>
      <c r="G476" s="110"/>
      <c r="H476" s="110"/>
      <c r="I476" s="110"/>
      <c r="J476" s="110"/>
      <c r="K476" s="110"/>
      <c r="L476" s="110"/>
      <c r="M476" s="110"/>
      <c r="N476" s="110"/>
    </row>
    <row r="477" spans="1:14" ht="12" customHeight="1" x14ac:dyDescent="0.15">
      <c r="A477" s="110"/>
      <c r="B477" s="110"/>
      <c r="C477" s="110"/>
      <c r="D477" s="110"/>
      <c r="E477" s="110"/>
      <c r="F477" s="110"/>
      <c r="G477" s="110"/>
      <c r="H477" s="110"/>
      <c r="I477" s="110"/>
      <c r="J477" s="110"/>
      <c r="K477" s="110"/>
      <c r="L477" s="110"/>
      <c r="M477" s="110"/>
      <c r="N477" s="110"/>
    </row>
    <row r="478" spans="1:14" ht="12" customHeight="1" x14ac:dyDescent="0.15">
      <c r="A478" s="110"/>
      <c r="B478" s="110"/>
      <c r="C478" s="110"/>
      <c r="D478" s="110"/>
      <c r="E478" s="110"/>
      <c r="F478" s="110"/>
      <c r="G478" s="110"/>
      <c r="H478" s="110"/>
      <c r="I478" s="110"/>
      <c r="J478" s="110"/>
      <c r="K478" s="110"/>
      <c r="L478" s="110"/>
      <c r="M478" s="110"/>
      <c r="N478" s="110"/>
    </row>
    <row r="479" spans="1:14" ht="12" customHeight="1" x14ac:dyDescent="0.15">
      <c r="A479" s="110"/>
      <c r="B479" s="110"/>
      <c r="C479" s="110"/>
      <c r="D479" s="110"/>
      <c r="E479" s="110"/>
      <c r="F479" s="110"/>
      <c r="G479" s="110"/>
      <c r="H479" s="110"/>
      <c r="I479" s="110"/>
      <c r="J479" s="110"/>
      <c r="K479" s="110"/>
      <c r="L479" s="110"/>
      <c r="M479" s="110"/>
      <c r="N479" s="110"/>
    </row>
    <row r="480" spans="1:14" ht="12" customHeight="1" x14ac:dyDescent="0.15">
      <c r="A480" s="110"/>
      <c r="B480" s="110"/>
      <c r="C480" s="110"/>
      <c r="D480" s="110"/>
      <c r="E480" s="110"/>
      <c r="F480" s="110"/>
      <c r="G480" s="110"/>
      <c r="H480" s="110"/>
      <c r="I480" s="110"/>
      <c r="J480" s="110"/>
      <c r="K480" s="110"/>
      <c r="L480" s="110"/>
      <c r="M480" s="110"/>
      <c r="N480" s="110"/>
    </row>
    <row r="481" spans="1:14" ht="12" customHeight="1" x14ac:dyDescent="0.15">
      <c r="A481" s="110"/>
      <c r="B481" s="110"/>
      <c r="C481" s="110"/>
      <c r="D481" s="110"/>
      <c r="E481" s="110"/>
      <c r="F481" s="110"/>
      <c r="G481" s="110"/>
      <c r="H481" s="110"/>
      <c r="I481" s="110"/>
      <c r="J481" s="110"/>
      <c r="K481" s="110"/>
      <c r="L481" s="110"/>
      <c r="M481" s="110"/>
      <c r="N481" s="110"/>
    </row>
    <row r="482" spans="1:14" ht="12" customHeight="1" x14ac:dyDescent="0.15">
      <c r="A482" s="110"/>
      <c r="B482" s="110"/>
      <c r="C482" s="110"/>
      <c r="D482" s="110"/>
      <c r="E482" s="110"/>
      <c r="F482" s="110"/>
      <c r="G482" s="110"/>
      <c r="H482" s="110"/>
      <c r="I482" s="110"/>
      <c r="J482" s="110"/>
      <c r="K482" s="110"/>
      <c r="L482" s="110"/>
      <c r="M482" s="110"/>
      <c r="N482" s="110"/>
    </row>
    <row r="483" spans="1:14" ht="12" customHeight="1" x14ac:dyDescent="0.15">
      <c r="A483" s="110"/>
      <c r="B483" s="110"/>
      <c r="C483" s="110"/>
      <c r="D483" s="110"/>
      <c r="E483" s="110"/>
      <c r="F483" s="110"/>
      <c r="G483" s="110"/>
      <c r="H483" s="110"/>
      <c r="I483" s="110"/>
      <c r="J483" s="110"/>
      <c r="K483" s="110"/>
      <c r="L483" s="110"/>
      <c r="M483" s="110"/>
      <c r="N483" s="110"/>
    </row>
    <row r="484" spans="1:14" ht="12" customHeight="1" x14ac:dyDescent="0.15">
      <c r="A484" s="110"/>
      <c r="B484" s="110"/>
      <c r="C484" s="110"/>
      <c r="D484" s="110"/>
      <c r="E484" s="110"/>
      <c r="F484" s="110"/>
      <c r="G484" s="110"/>
      <c r="H484" s="110"/>
      <c r="I484" s="110"/>
      <c r="J484" s="110"/>
      <c r="K484" s="110"/>
      <c r="L484" s="110"/>
      <c r="M484" s="110"/>
      <c r="N484" s="110"/>
    </row>
    <row r="485" spans="1:14" ht="12" customHeight="1" x14ac:dyDescent="0.15">
      <c r="A485" s="110"/>
      <c r="B485" s="110"/>
      <c r="C485" s="110"/>
      <c r="D485" s="110"/>
      <c r="E485" s="110"/>
      <c r="F485" s="110"/>
      <c r="G485" s="110"/>
      <c r="H485" s="110"/>
      <c r="I485" s="110"/>
      <c r="J485" s="110"/>
      <c r="K485" s="110"/>
      <c r="L485" s="110"/>
      <c r="M485" s="110"/>
      <c r="N485" s="110"/>
    </row>
    <row r="486" spans="1:14" ht="12" customHeight="1" x14ac:dyDescent="0.15">
      <c r="A486" s="110"/>
      <c r="B486" s="110"/>
      <c r="C486" s="110"/>
      <c r="D486" s="110"/>
      <c r="E486" s="110"/>
      <c r="F486" s="110"/>
      <c r="G486" s="110"/>
      <c r="H486" s="110"/>
      <c r="I486" s="110"/>
      <c r="J486" s="110"/>
      <c r="K486" s="110"/>
      <c r="L486" s="110"/>
      <c r="M486" s="110"/>
      <c r="N486" s="110"/>
    </row>
    <row r="487" spans="1:14" ht="12" customHeight="1" x14ac:dyDescent="0.15">
      <c r="A487" s="110"/>
      <c r="B487" s="110"/>
      <c r="C487" s="110"/>
      <c r="D487" s="110"/>
      <c r="E487" s="110"/>
      <c r="F487" s="110"/>
      <c r="G487" s="110"/>
      <c r="H487" s="110"/>
      <c r="I487" s="110"/>
      <c r="J487" s="110"/>
      <c r="K487" s="110"/>
      <c r="L487" s="110"/>
      <c r="M487" s="110"/>
      <c r="N487" s="110"/>
    </row>
    <row r="488" spans="1:14" ht="12" customHeight="1" x14ac:dyDescent="0.15">
      <c r="A488" s="110"/>
      <c r="B488" s="110"/>
      <c r="C488" s="110"/>
      <c r="D488" s="110"/>
      <c r="E488" s="110"/>
      <c r="F488" s="110"/>
      <c r="G488" s="110"/>
      <c r="H488" s="110"/>
      <c r="I488" s="110"/>
      <c r="J488" s="110"/>
      <c r="K488" s="110"/>
      <c r="L488" s="110"/>
      <c r="M488" s="110"/>
      <c r="N488" s="110"/>
    </row>
    <row r="489" spans="1:14" ht="12" customHeight="1" x14ac:dyDescent="0.15">
      <c r="A489" s="110"/>
      <c r="B489" s="110"/>
      <c r="C489" s="110"/>
      <c r="D489" s="110"/>
      <c r="E489" s="110"/>
      <c r="F489" s="110"/>
      <c r="G489" s="110"/>
      <c r="H489" s="110"/>
      <c r="I489" s="110"/>
      <c r="J489" s="110"/>
      <c r="K489" s="110"/>
      <c r="L489" s="110"/>
      <c r="M489" s="110"/>
      <c r="N489" s="110"/>
    </row>
    <row r="490" spans="1:14" ht="12" customHeight="1" x14ac:dyDescent="0.15">
      <c r="A490" s="110"/>
      <c r="B490" s="110"/>
      <c r="C490" s="110"/>
      <c r="D490" s="110"/>
      <c r="E490" s="110"/>
      <c r="F490" s="110"/>
      <c r="G490" s="110"/>
      <c r="H490" s="110"/>
      <c r="I490" s="110"/>
      <c r="J490" s="110"/>
      <c r="K490" s="110"/>
      <c r="L490" s="110"/>
      <c r="M490" s="110"/>
      <c r="N490" s="110"/>
    </row>
    <row r="491" spans="1:14" ht="12" customHeight="1" x14ac:dyDescent="0.15">
      <c r="A491" s="110"/>
      <c r="B491" s="110"/>
      <c r="C491" s="110"/>
      <c r="D491" s="110"/>
      <c r="E491" s="110"/>
      <c r="F491" s="110"/>
      <c r="G491" s="110"/>
      <c r="H491" s="110"/>
      <c r="I491" s="110"/>
      <c r="J491" s="110"/>
      <c r="K491" s="110"/>
      <c r="L491" s="110"/>
      <c r="M491" s="110"/>
      <c r="N491" s="110"/>
    </row>
    <row r="492" spans="1:14" ht="12" customHeight="1" x14ac:dyDescent="0.15">
      <c r="A492" s="110"/>
      <c r="B492" s="110"/>
      <c r="C492" s="110"/>
      <c r="D492" s="110"/>
      <c r="E492" s="110"/>
      <c r="F492" s="110"/>
      <c r="G492" s="110"/>
      <c r="H492" s="110"/>
      <c r="I492" s="110"/>
      <c r="J492" s="110"/>
      <c r="K492" s="110"/>
      <c r="L492" s="110"/>
      <c r="M492" s="110"/>
      <c r="N492" s="110"/>
    </row>
    <row r="493" spans="1:14" ht="12" customHeight="1" x14ac:dyDescent="0.15">
      <c r="A493" s="110"/>
      <c r="B493" s="110"/>
      <c r="C493" s="110"/>
      <c r="D493" s="110"/>
      <c r="E493" s="110"/>
      <c r="F493" s="110"/>
      <c r="G493" s="110"/>
      <c r="H493" s="110"/>
      <c r="I493" s="110"/>
      <c r="J493" s="110"/>
      <c r="K493" s="110"/>
      <c r="L493" s="110"/>
      <c r="M493" s="110"/>
      <c r="N493" s="110"/>
    </row>
    <row r="494" spans="1:14" ht="12" customHeight="1" x14ac:dyDescent="0.15">
      <c r="A494" s="110"/>
      <c r="B494" s="110"/>
      <c r="C494" s="110"/>
      <c r="D494" s="110"/>
      <c r="E494" s="110"/>
      <c r="F494" s="110"/>
      <c r="G494" s="110"/>
      <c r="H494" s="110"/>
      <c r="I494" s="110"/>
      <c r="J494" s="110"/>
      <c r="K494" s="110"/>
      <c r="L494" s="110"/>
      <c r="M494" s="110"/>
      <c r="N494" s="110"/>
    </row>
    <row r="495" spans="1:14" ht="12" customHeight="1" x14ac:dyDescent="0.15">
      <c r="A495" s="110"/>
      <c r="B495" s="110"/>
      <c r="C495" s="110"/>
      <c r="D495" s="110"/>
      <c r="E495" s="110"/>
      <c r="F495" s="110"/>
      <c r="G495" s="110"/>
      <c r="H495" s="110"/>
      <c r="I495" s="110"/>
      <c r="J495" s="110"/>
      <c r="K495" s="110"/>
      <c r="L495" s="110"/>
      <c r="M495" s="110"/>
      <c r="N495" s="110"/>
    </row>
    <row r="496" spans="1:14" ht="12" customHeight="1" x14ac:dyDescent="0.15">
      <c r="A496" s="110"/>
      <c r="B496" s="110"/>
      <c r="C496" s="110"/>
      <c r="D496" s="110"/>
      <c r="E496" s="110"/>
      <c r="F496" s="110"/>
      <c r="G496" s="110"/>
      <c r="H496" s="110"/>
      <c r="I496" s="110"/>
      <c r="J496" s="110"/>
      <c r="K496" s="110"/>
      <c r="L496" s="110"/>
      <c r="M496" s="110"/>
      <c r="N496" s="110"/>
    </row>
    <row r="497" spans="1:14" ht="12" customHeight="1" x14ac:dyDescent="0.15">
      <c r="A497" s="110"/>
      <c r="B497" s="110"/>
      <c r="C497" s="110"/>
      <c r="D497" s="110"/>
      <c r="E497" s="110"/>
      <c r="F497" s="110"/>
      <c r="G497" s="110"/>
      <c r="H497" s="110"/>
      <c r="I497" s="110"/>
      <c r="J497" s="110"/>
      <c r="K497" s="110"/>
      <c r="L497" s="110"/>
      <c r="M497" s="110"/>
      <c r="N497" s="110"/>
    </row>
    <row r="498" spans="1:14" ht="12" customHeight="1" x14ac:dyDescent="0.15">
      <c r="A498" s="110"/>
      <c r="B498" s="110"/>
      <c r="C498" s="110"/>
      <c r="D498" s="110"/>
      <c r="E498" s="110"/>
      <c r="F498" s="110"/>
      <c r="G498" s="110"/>
      <c r="H498" s="110"/>
      <c r="I498" s="110"/>
      <c r="J498" s="110"/>
      <c r="K498" s="110"/>
      <c r="L498" s="110"/>
      <c r="M498" s="110"/>
      <c r="N498" s="110"/>
    </row>
    <row r="499" spans="1:14" ht="12" customHeight="1" x14ac:dyDescent="0.15">
      <c r="A499" s="110"/>
      <c r="B499" s="110"/>
      <c r="C499" s="110"/>
      <c r="D499" s="110"/>
      <c r="E499" s="110"/>
      <c r="F499" s="110"/>
      <c r="G499" s="110"/>
      <c r="H499" s="110"/>
      <c r="I499" s="110"/>
      <c r="J499" s="110"/>
      <c r="K499" s="110"/>
      <c r="L499" s="110"/>
      <c r="M499" s="110"/>
      <c r="N499" s="110"/>
    </row>
    <row r="500" spans="1:14" ht="12" customHeight="1" x14ac:dyDescent="0.15">
      <c r="A500" s="110"/>
      <c r="B500" s="110"/>
      <c r="C500" s="110"/>
      <c r="D500" s="110"/>
      <c r="E500" s="110"/>
      <c r="F500" s="110"/>
      <c r="G500" s="110"/>
      <c r="H500" s="110"/>
      <c r="I500" s="110"/>
      <c r="J500" s="110"/>
      <c r="K500" s="110"/>
      <c r="L500" s="110"/>
      <c r="M500" s="110"/>
      <c r="N500" s="110"/>
    </row>
    <row r="501" spans="1:14" ht="12" customHeight="1" x14ac:dyDescent="0.15">
      <c r="A501" s="110"/>
      <c r="B501" s="110"/>
      <c r="C501" s="110"/>
      <c r="D501" s="110"/>
      <c r="E501" s="110"/>
      <c r="F501" s="110"/>
      <c r="G501" s="110"/>
      <c r="H501" s="110"/>
      <c r="I501" s="110"/>
      <c r="J501" s="110"/>
      <c r="K501" s="110"/>
      <c r="L501" s="110"/>
      <c r="M501" s="110"/>
      <c r="N501" s="110"/>
    </row>
    <row r="502" spans="1:14" ht="12" customHeight="1" x14ac:dyDescent="0.15">
      <c r="A502" s="110"/>
      <c r="B502" s="110"/>
      <c r="C502" s="110"/>
      <c r="D502" s="110"/>
      <c r="E502" s="110"/>
      <c r="F502" s="110"/>
      <c r="G502" s="110"/>
      <c r="H502" s="110"/>
      <c r="I502" s="110"/>
      <c r="J502" s="110"/>
      <c r="K502" s="110"/>
      <c r="L502" s="110"/>
      <c r="M502" s="110"/>
      <c r="N502" s="110"/>
    </row>
    <row r="503" spans="1:14" ht="12" customHeight="1" x14ac:dyDescent="0.15">
      <c r="A503" s="110"/>
      <c r="B503" s="110"/>
      <c r="C503" s="110"/>
      <c r="D503" s="110"/>
      <c r="E503" s="110"/>
      <c r="F503" s="110"/>
      <c r="G503" s="110"/>
      <c r="H503" s="110"/>
      <c r="I503" s="110"/>
      <c r="J503" s="110"/>
      <c r="K503" s="110"/>
      <c r="L503" s="110"/>
      <c r="M503" s="110"/>
      <c r="N503" s="110"/>
    </row>
    <row r="504" spans="1:14" ht="12" customHeight="1" x14ac:dyDescent="0.15">
      <c r="A504" s="110"/>
      <c r="B504" s="110"/>
      <c r="C504" s="110"/>
      <c r="D504" s="110"/>
      <c r="E504" s="110"/>
      <c r="F504" s="110"/>
      <c r="G504" s="110"/>
      <c r="H504" s="110"/>
      <c r="I504" s="110"/>
      <c r="J504" s="110"/>
      <c r="K504" s="110"/>
      <c r="L504" s="110"/>
      <c r="M504" s="110"/>
      <c r="N504" s="110"/>
    </row>
    <row r="505" spans="1:14" ht="12" customHeight="1" x14ac:dyDescent="0.15">
      <c r="A505" s="110"/>
      <c r="B505" s="110"/>
      <c r="C505" s="110"/>
      <c r="D505" s="110"/>
      <c r="E505" s="110"/>
      <c r="F505" s="110"/>
      <c r="G505" s="110"/>
      <c r="H505" s="110"/>
      <c r="I505" s="110"/>
      <c r="J505" s="110"/>
      <c r="K505" s="110"/>
      <c r="L505" s="110"/>
      <c r="M505" s="110"/>
      <c r="N505" s="110"/>
    </row>
    <row r="506" spans="1:14" ht="12" customHeight="1" x14ac:dyDescent="0.15">
      <c r="A506" s="110"/>
      <c r="B506" s="110"/>
      <c r="C506" s="110"/>
      <c r="D506" s="110"/>
      <c r="E506" s="110"/>
      <c r="F506" s="110"/>
      <c r="G506" s="110"/>
      <c r="H506" s="110"/>
      <c r="I506" s="110"/>
      <c r="J506" s="110"/>
      <c r="K506" s="110"/>
      <c r="L506" s="110"/>
      <c r="M506" s="110"/>
      <c r="N506" s="110"/>
    </row>
    <row r="507" spans="1:14" ht="12" customHeight="1" x14ac:dyDescent="0.15">
      <c r="A507" s="110"/>
      <c r="B507" s="110"/>
      <c r="C507" s="110"/>
      <c r="D507" s="110"/>
      <c r="E507" s="110"/>
      <c r="F507" s="110"/>
      <c r="G507" s="110"/>
      <c r="H507" s="110"/>
      <c r="I507" s="110"/>
      <c r="J507" s="110"/>
      <c r="K507" s="110"/>
      <c r="L507" s="110"/>
      <c r="M507" s="110"/>
      <c r="N507" s="110"/>
    </row>
    <row r="508" spans="1:14" ht="12" customHeight="1" x14ac:dyDescent="0.15">
      <c r="A508" s="110"/>
      <c r="B508" s="110"/>
      <c r="C508" s="110"/>
      <c r="D508" s="110"/>
      <c r="E508" s="110"/>
      <c r="F508" s="110"/>
      <c r="G508" s="110"/>
      <c r="H508" s="110"/>
      <c r="I508" s="110"/>
      <c r="J508" s="110"/>
      <c r="K508" s="110"/>
      <c r="L508" s="110"/>
      <c r="M508" s="110"/>
      <c r="N508" s="110"/>
    </row>
    <row r="509" spans="1:14" ht="12" customHeight="1" x14ac:dyDescent="0.15">
      <c r="A509" s="110"/>
      <c r="B509" s="110"/>
      <c r="C509" s="110"/>
      <c r="D509" s="110"/>
      <c r="E509" s="110"/>
      <c r="F509" s="110"/>
      <c r="G509" s="110"/>
      <c r="H509" s="110"/>
      <c r="I509" s="110"/>
      <c r="J509" s="110"/>
      <c r="K509" s="110"/>
      <c r="L509" s="110"/>
      <c r="M509" s="110"/>
      <c r="N509" s="110"/>
    </row>
    <row r="510" spans="1:14" ht="12" customHeight="1" x14ac:dyDescent="0.15">
      <c r="A510" s="110"/>
      <c r="B510" s="110"/>
      <c r="C510" s="110"/>
      <c r="D510" s="110"/>
      <c r="E510" s="110"/>
      <c r="F510" s="110"/>
      <c r="G510" s="110"/>
      <c r="H510" s="110"/>
      <c r="I510" s="110"/>
      <c r="J510" s="110"/>
      <c r="K510" s="110"/>
      <c r="L510" s="110"/>
      <c r="M510" s="110"/>
      <c r="N510" s="110"/>
    </row>
    <row r="511" spans="1:14" ht="12" customHeight="1" x14ac:dyDescent="0.15">
      <c r="A511" s="110"/>
      <c r="B511" s="110"/>
      <c r="C511" s="110"/>
      <c r="D511" s="110"/>
      <c r="E511" s="110"/>
      <c r="F511" s="110"/>
      <c r="G511" s="110"/>
      <c r="H511" s="110"/>
      <c r="I511" s="110"/>
      <c r="J511" s="110"/>
      <c r="K511" s="110"/>
      <c r="L511" s="110"/>
      <c r="M511" s="110"/>
      <c r="N511" s="110"/>
    </row>
    <row r="512" spans="1:14" ht="12" customHeight="1" x14ac:dyDescent="0.15">
      <c r="A512" s="110"/>
      <c r="B512" s="110"/>
      <c r="C512" s="110"/>
      <c r="D512" s="110"/>
      <c r="E512" s="110"/>
      <c r="F512" s="110"/>
      <c r="G512" s="110"/>
      <c r="H512" s="110"/>
      <c r="I512" s="110"/>
      <c r="J512" s="110"/>
      <c r="K512" s="110"/>
      <c r="L512" s="110"/>
      <c r="M512" s="110"/>
      <c r="N512" s="110"/>
    </row>
    <row r="513" spans="1:14" ht="12" customHeight="1" x14ac:dyDescent="0.15">
      <c r="A513" s="110"/>
      <c r="B513" s="110"/>
      <c r="C513" s="110"/>
      <c r="D513" s="110"/>
      <c r="E513" s="110"/>
      <c r="F513" s="110"/>
      <c r="G513" s="110"/>
      <c r="H513" s="110"/>
      <c r="I513" s="110"/>
      <c r="J513" s="110"/>
      <c r="K513" s="110"/>
      <c r="L513" s="110"/>
      <c r="M513" s="110"/>
      <c r="N513" s="110"/>
    </row>
    <row r="514" spans="1:14" ht="12" customHeight="1" x14ac:dyDescent="0.15">
      <c r="A514" s="110"/>
      <c r="B514" s="110"/>
      <c r="C514" s="110"/>
      <c r="D514" s="110"/>
      <c r="E514" s="110"/>
      <c r="F514" s="110"/>
      <c r="G514" s="110"/>
      <c r="H514" s="110"/>
      <c r="I514" s="110"/>
      <c r="J514" s="110"/>
      <c r="K514" s="110"/>
      <c r="L514" s="110"/>
      <c r="M514" s="110"/>
      <c r="N514" s="110"/>
    </row>
    <row r="515" spans="1:14" ht="12" customHeight="1" x14ac:dyDescent="0.15">
      <c r="A515" s="110"/>
      <c r="B515" s="110"/>
      <c r="C515" s="110"/>
      <c r="D515" s="110"/>
      <c r="E515" s="110"/>
      <c r="F515" s="110"/>
      <c r="G515" s="110"/>
      <c r="H515" s="110"/>
      <c r="I515" s="110"/>
      <c r="J515" s="110"/>
      <c r="K515" s="110"/>
      <c r="L515" s="110"/>
      <c r="M515" s="110"/>
      <c r="N515" s="110"/>
    </row>
    <row r="516" spans="1:14" ht="12" customHeight="1" x14ac:dyDescent="0.15">
      <c r="A516" s="110"/>
      <c r="B516" s="110"/>
      <c r="C516" s="110"/>
      <c r="D516" s="110"/>
      <c r="E516" s="110"/>
      <c r="F516" s="110"/>
      <c r="G516" s="110"/>
      <c r="H516" s="110"/>
      <c r="I516" s="110"/>
      <c r="J516" s="110"/>
      <c r="K516" s="110"/>
      <c r="L516" s="110"/>
      <c r="M516" s="110"/>
      <c r="N516" s="110"/>
    </row>
    <row r="517" spans="1:14" ht="12" customHeight="1" x14ac:dyDescent="0.15">
      <c r="A517" s="110"/>
      <c r="B517" s="110"/>
      <c r="C517" s="110"/>
      <c r="D517" s="110"/>
      <c r="E517" s="110"/>
      <c r="F517" s="110"/>
      <c r="G517" s="110"/>
      <c r="H517" s="110"/>
      <c r="I517" s="110"/>
      <c r="J517" s="110"/>
      <c r="K517" s="110"/>
      <c r="L517" s="110"/>
      <c r="M517" s="110"/>
      <c r="N517" s="110"/>
    </row>
    <row r="518" spans="1:14" ht="12" customHeight="1" x14ac:dyDescent="0.15">
      <c r="A518" s="110"/>
      <c r="B518" s="110"/>
      <c r="C518" s="110"/>
      <c r="D518" s="110"/>
      <c r="E518" s="110"/>
      <c r="F518" s="110"/>
      <c r="G518" s="110"/>
      <c r="H518" s="110"/>
      <c r="I518" s="110"/>
      <c r="J518" s="110"/>
      <c r="K518" s="110"/>
      <c r="L518" s="110"/>
      <c r="M518" s="110"/>
      <c r="N518" s="110"/>
    </row>
    <row r="519" spans="1:14" ht="12" customHeight="1" x14ac:dyDescent="0.15">
      <c r="A519" s="110"/>
      <c r="B519" s="110"/>
      <c r="C519" s="110"/>
      <c r="D519" s="110"/>
      <c r="E519" s="110"/>
      <c r="F519" s="110"/>
      <c r="G519" s="110"/>
      <c r="H519" s="110"/>
      <c r="I519" s="110"/>
      <c r="J519" s="110"/>
      <c r="K519" s="110"/>
      <c r="L519" s="110"/>
      <c r="M519" s="110"/>
      <c r="N519" s="110"/>
    </row>
    <row r="520" spans="1:14" ht="12" customHeight="1" x14ac:dyDescent="0.15">
      <c r="A520" s="110"/>
      <c r="B520" s="110"/>
      <c r="C520" s="110"/>
      <c r="D520" s="110"/>
      <c r="E520" s="110"/>
      <c r="F520" s="110"/>
      <c r="G520" s="110"/>
      <c r="H520" s="110"/>
      <c r="I520" s="110"/>
      <c r="J520" s="110"/>
      <c r="K520" s="110"/>
      <c r="L520" s="110"/>
      <c r="M520" s="110"/>
      <c r="N520" s="110"/>
    </row>
    <row r="521" spans="1:14" ht="12" customHeight="1" x14ac:dyDescent="0.15">
      <c r="A521" s="110"/>
      <c r="B521" s="110"/>
      <c r="C521" s="110"/>
      <c r="D521" s="110"/>
      <c r="E521" s="110"/>
      <c r="F521" s="110"/>
      <c r="G521" s="110"/>
      <c r="H521" s="110"/>
      <c r="I521" s="110"/>
      <c r="J521" s="110"/>
      <c r="K521" s="110"/>
      <c r="L521" s="110"/>
      <c r="M521" s="110"/>
      <c r="N521" s="110"/>
    </row>
    <row r="522" spans="1:14" ht="12" customHeight="1" x14ac:dyDescent="0.15">
      <c r="A522" s="110"/>
      <c r="B522" s="110"/>
      <c r="C522" s="110"/>
      <c r="D522" s="110"/>
      <c r="E522" s="110"/>
      <c r="F522" s="110"/>
      <c r="G522" s="110"/>
      <c r="H522" s="110"/>
      <c r="I522" s="110"/>
      <c r="J522" s="110"/>
      <c r="K522" s="110"/>
      <c r="L522" s="110"/>
      <c r="M522" s="110"/>
      <c r="N522" s="110"/>
    </row>
    <row r="523" spans="1:14" ht="12" customHeight="1" x14ac:dyDescent="0.15">
      <c r="A523" s="110"/>
      <c r="B523" s="110"/>
      <c r="C523" s="110"/>
      <c r="D523" s="110"/>
      <c r="E523" s="110"/>
      <c r="F523" s="110"/>
      <c r="G523" s="110"/>
      <c r="H523" s="110"/>
      <c r="I523" s="110"/>
      <c r="J523" s="110"/>
      <c r="K523" s="110"/>
      <c r="L523" s="110"/>
      <c r="M523" s="110"/>
      <c r="N523" s="110"/>
    </row>
    <row r="524" spans="1:14" ht="12" customHeight="1" x14ac:dyDescent="0.15">
      <c r="A524" s="110"/>
      <c r="B524" s="110"/>
      <c r="C524" s="110"/>
      <c r="D524" s="110"/>
      <c r="E524" s="110"/>
      <c r="F524" s="110"/>
      <c r="G524" s="110"/>
      <c r="H524" s="110"/>
      <c r="I524" s="110"/>
      <c r="J524" s="110"/>
      <c r="K524" s="110"/>
      <c r="L524" s="110"/>
      <c r="M524" s="110"/>
      <c r="N524" s="110"/>
    </row>
    <row r="525" spans="1:14" ht="12" customHeight="1" x14ac:dyDescent="0.15">
      <c r="A525" s="110"/>
      <c r="B525" s="110"/>
      <c r="C525" s="110"/>
      <c r="D525" s="110"/>
      <c r="E525" s="110"/>
      <c r="F525" s="110"/>
      <c r="G525" s="110"/>
      <c r="H525" s="110"/>
      <c r="I525" s="110"/>
      <c r="J525" s="110"/>
      <c r="K525" s="110"/>
      <c r="L525" s="110"/>
      <c r="M525" s="110"/>
      <c r="N525" s="110"/>
    </row>
    <row r="526" spans="1:14" ht="12" customHeight="1" x14ac:dyDescent="0.15">
      <c r="A526" s="110"/>
      <c r="B526" s="110"/>
      <c r="C526" s="110"/>
      <c r="D526" s="110"/>
      <c r="E526" s="110"/>
      <c r="F526" s="110"/>
      <c r="G526" s="110"/>
      <c r="H526" s="110"/>
      <c r="I526" s="110"/>
      <c r="J526" s="110"/>
      <c r="K526" s="110"/>
      <c r="L526" s="110"/>
      <c r="M526" s="110"/>
      <c r="N526" s="110"/>
    </row>
    <row r="527" spans="1:14" ht="12" customHeight="1" x14ac:dyDescent="0.15">
      <c r="A527" s="110"/>
      <c r="B527" s="110"/>
      <c r="C527" s="110"/>
      <c r="D527" s="110"/>
      <c r="E527" s="110"/>
      <c r="F527" s="110"/>
      <c r="G527" s="110"/>
      <c r="H527" s="110"/>
      <c r="I527" s="110"/>
      <c r="J527" s="110"/>
      <c r="K527" s="110"/>
      <c r="L527" s="110"/>
      <c r="M527" s="110"/>
      <c r="N527" s="110"/>
    </row>
    <row r="528" spans="1:14" ht="12" customHeight="1" x14ac:dyDescent="0.15">
      <c r="A528" s="110"/>
      <c r="B528" s="110"/>
      <c r="C528" s="110"/>
      <c r="D528" s="110"/>
      <c r="E528" s="110"/>
      <c r="F528" s="110"/>
      <c r="G528" s="110"/>
      <c r="H528" s="110"/>
      <c r="I528" s="110"/>
      <c r="J528" s="110"/>
      <c r="K528" s="110"/>
      <c r="L528" s="110"/>
      <c r="M528" s="110"/>
      <c r="N528" s="110"/>
    </row>
    <row r="529" spans="1:14" ht="12" customHeight="1" x14ac:dyDescent="0.15">
      <c r="A529" s="110"/>
      <c r="B529" s="110"/>
      <c r="C529" s="110"/>
      <c r="D529" s="110"/>
      <c r="E529" s="110"/>
      <c r="F529" s="110"/>
      <c r="G529" s="110"/>
      <c r="H529" s="110"/>
      <c r="I529" s="110"/>
      <c r="J529" s="110"/>
      <c r="K529" s="110"/>
      <c r="L529" s="110"/>
      <c r="M529" s="110"/>
      <c r="N529" s="110"/>
    </row>
    <row r="530" spans="1:14" ht="12" customHeight="1" x14ac:dyDescent="0.15">
      <c r="A530" s="110"/>
      <c r="B530" s="110"/>
      <c r="C530" s="110"/>
      <c r="D530" s="110"/>
      <c r="E530" s="110"/>
      <c r="F530" s="110"/>
      <c r="G530" s="110"/>
      <c r="H530" s="110"/>
      <c r="I530" s="110"/>
      <c r="J530" s="110"/>
      <c r="K530" s="110"/>
      <c r="L530" s="110"/>
      <c r="M530" s="110"/>
      <c r="N530" s="110"/>
    </row>
    <row r="531" spans="1:14" ht="12" customHeight="1" x14ac:dyDescent="0.15">
      <c r="A531" s="110"/>
      <c r="B531" s="110"/>
      <c r="C531" s="110"/>
      <c r="D531" s="110"/>
      <c r="E531" s="110"/>
      <c r="F531" s="110"/>
      <c r="G531" s="110"/>
      <c r="H531" s="110"/>
      <c r="I531" s="110"/>
      <c r="J531" s="110"/>
      <c r="K531" s="110"/>
      <c r="L531" s="110"/>
      <c r="M531" s="110"/>
      <c r="N531" s="110"/>
    </row>
    <row r="532" spans="1:14" ht="12" customHeight="1" x14ac:dyDescent="0.15">
      <c r="A532" s="110"/>
      <c r="B532" s="110"/>
      <c r="C532" s="110"/>
      <c r="D532" s="110"/>
      <c r="E532" s="110"/>
      <c r="F532" s="110"/>
      <c r="G532" s="110"/>
      <c r="H532" s="110"/>
      <c r="I532" s="110"/>
      <c r="J532" s="110"/>
      <c r="K532" s="110"/>
      <c r="L532" s="110"/>
      <c r="M532" s="110"/>
      <c r="N532" s="110"/>
    </row>
    <row r="533" spans="1:14" ht="12" customHeight="1" x14ac:dyDescent="0.15">
      <c r="A533" s="110"/>
      <c r="B533" s="110"/>
      <c r="C533" s="110"/>
      <c r="D533" s="110"/>
      <c r="E533" s="110"/>
      <c r="F533" s="110"/>
      <c r="G533" s="110"/>
      <c r="H533" s="110"/>
      <c r="I533" s="110"/>
      <c r="J533" s="110"/>
      <c r="K533" s="110"/>
      <c r="L533" s="110"/>
      <c r="M533" s="110"/>
      <c r="N533" s="110"/>
    </row>
    <row r="534" spans="1:14" ht="12" customHeight="1" x14ac:dyDescent="0.15">
      <c r="A534" s="110"/>
      <c r="B534" s="110"/>
      <c r="C534" s="110"/>
      <c r="D534" s="110"/>
      <c r="E534" s="110"/>
      <c r="F534" s="110"/>
      <c r="G534" s="110"/>
      <c r="H534" s="110"/>
      <c r="I534" s="110"/>
      <c r="J534" s="110"/>
      <c r="K534" s="110"/>
      <c r="L534" s="110"/>
      <c r="M534" s="110"/>
      <c r="N534" s="110"/>
    </row>
    <row r="535" spans="1:14" ht="12" customHeight="1" x14ac:dyDescent="0.15">
      <c r="A535" s="110"/>
      <c r="B535" s="110"/>
      <c r="C535" s="110"/>
      <c r="D535" s="110"/>
      <c r="E535" s="110"/>
      <c r="F535" s="110"/>
      <c r="G535" s="110"/>
      <c r="H535" s="110"/>
      <c r="I535" s="110"/>
      <c r="J535" s="110"/>
      <c r="K535" s="110"/>
      <c r="L535" s="110"/>
      <c r="M535" s="110"/>
      <c r="N535" s="110"/>
    </row>
    <row r="536" spans="1:14" ht="12" customHeight="1" x14ac:dyDescent="0.15">
      <c r="A536" s="110"/>
      <c r="B536" s="110"/>
      <c r="C536" s="110"/>
      <c r="D536" s="110"/>
      <c r="E536" s="110"/>
      <c r="F536" s="110"/>
      <c r="G536" s="110"/>
      <c r="H536" s="110"/>
      <c r="I536" s="110"/>
      <c r="J536" s="110"/>
      <c r="K536" s="110"/>
      <c r="L536" s="110"/>
      <c r="M536" s="110"/>
      <c r="N536" s="110"/>
    </row>
    <row r="537" spans="1:14" ht="12" customHeight="1" x14ac:dyDescent="0.15">
      <c r="A537" s="110"/>
      <c r="B537" s="110"/>
      <c r="C537" s="110"/>
      <c r="D537" s="110"/>
      <c r="E537" s="110"/>
      <c r="F537" s="110"/>
      <c r="G537" s="110"/>
      <c r="H537" s="110"/>
      <c r="I537" s="110"/>
      <c r="J537" s="110"/>
      <c r="K537" s="110"/>
      <c r="L537" s="110"/>
      <c r="M537" s="110"/>
      <c r="N537" s="110"/>
    </row>
    <row r="538" spans="1:14" ht="12" customHeight="1" x14ac:dyDescent="0.15">
      <c r="A538" s="110"/>
      <c r="B538" s="110"/>
      <c r="C538" s="110"/>
      <c r="D538" s="110"/>
      <c r="E538" s="110"/>
      <c r="F538" s="110"/>
      <c r="G538" s="110"/>
      <c r="H538" s="110"/>
      <c r="I538" s="110"/>
      <c r="J538" s="110"/>
      <c r="K538" s="110"/>
      <c r="L538" s="110"/>
      <c r="M538" s="110"/>
      <c r="N538" s="110"/>
    </row>
    <row r="539" spans="1:14" ht="12" customHeight="1" x14ac:dyDescent="0.15">
      <c r="A539" s="110"/>
      <c r="B539" s="110"/>
      <c r="C539" s="110"/>
      <c r="D539" s="110"/>
      <c r="E539" s="110"/>
      <c r="F539" s="110"/>
      <c r="G539" s="110"/>
      <c r="H539" s="110"/>
      <c r="I539" s="110"/>
      <c r="J539" s="110"/>
      <c r="K539" s="110"/>
      <c r="L539" s="110"/>
      <c r="M539" s="110"/>
      <c r="N539" s="110"/>
    </row>
    <row r="540" spans="1:14" ht="12" customHeight="1" x14ac:dyDescent="0.15">
      <c r="A540" s="110"/>
      <c r="B540" s="110"/>
      <c r="C540" s="110"/>
      <c r="D540" s="110"/>
      <c r="E540" s="110"/>
      <c r="F540" s="110"/>
      <c r="G540" s="110"/>
      <c r="H540" s="110"/>
      <c r="I540" s="110"/>
      <c r="J540" s="110"/>
      <c r="K540" s="110"/>
      <c r="L540" s="110"/>
      <c r="M540" s="110"/>
      <c r="N540" s="110"/>
    </row>
    <row r="541" spans="1:14" ht="12" customHeight="1" x14ac:dyDescent="0.15">
      <c r="A541" s="110"/>
      <c r="B541" s="110"/>
      <c r="C541" s="110"/>
      <c r="D541" s="110"/>
      <c r="E541" s="110"/>
      <c r="F541" s="110"/>
      <c r="G541" s="110"/>
      <c r="H541" s="110"/>
      <c r="I541" s="110"/>
      <c r="J541" s="110"/>
      <c r="K541" s="110"/>
      <c r="L541" s="110"/>
      <c r="M541" s="110"/>
      <c r="N541" s="110"/>
    </row>
    <row r="542" spans="1:14" ht="12" customHeight="1" x14ac:dyDescent="0.15">
      <c r="A542" s="110"/>
      <c r="B542" s="110"/>
      <c r="C542" s="110"/>
      <c r="D542" s="110"/>
      <c r="E542" s="110"/>
      <c r="F542" s="110"/>
      <c r="G542" s="110"/>
      <c r="H542" s="110"/>
      <c r="I542" s="110"/>
      <c r="J542" s="110"/>
      <c r="K542" s="110"/>
      <c r="L542" s="110"/>
      <c r="M542" s="110"/>
      <c r="N542" s="110"/>
    </row>
    <row r="543" spans="1:14" ht="12" customHeight="1" x14ac:dyDescent="0.15">
      <c r="A543" s="110"/>
      <c r="B543" s="110"/>
      <c r="C543" s="110"/>
      <c r="D543" s="110"/>
      <c r="E543" s="110"/>
      <c r="F543" s="110"/>
      <c r="G543" s="110"/>
      <c r="H543" s="110"/>
      <c r="I543" s="110"/>
      <c r="J543" s="110"/>
      <c r="K543" s="110"/>
      <c r="L543" s="110"/>
      <c r="M543" s="110"/>
      <c r="N543" s="110"/>
    </row>
    <row r="544" spans="1:14" ht="12" customHeight="1" x14ac:dyDescent="0.15">
      <c r="A544" s="110"/>
      <c r="B544" s="110"/>
      <c r="C544" s="110"/>
      <c r="D544" s="110"/>
      <c r="E544" s="110"/>
      <c r="F544" s="110"/>
      <c r="G544" s="110"/>
      <c r="H544" s="110"/>
      <c r="I544" s="110"/>
      <c r="J544" s="110"/>
      <c r="K544" s="110"/>
      <c r="L544" s="110"/>
      <c r="M544" s="110"/>
      <c r="N544" s="110"/>
    </row>
    <row r="545" spans="1:14" ht="12" customHeight="1" x14ac:dyDescent="0.15">
      <c r="A545" s="110"/>
      <c r="B545" s="110"/>
      <c r="C545" s="110"/>
      <c r="D545" s="110"/>
      <c r="E545" s="110"/>
      <c r="F545" s="110"/>
      <c r="G545" s="110"/>
      <c r="H545" s="110"/>
      <c r="I545" s="110"/>
      <c r="J545" s="110"/>
      <c r="K545" s="110"/>
      <c r="L545" s="110"/>
      <c r="M545" s="110"/>
      <c r="N545" s="110"/>
    </row>
    <row r="546" spans="1:14" ht="12" customHeight="1" x14ac:dyDescent="0.15">
      <c r="A546" s="110"/>
      <c r="B546" s="110"/>
      <c r="C546" s="110"/>
      <c r="D546" s="110"/>
      <c r="E546" s="110"/>
      <c r="F546" s="110"/>
      <c r="G546" s="110"/>
      <c r="H546" s="110"/>
      <c r="I546" s="110"/>
      <c r="J546" s="110"/>
      <c r="K546" s="110"/>
      <c r="L546" s="110"/>
      <c r="M546" s="110"/>
      <c r="N546" s="110"/>
    </row>
    <row r="547" spans="1:14" ht="12" customHeight="1" x14ac:dyDescent="0.15">
      <c r="A547" s="110"/>
      <c r="B547" s="110"/>
      <c r="C547" s="110"/>
      <c r="D547" s="110"/>
      <c r="E547" s="110"/>
      <c r="F547" s="110"/>
      <c r="G547" s="110"/>
      <c r="H547" s="110"/>
      <c r="I547" s="110"/>
      <c r="J547" s="110"/>
      <c r="K547" s="110"/>
      <c r="L547" s="110"/>
      <c r="M547" s="110"/>
      <c r="N547" s="110"/>
    </row>
    <row r="548" spans="1:14" ht="12" customHeight="1" x14ac:dyDescent="0.15">
      <c r="A548" s="110"/>
      <c r="B548" s="110"/>
      <c r="C548" s="110"/>
      <c r="D548" s="110"/>
      <c r="E548" s="110"/>
      <c r="F548" s="110"/>
      <c r="G548" s="110"/>
      <c r="H548" s="110"/>
      <c r="I548" s="110"/>
      <c r="J548" s="110"/>
      <c r="K548" s="110"/>
      <c r="L548" s="110"/>
      <c r="M548" s="110"/>
      <c r="N548" s="110"/>
    </row>
    <row r="549" spans="1:14" ht="12" customHeight="1" x14ac:dyDescent="0.15">
      <c r="A549" s="110"/>
      <c r="B549" s="110"/>
      <c r="C549" s="110"/>
      <c r="D549" s="110"/>
      <c r="E549" s="110"/>
      <c r="F549" s="110"/>
      <c r="G549" s="110"/>
      <c r="H549" s="110"/>
      <c r="I549" s="110"/>
      <c r="J549" s="110"/>
      <c r="K549" s="110"/>
      <c r="L549" s="110"/>
      <c r="M549" s="110"/>
      <c r="N549" s="110"/>
    </row>
    <row r="550" spans="1:14" ht="12" customHeight="1" x14ac:dyDescent="0.15">
      <c r="A550" s="110"/>
      <c r="B550" s="110"/>
      <c r="C550" s="110"/>
      <c r="D550" s="110"/>
      <c r="E550" s="110"/>
      <c r="F550" s="110"/>
      <c r="G550" s="110"/>
      <c r="H550" s="110"/>
      <c r="I550" s="110"/>
      <c r="J550" s="110"/>
      <c r="K550" s="110"/>
      <c r="L550" s="110"/>
      <c r="M550" s="110"/>
      <c r="N550" s="110"/>
    </row>
    <row r="551" spans="1:14" ht="12" customHeight="1" x14ac:dyDescent="0.15">
      <c r="A551" s="110"/>
      <c r="B551" s="110"/>
      <c r="C551" s="110"/>
      <c r="D551" s="110"/>
      <c r="E551" s="110"/>
      <c r="F551" s="110"/>
      <c r="G551" s="110"/>
      <c r="H551" s="110"/>
      <c r="I551" s="110"/>
      <c r="J551" s="110"/>
      <c r="K551" s="110"/>
      <c r="L551" s="110"/>
      <c r="M551" s="110"/>
      <c r="N551" s="110"/>
    </row>
    <row r="552" spans="1:14" ht="12" customHeight="1" x14ac:dyDescent="0.15">
      <c r="A552" s="110"/>
      <c r="B552" s="110"/>
      <c r="C552" s="110"/>
      <c r="D552" s="110"/>
      <c r="E552" s="110"/>
      <c r="F552" s="110"/>
      <c r="G552" s="110"/>
      <c r="H552" s="110"/>
      <c r="I552" s="110"/>
      <c r="J552" s="110"/>
      <c r="K552" s="110"/>
      <c r="L552" s="110"/>
      <c r="M552" s="110"/>
      <c r="N552" s="110"/>
    </row>
    <row r="553" spans="1:14" ht="12" customHeight="1" x14ac:dyDescent="0.15">
      <c r="A553" s="110"/>
      <c r="B553" s="110"/>
      <c r="C553" s="110"/>
      <c r="D553" s="110"/>
      <c r="E553" s="110"/>
      <c r="F553" s="110"/>
      <c r="G553" s="110"/>
      <c r="H553" s="110"/>
      <c r="I553" s="110"/>
      <c r="J553" s="110"/>
      <c r="K553" s="110"/>
      <c r="L553" s="110"/>
      <c r="M553" s="110"/>
      <c r="N553" s="110"/>
    </row>
    <row r="554" spans="1:14" ht="12" customHeight="1" x14ac:dyDescent="0.15">
      <c r="A554" s="110"/>
      <c r="B554" s="110"/>
      <c r="C554" s="110"/>
      <c r="D554" s="110"/>
      <c r="E554" s="110"/>
      <c r="F554" s="110"/>
      <c r="G554" s="110"/>
      <c r="H554" s="110"/>
      <c r="I554" s="110"/>
      <c r="J554" s="110"/>
      <c r="K554" s="110"/>
      <c r="L554" s="110"/>
      <c r="M554" s="110"/>
      <c r="N554" s="110"/>
    </row>
    <row r="555" spans="1:14" ht="12" customHeight="1" x14ac:dyDescent="0.15">
      <c r="A555" s="110"/>
      <c r="B555" s="110"/>
      <c r="C555" s="110"/>
      <c r="D555" s="110"/>
      <c r="E555" s="110"/>
      <c r="F555" s="110"/>
      <c r="G555" s="110"/>
      <c r="H555" s="110"/>
      <c r="I555" s="110"/>
      <c r="J555" s="110"/>
      <c r="K555" s="110"/>
      <c r="L555" s="110"/>
      <c r="M555" s="110"/>
      <c r="N555" s="110"/>
    </row>
    <row r="556" spans="1:14" ht="12" customHeight="1" x14ac:dyDescent="0.15">
      <c r="A556" s="110"/>
      <c r="B556" s="110"/>
      <c r="C556" s="110"/>
      <c r="D556" s="110"/>
      <c r="E556" s="110"/>
      <c r="F556" s="110"/>
      <c r="G556" s="110"/>
      <c r="H556" s="110"/>
      <c r="I556" s="110"/>
      <c r="J556" s="110"/>
      <c r="K556" s="110"/>
      <c r="L556" s="110"/>
      <c r="M556" s="110"/>
      <c r="N556" s="110"/>
    </row>
    <row r="557" spans="1:14" ht="12" customHeight="1" x14ac:dyDescent="0.15">
      <c r="A557" s="110"/>
      <c r="B557" s="110"/>
      <c r="C557" s="110"/>
      <c r="D557" s="110"/>
      <c r="E557" s="110"/>
      <c r="F557" s="110"/>
      <c r="G557" s="110"/>
      <c r="H557" s="110"/>
      <c r="I557" s="110"/>
      <c r="J557" s="110"/>
      <c r="K557" s="110"/>
      <c r="L557" s="110"/>
      <c r="M557" s="110"/>
      <c r="N557" s="110"/>
    </row>
    <row r="558" spans="1:14" ht="12" customHeight="1" x14ac:dyDescent="0.15">
      <c r="A558" s="110"/>
      <c r="B558" s="110"/>
      <c r="C558" s="110"/>
      <c r="D558" s="110"/>
      <c r="E558" s="110"/>
      <c r="F558" s="110"/>
      <c r="G558" s="110"/>
      <c r="H558" s="110"/>
      <c r="I558" s="110"/>
      <c r="J558" s="110"/>
      <c r="K558" s="110"/>
      <c r="L558" s="110"/>
      <c r="M558" s="110"/>
      <c r="N558" s="110"/>
    </row>
    <row r="559" spans="1:14" ht="12" customHeight="1" x14ac:dyDescent="0.15">
      <c r="A559" s="110"/>
      <c r="B559" s="110"/>
      <c r="C559" s="110"/>
      <c r="D559" s="110"/>
      <c r="E559" s="110"/>
      <c r="F559" s="110"/>
      <c r="G559" s="110"/>
      <c r="H559" s="110"/>
      <c r="I559" s="110"/>
      <c r="J559" s="110"/>
      <c r="K559" s="110"/>
      <c r="L559" s="110"/>
      <c r="M559" s="110"/>
      <c r="N559" s="110"/>
    </row>
    <row r="560" spans="1:14" ht="12" customHeight="1" x14ac:dyDescent="0.15">
      <c r="A560" s="110"/>
      <c r="B560" s="110"/>
      <c r="C560" s="110"/>
      <c r="D560" s="110"/>
      <c r="E560" s="110"/>
      <c r="F560" s="110"/>
      <c r="G560" s="110"/>
      <c r="H560" s="110"/>
      <c r="I560" s="110"/>
      <c r="J560" s="110"/>
      <c r="K560" s="110"/>
      <c r="L560" s="110"/>
      <c r="M560" s="110"/>
      <c r="N560" s="110"/>
    </row>
    <row r="561" spans="1:14" ht="12" customHeight="1" x14ac:dyDescent="0.15">
      <c r="A561" s="110"/>
      <c r="B561" s="110"/>
      <c r="C561" s="110"/>
      <c r="D561" s="110"/>
      <c r="E561" s="110"/>
      <c r="F561" s="110"/>
      <c r="G561" s="110"/>
      <c r="H561" s="110"/>
      <c r="I561" s="110"/>
      <c r="J561" s="110"/>
      <c r="K561" s="110"/>
      <c r="L561" s="110"/>
      <c r="M561" s="110"/>
      <c r="N561" s="110"/>
    </row>
    <row r="562" spans="1:14" ht="12" customHeight="1" x14ac:dyDescent="0.15">
      <c r="A562" s="110"/>
      <c r="B562" s="110"/>
      <c r="C562" s="110"/>
      <c r="D562" s="110"/>
      <c r="E562" s="110"/>
      <c r="F562" s="110"/>
      <c r="G562" s="110"/>
      <c r="H562" s="110"/>
      <c r="I562" s="110"/>
      <c r="J562" s="110"/>
      <c r="K562" s="110"/>
      <c r="L562" s="110"/>
      <c r="M562" s="110"/>
      <c r="N562" s="110"/>
    </row>
    <row r="563" spans="1:14" ht="12" customHeight="1" x14ac:dyDescent="0.15">
      <c r="A563" s="110"/>
      <c r="B563" s="110"/>
      <c r="C563" s="110"/>
      <c r="D563" s="110"/>
      <c r="E563" s="110"/>
      <c r="F563" s="110"/>
      <c r="G563" s="110"/>
      <c r="H563" s="110"/>
      <c r="I563" s="110"/>
      <c r="J563" s="110"/>
      <c r="K563" s="110"/>
      <c r="L563" s="110"/>
      <c r="M563" s="110"/>
      <c r="N563" s="110"/>
    </row>
    <row r="564" spans="1:14" ht="12" customHeight="1" x14ac:dyDescent="0.15">
      <c r="A564" s="110"/>
      <c r="B564" s="110"/>
      <c r="C564" s="110"/>
      <c r="D564" s="110"/>
      <c r="E564" s="110"/>
      <c r="F564" s="110"/>
      <c r="G564" s="110"/>
      <c r="H564" s="110"/>
      <c r="I564" s="110"/>
      <c r="J564" s="110"/>
      <c r="K564" s="110"/>
      <c r="L564" s="110"/>
      <c r="M564" s="110"/>
      <c r="N564" s="110"/>
    </row>
    <row r="565" spans="1:14" ht="12" customHeight="1" x14ac:dyDescent="0.15">
      <c r="A565" s="110"/>
      <c r="B565" s="110"/>
      <c r="C565" s="110"/>
      <c r="D565" s="110"/>
      <c r="E565" s="110"/>
      <c r="F565" s="110"/>
      <c r="G565" s="110"/>
      <c r="H565" s="110"/>
      <c r="I565" s="110"/>
      <c r="J565" s="110"/>
      <c r="K565" s="110"/>
      <c r="L565" s="110"/>
      <c r="M565" s="110"/>
      <c r="N565" s="110"/>
    </row>
    <row r="566" spans="1:14" ht="12" customHeight="1" x14ac:dyDescent="0.15">
      <c r="A566" s="110"/>
      <c r="B566" s="110"/>
      <c r="C566" s="110"/>
      <c r="D566" s="110"/>
      <c r="E566" s="110"/>
      <c r="F566" s="110"/>
      <c r="G566" s="110"/>
      <c r="H566" s="110"/>
      <c r="I566" s="110"/>
      <c r="J566" s="110"/>
      <c r="K566" s="110"/>
      <c r="L566" s="110"/>
      <c r="M566" s="110"/>
      <c r="N566" s="110"/>
    </row>
    <row r="567" spans="1:14" ht="12" customHeight="1" x14ac:dyDescent="0.15">
      <c r="A567" s="110"/>
      <c r="B567" s="110"/>
      <c r="C567" s="110"/>
      <c r="D567" s="110"/>
      <c r="E567" s="110"/>
      <c r="F567" s="110"/>
      <c r="G567" s="110"/>
      <c r="H567" s="110"/>
      <c r="I567" s="110"/>
      <c r="J567" s="110"/>
      <c r="K567" s="110"/>
      <c r="L567" s="110"/>
      <c r="M567" s="110"/>
      <c r="N567" s="110"/>
    </row>
    <row r="568" spans="1:14" ht="12" customHeight="1" x14ac:dyDescent="0.15">
      <c r="A568" s="110"/>
      <c r="B568" s="110"/>
      <c r="C568" s="110"/>
      <c r="D568" s="110"/>
      <c r="E568" s="110"/>
      <c r="F568" s="110"/>
      <c r="G568" s="110"/>
      <c r="H568" s="110"/>
      <c r="I568" s="110"/>
      <c r="J568" s="110"/>
      <c r="K568" s="110"/>
      <c r="L568" s="110"/>
      <c r="M568" s="110"/>
      <c r="N568" s="110"/>
    </row>
    <row r="569" spans="1:14" ht="12" customHeight="1" x14ac:dyDescent="0.15">
      <c r="A569" s="110"/>
      <c r="B569" s="110"/>
      <c r="C569" s="110"/>
      <c r="D569" s="110"/>
      <c r="E569" s="110"/>
      <c r="F569" s="110"/>
      <c r="G569" s="110"/>
      <c r="H569" s="110"/>
      <c r="I569" s="110"/>
      <c r="J569" s="110"/>
      <c r="K569" s="110"/>
      <c r="L569" s="110"/>
      <c r="M569" s="110"/>
      <c r="N569" s="110"/>
    </row>
    <row r="570" spans="1:14" ht="12" customHeight="1" x14ac:dyDescent="0.15">
      <c r="A570" s="110"/>
      <c r="B570" s="110"/>
      <c r="C570" s="110"/>
      <c r="D570" s="110"/>
      <c r="E570" s="110"/>
      <c r="F570" s="110"/>
      <c r="G570" s="110"/>
      <c r="H570" s="110"/>
      <c r="I570" s="110"/>
      <c r="J570" s="110"/>
      <c r="K570" s="110"/>
      <c r="L570" s="110"/>
      <c r="M570" s="110"/>
      <c r="N570" s="110"/>
    </row>
    <row r="571" spans="1:14" ht="12" customHeight="1" x14ac:dyDescent="0.15">
      <c r="A571" s="110"/>
      <c r="B571" s="110"/>
      <c r="C571" s="110"/>
      <c r="D571" s="110"/>
      <c r="E571" s="110"/>
      <c r="F571" s="110"/>
      <c r="G571" s="110"/>
      <c r="H571" s="110"/>
      <c r="I571" s="110"/>
      <c r="J571" s="110"/>
      <c r="K571" s="110"/>
      <c r="L571" s="110"/>
      <c r="M571" s="110"/>
      <c r="N571" s="110"/>
    </row>
    <row r="572" spans="1:14" ht="12" customHeight="1" x14ac:dyDescent="0.15">
      <c r="A572" s="110"/>
      <c r="B572" s="110"/>
      <c r="C572" s="110"/>
      <c r="D572" s="110"/>
      <c r="E572" s="110"/>
      <c r="F572" s="110"/>
      <c r="G572" s="110"/>
      <c r="H572" s="110"/>
      <c r="I572" s="110"/>
      <c r="J572" s="110"/>
      <c r="K572" s="110"/>
      <c r="L572" s="110"/>
      <c r="M572" s="110"/>
      <c r="N572" s="110"/>
    </row>
    <row r="573" spans="1:14" ht="12" customHeight="1" x14ac:dyDescent="0.15">
      <c r="A573" s="110"/>
      <c r="B573" s="110"/>
      <c r="C573" s="110"/>
      <c r="D573" s="110"/>
      <c r="E573" s="110"/>
      <c r="F573" s="110"/>
      <c r="G573" s="110"/>
      <c r="H573" s="110"/>
      <c r="I573" s="110"/>
      <c r="J573" s="110"/>
      <c r="K573" s="110"/>
      <c r="L573" s="110"/>
      <c r="M573" s="110"/>
      <c r="N573" s="110"/>
    </row>
    <row r="574" spans="1:14" ht="12" customHeight="1" x14ac:dyDescent="0.15">
      <c r="A574" s="110"/>
      <c r="B574" s="110"/>
      <c r="C574" s="110"/>
      <c r="D574" s="110"/>
      <c r="E574" s="110"/>
      <c r="F574" s="110"/>
      <c r="G574" s="110"/>
      <c r="H574" s="110"/>
      <c r="I574" s="110"/>
      <c r="J574" s="110"/>
      <c r="K574" s="110"/>
      <c r="L574" s="110"/>
      <c r="M574" s="110"/>
      <c r="N574" s="110"/>
    </row>
    <row r="575" spans="1:14" ht="12" customHeight="1" x14ac:dyDescent="0.15">
      <c r="A575" s="110"/>
      <c r="B575" s="110"/>
      <c r="C575" s="110"/>
      <c r="D575" s="110"/>
      <c r="E575" s="110"/>
      <c r="F575" s="110"/>
      <c r="G575" s="110"/>
      <c r="H575" s="110"/>
      <c r="I575" s="110"/>
      <c r="J575" s="110"/>
      <c r="K575" s="110"/>
      <c r="L575" s="110"/>
      <c r="M575" s="110"/>
      <c r="N575" s="110"/>
    </row>
    <row r="576" spans="1:14" ht="12" customHeight="1" x14ac:dyDescent="0.15">
      <c r="A576" s="110"/>
      <c r="B576" s="110"/>
      <c r="C576" s="110"/>
      <c r="D576" s="110"/>
      <c r="E576" s="110"/>
      <c r="F576" s="110"/>
      <c r="G576" s="110"/>
      <c r="H576" s="110"/>
      <c r="I576" s="110"/>
      <c r="J576" s="110"/>
      <c r="K576" s="110"/>
      <c r="L576" s="110"/>
      <c r="M576" s="110"/>
      <c r="N576" s="110"/>
    </row>
    <row r="577" spans="1:14" ht="12" customHeight="1" x14ac:dyDescent="0.15">
      <c r="A577" s="110"/>
      <c r="B577" s="110"/>
      <c r="C577" s="110"/>
      <c r="D577" s="110"/>
      <c r="E577" s="110"/>
      <c r="F577" s="110"/>
      <c r="G577" s="110"/>
      <c r="H577" s="110"/>
      <c r="I577" s="110"/>
      <c r="J577" s="110"/>
      <c r="K577" s="110"/>
      <c r="L577" s="110"/>
      <c r="M577" s="110"/>
      <c r="N577" s="110"/>
    </row>
    <row r="578" spans="1:14" ht="12" customHeight="1" x14ac:dyDescent="0.15">
      <c r="A578" s="110"/>
      <c r="B578" s="110"/>
      <c r="C578" s="110"/>
      <c r="D578" s="110"/>
      <c r="E578" s="110"/>
      <c r="F578" s="110"/>
      <c r="G578" s="110"/>
      <c r="H578" s="110"/>
      <c r="I578" s="110"/>
      <c r="J578" s="110"/>
      <c r="K578" s="110"/>
      <c r="L578" s="110"/>
      <c r="M578" s="110"/>
      <c r="N578" s="110"/>
    </row>
    <row r="579" spans="1:14" ht="12" customHeight="1" x14ac:dyDescent="0.15">
      <c r="A579" s="110"/>
      <c r="B579" s="110"/>
      <c r="C579" s="110"/>
      <c r="D579" s="110"/>
      <c r="E579" s="110"/>
      <c r="F579" s="110"/>
      <c r="G579" s="110"/>
      <c r="H579" s="110"/>
      <c r="I579" s="110"/>
      <c r="J579" s="110"/>
      <c r="K579" s="110"/>
      <c r="L579" s="110"/>
      <c r="M579" s="110"/>
      <c r="N579" s="110"/>
    </row>
    <row r="580" spans="1:14" ht="12" customHeight="1" x14ac:dyDescent="0.15">
      <c r="A580" s="110"/>
      <c r="B580" s="110"/>
      <c r="C580" s="110"/>
      <c r="D580" s="110"/>
      <c r="E580" s="110"/>
      <c r="F580" s="110"/>
      <c r="G580" s="110"/>
      <c r="H580" s="110"/>
      <c r="I580" s="110"/>
      <c r="J580" s="110"/>
      <c r="K580" s="110"/>
      <c r="L580" s="110"/>
      <c r="M580" s="110"/>
      <c r="N580" s="110"/>
    </row>
    <row r="581" spans="1:14" ht="12" customHeight="1" x14ac:dyDescent="0.15">
      <c r="A581" s="110"/>
      <c r="B581" s="110"/>
      <c r="C581" s="110"/>
      <c r="D581" s="110"/>
      <c r="E581" s="110"/>
      <c r="F581" s="110"/>
      <c r="G581" s="110"/>
      <c r="H581" s="110"/>
      <c r="I581" s="110"/>
      <c r="J581" s="110"/>
      <c r="K581" s="110"/>
      <c r="L581" s="110"/>
      <c r="M581" s="110"/>
      <c r="N581" s="110"/>
    </row>
    <row r="582" spans="1:14" ht="12" customHeight="1" x14ac:dyDescent="0.15">
      <c r="A582" s="110"/>
      <c r="B582" s="110"/>
      <c r="C582" s="110"/>
      <c r="D582" s="110"/>
      <c r="E582" s="110"/>
      <c r="F582" s="110"/>
      <c r="G582" s="110"/>
      <c r="H582" s="110"/>
      <c r="I582" s="110"/>
      <c r="J582" s="110"/>
      <c r="K582" s="110"/>
      <c r="L582" s="110"/>
      <c r="M582" s="110"/>
      <c r="N582" s="110"/>
    </row>
    <row r="583" spans="1:14" ht="12" customHeight="1" x14ac:dyDescent="0.15">
      <c r="A583" s="110"/>
      <c r="B583" s="110"/>
      <c r="C583" s="110"/>
      <c r="D583" s="110"/>
      <c r="E583" s="110"/>
      <c r="F583" s="110"/>
      <c r="G583" s="110"/>
      <c r="H583" s="110"/>
      <c r="I583" s="110"/>
      <c r="J583" s="110"/>
      <c r="K583" s="110"/>
      <c r="L583" s="110"/>
      <c r="M583" s="110"/>
      <c r="N583" s="110"/>
    </row>
    <row r="584" spans="1:14" ht="12" customHeight="1" x14ac:dyDescent="0.15">
      <c r="A584" s="110"/>
      <c r="B584" s="110"/>
      <c r="C584" s="110"/>
      <c r="D584" s="110"/>
      <c r="E584" s="110"/>
      <c r="F584" s="110"/>
      <c r="G584" s="110"/>
      <c r="H584" s="110"/>
      <c r="I584" s="110"/>
      <c r="J584" s="110"/>
      <c r="K584" s="110"/>
      <c r="L584" s="110"/>
      <c r="M584" s="110"/>
      <c r="N584" s="110"/>
    </row>
    <row r="585" spans="1:14" ht="12" customHeight="1" x14ac:dyDescent="0.15">
      <c r="A585" s="110"/>
      <c r="B585" s="110"/>
      <c r="C585" s="110"/>
      <c r="D585" s="110"/>
      <c r="E585" s="110"/>
      <c r="F585" s="110"/>
      <c r="G585" s="110"/>
      <c r="H585" s="110"/>
      <c r="I585" s="110"/>
      <c r="J585" s="110"/>
      <c r="K585" s="110"/>
      <c r="L585" s="110"/>
      <c r="M585" s="110"/>
      <c r="N585" s="110"/>
    </row>
    <row r="586" spans="1:14" ht="12" customHeight="1" x14ac:dyDescent="0.15">
      <c r="A586" s="110"/>
      <c r="B586" s="110"/>
      <c r="C586" s="110"/>
      <c r="D586" s="110"/>
      <c r="E586" s="110"/>
      <c r="F586" s="110"/>
      <c r="G586" s="110"/>
      <c r="H586" s="110"/>
      <c r="I586" s="110"/>
      <c r="J586" s="110"/>
      <c r="K586" s="110"/>
      <c r="L586" s="110"/>
      <c r="M586" s="110"/>
      <c r="N586" s="110"/>
    </row>
    <row r="587" spans="1:14" ht="12" customHeight="1" x14ac:dyDescent="0.15">
      <c r="A587" s="110"/>
      <c r="B587" s="110"/>
      <c r="C587" s="110"/>
      <c r="D587" s="110"/>
      <c r="E587" s="110"/>
      <c r="F587" s="110"/>
      <c r="G587" s="110"/>
      <c r="H587" s="110"/>
      <c r="I587" s="110"/>
      <c r="J587" s="110"/>
      <c r="K587" s="110"/>
      <c r="L587" s="110"/>
      <c r="M587" s="110"/>
      <c r="N587" s="110"/>
    </row>
    <row r="588" spans="1:14" ht="12" customHeight="1" x14ac:dyDescent="0.15">
      <c r="A588" s="110"/>
      <c r="B588" s="110"/>
      <c r="C588" s="110"/>
      <c r="D588" s="110"/>
      <c r="E588" s="110"/>
      <c r="F588" s="110"/>
      <c r="G588" s="110"/>
      <c r="H588" s="110"/>
      <c r="I588" s="110"/>
      <c r="J588" s="110"/>
      <c r="K588" s="110"/>
      <c r="L588" s="110"/>
      <c r="M588" s="110"/>
      <c r="N588" s="110"/>
    </row>
    <row r="589" spans="1:14" ht="12" customHeight="1" x14ac:dyDescent="0.15">
      <c r="A589" s="110"/>
      <c r="B589" s="110"/>
      <c r="C589" s="110"/>
      <c r="D589" s="110"/>
      <c r="E589" s="110"/>
      <c r="F589" s="110"/>
      <c r="G589" s="110"/>
      <c r="H589" s="110"/>
      <c r="I589" s="110"/>
      <c r="J589" s="110"/>
      <c r="K589" s="110"/>
      <c r="L589" s="110"/>
      <c r="M589" s="110"/>
      <c r="N589" s="110"/>
    </row>
    <row r="590" spans="1:14" ht="12" customHeight="1" x14ac:dyDescent="0.15">
      <c r="A590" s="110"/>
      <c r="B590" s="110"/>
      <c r="C590" s="110"/>
      <c r="D590" s="110"/>
      <c r="E590" s="110"/>
      <c r="F590" s="110"/>
      <c r="G590" s="110"/>
      <c r="H590" s="110"/>
      <c r="I590" s="110"/>
      <c r="J590" s="110"/>
      <c r="K590" s="110"/>
      <c r="L590" s="110"/>
      <c r="M590" s="110"/>
      <c r="N590" s="110"/>
    </row>
    <row r="591" spans="1:14" ht="12" customHeight="1" x14ac:dyDescent="0.15">
      <c r="A591" s="110"/>
      <c r="B591" s="110"/>
      <c r="C591" s="110"/>
      <c r="D591" s="110"/>
      <c r="E591" s="110"/>
      <c r="F591" s="110"/>
      <c r="G591" s="110"/>
      <c r="H591" s="110"/>
      <c r="I591" s="110"/>
      <c r="J591" s="110"/>
      <c r="K591" s="110"/>
      <c r="L591" s="110"/>
      <c r="M591" s="110"/>
      <c r="N591" s="110"/>
    </row>
    <row r="592" spans="1:14" ht="12" customHeight="1" x14ac:dyDescent="0.15">
      <c r="A592" s="110"/>
      <c r="B592" s="110"/>
      <c r="C592" s="110"/>
      <c r="D592" s="110"/>
      <c r="E592" s="110"/>
      <c r="F592" s="110"/>
      <c r="G592" s="110"/>
      <c r="H592" s="110"/>
      <c r="I592" s="110"/>
      <c r="J592" s="110"/>
      <c r="K592" s="110"/>
      <c r="L592" s="110"/>
      <c r="M592" s="110"/>
      <c r="N592" s="110"/>
    </row>
    <row r="593" spans="1:14" ht="12" customHeight="1" x14ac:dyDescent="0.15">
      <c r="A593" s="110"/>
      <c r="B593" s="110"/>
      <c r="C593" s="110"/>
      <c r="D593" s="110"/>
      <c r="E593" s="110"/>
      <c r="F593" s="110"/>
      <c r="G593" s="110"/>
      <c r="H593" s="110"/>
      <c r="I593" s="110"/>
      <c r="J593" s="110"/>
      <c r="K593" s="110"/>
      <c r="L593" s="110"/>
      <c r="M593" s="110"/>
      <c r="N593" s="110"/>
    </row>
    <row r="594" spans="1:14" ht="12" customHeight="1" x14ac:dyDescent="0.15">
      <c r="A594" s="110"/>
      <c r="B594" s="110"/>
      <c r="C594" s="110"/>
      <c r="D594" s="110"/>
      <c r="E594" s="110"/>
      <c r="F594" s="110"/>
      <c r="G594" s="110"/>
      <c r="H594" s="110"/>
      <c r="I594" s="110"/>
      <c r="J594" s="110"/>
      <c r="K594" s="110"/>
      <c r="L594" s="110"/>
      <c r="M594" s="110"/>
      <c r="N594" s="110"/>
    </row>
    <row r="595" spans="1:14" ht="12" customHeight="1" x14ac:dyDescent="0.15">
      <c r="A595" s="110"/>
      <c r="B595" s="110"/>
      <c r="C595" s="110"/>
      <c r="D595" s="110"/>
      <c r="E595" s="110"/>
      <c r="F595" s="110"/>
      <c r="G595" s="110"/>
      <c r="H595" s="110"/>
      <c r="I595" s="110"/>
      <c r="J595" s="110"/>
      <c r="K595" s="110"/>
      <c r="L595" s="110"/>
      <c r="M595" s="110"/>
      <c r="N595" s="110"/>
    </row>
    <row r="596" spans="1:14" ht="12" customHeight="1" x14ac:dyDescent="0.15">
      <c r="A596" s="110"/>
      <c r="B596" s="110"/>
      <c r="C596" s="110"/>
      <c r="D596" s="110"/>
      <c r="E596" s="110"/>
      <c r="F596" s="110"/>
      <c r="G596" s="110"/>
      <c r="H596" s="110"/>
      <c r="I596" s="110"/>
      <c r="J596" s="110"/>
      <c r="K596" s="110"/>
      <c r="L596" s="110"/>
      <c r="M596" s="110"/>
      <c r="N596" s="110"/>
    </row>
    <row r="597" spans="1:14" ht="12" customHeight="1" x14ac:dyDescent="0.15">
      <c r="A597" s="110"/>
      <c r="B597" s="110"/>
      <c r="C597" s="110"/>
      <c r="D597" s="110"/>
      <c r="E597" s="110"/>
      <c r="F597" s="110"/>
      <c r="G597" s="110"/>
      <c r="H597" s="110"/>
      <c r="I597" s="110"/>
      <c r="J597" s="110"/>
      <c r="K597" s="110"/>
      <c r="L597" s="110"/>
      <c r="M597" s="110"/>
      <c r="N597" s="110"/>
    </row>
    <row r="598" spans="1:14" ht="12" customHeight="1" x14ac:dyDescent="0.15">
      <c r="A598" s="110"/>
      <c r="B598" s="110"/>
      <c r="C598" s="110"/>
      <c r="D598" s="110"/>
      <c r="E598" s="110"/>
      <c r="F598" s="110"/>
      <c r="G598" s="110"/>
      <c r="H598" s="110"/>
      <c r="I598" s="110"/>
      <c r="J598" s="110"/>
      <c r="K598" s="110"/>
      <c r="L598" s="110"/>
      <c r="M598" s="110"/>
      <c r="N598" s="110"/>
    </row>
    <row r="599" spans="1:14" ht="12" customHeight="1" x14ac:dyDescent="0.15">
      <c r="A599" s="110"/>
      <c r="B599" s="110"/>
      <c r="C599" s="110"/>
      <c r="D599" s="110"/>
      <c r="E599" s="110"/>
      <c r="F599" s="110"/>
      <c r="G599" s="110"/>
      <c r="H599" s="110"/>
      <c r="I599" s="110"/>
      <c r="J599" s="110"/>
      <c r="K599" s="110"/>
      <c r="L599" s="110"/>
      <c r="M599" s="110"/>
      <c r="N599" s="110"/>
    </row>
    <row r="600" spans="1:14" ht="12" customHeight="1" x14ac:dyDescent="0.15">
      <c r="A600" s="110"/>
      <c r="B600" s="110"/>
      <c r="C600" s="110"/>
      <c r="D600" s="110"/>
      <c r="E600" s="110"/>
      <c r="F600" s="110"/>
      <c r="G600" s="110"/>
      <c r="H600" s="110"/>
      <c r="I600" s="110"/>
      <c r="J600" s="110"/>
      <c r="K600" s="110"/>
      <c r="L600" s="110"/>
      <c r="M600" s="110"/>
      <c r="N600" s="110"/>
    </row>
    <row r="601" spans="1:14" ht="12" customHeight="1" x14ac:dyDescent="0.15">
      <c r="A601" s="110"/>
      <c r="B601" s="110"/>
      <c r="C601" s="110"/>
      <c r="D601" s="110"/>
      <c r="E601" s="110"/>
      <c r="F601" s="110"/>
      <c r="G601" s="110"/>
      <c r="H601" s="110"/>
      <c r="I601" s="110"/>
      <c r="J601" s="110"/>
      <c r="K601" s="110"/>
      <c r="L601" s="110"/>
      <c r="M601" s="110"/>
      <c r="N601" s="110"/>
    </row>
    <row r="602" spans="1:14" ht="12" customHeight="1" x14ac:dyDescent="0.15">
      <c r="A602" s="110"/>
      <c r="B602" s="110"/>
      <c r="C602" s="110"/>
      <c r="D602" s="110"/>
      <c r="E602" s="110"/>
      <c r="F602" s="110"/>
      <c r="G602" s="110"/>
      <c r="H602" s="110"/>
      <c r="I602" s="110"/>
      <c r="J602" s="110"/>
      <c r="K602" s="110"/>
      <c r="L602" s="110"/>
      <c r="M602" s="110"/>
      <c r="N602" s="110"/>
    </row>
    <row r="603" spans="1:14" ht="12" customHeight="1" x14ac:dyDescent="0.15">
      <c r="A603" s="110"/>
      <c r="B603" s="110"/>
      <c r="C603" s="110"/>
      <c r="D603" s="110"/>
      <c r="E603" s="110"/>
      <c r="F603" s="110"/>
      <c r="G603" s="110"/>
      <c r="H603" s="110"/>
      <c r="I603" s="110"/>
      <c r="J603" s="110"/>
      <c r="K603" s="110"/>
      <c r="L603" s="110"/>
      <c r="M603" s="110"/>
      <c r="N603" s="110"/>
    </row>
    <row r="604" spans="1:14" ht="12" customHeight="1" x14ac:dyDescent="0.15">
      <c r="A604" s="110"/>
      <c r="B604" s="110"/>
      <c r="C604" s="110"/>
      <c r="D604" s="110"/>
      <c r="E604" s="110"/>
      <c r="F604" s="110"/>
      <c r="G604" s="110"/>
      <c r="H604" s="110"/>
      <c r="I604" s="110"/>
      <c r="J604" s="110"/>
      <c r="K604" s="110"/>
      <c r="L604" s="110"/>
      <c r="M604" s="110"/>
      <c r="N604" s="110"/>
    </row>
    <row r="605" spans="1:14" ht="12" customHeight="1" x14ac:dyDescent="0.15">
      <c r="A605" s="110"/>
      <c r="B605" s="110"/>
      <c r="C605" s="110"/>
      <c r="D605" s="110"/>
      <c r="E605" s="110"/>
      <c r="F605" s="110"/>
      <c r="G605" s="110"/>
      <c r="H605" s="110"/>
      <c r="I605" s="110"/>
      <c r="J605" s="110"/>
      <c r="K605" s="110"/>
      <c r="L605" s="110"/>
      <c r="M605" s="110"/>
      <c r="N605" s="110"/>
    </row>
    <row r="606" spans="1:14" ht="12" customHeight="1" x14ac:dyDescent="0.15">
      <c r="A606" s="110"/>
      <c r="B606" s="110"/>
      <c r="C606" s="110"/>
      <c r="D606" s="110"/>
      <c r="E606" s="110"/>
      <c r="F606" s="110"/>
      <c r="G606" s="110"/>
      <c r="H606" s="110"/>
      <c r="I606" s="110"/>
      <c r="J606" s="110"/>
      <c r="K606" s="110"/>
      <c r="L606" s="110"/>
      <c r="M606" s="110"/>
      <c r="N606" s="110"/>
    </row>
    <row r="607" spans="1:14" ht="12" customHeight="1" x14ac:dyDescent="0.15">
      <c r="A607" s="110"/>
      <c r="B607" s="110"/>
      <c r="C607" s="110"/>
      <c r="D607" s="110"/>
      <c r="E607" s="110"/>
      <c r="F607" s="110"/>
      <c r="G607" s="110"/>
      <c r="H607" s="110"/>
      <c r="I607" s="110"/>
      <c r="J607" s="110"/>
      <c r="K607" s="110"/>
      <c r="L607" s="110"/>
      <c r="M607" s="110"/>
      <c r="N607" s="110"/>
    </row>
    <row r="608" spans="1:14" ht="12" customHeight="1" x14ac:dyDescent="0.15">
      <c r="A608" s="110"/>
      <c r="B608" s="110"/>
      <c r="C608" s="110"/>
      <c r="D608" s="110"/>
      <c r="E608" s="110"/>
      <c r="F608" s="110"/>
      <c r="G608" s="110"/>
      <c r="H608" s="110"/>
      <c r="I608" s="110"/>
      <c r="J608" s="110"/>
      <c r="K608" s="110"/>
      <c r="L608" s="110"/>
      <c r="M608" s="110"/>
      <c r="N608" s="110"/>
    </row>
    <row r="609" spans="1:14" ht="12" customHeight="1" x14ac:dyDescent="0.15">
      <c r="A609" s="110"/>
      <c r="B609" s="110"/>
      <c r="C609" s="110"/>
      <c r="D609" s="110"/>
      <c r="E609" s="110"/>
      <c r="F609" s="110"/>
      <c r="G609" s="110"/>
      <c r="H609" s="110"/>
      <c r="I609" s="110"/>
      <c r="J609" s="110"/>
      <c r="K609" s="110"/>
      <c r="L609" s="110"/>
      <c r="M609" s="110"/>
      <c r="N609" s="110"/>
    </row>
    <row r="610" spans="1:14" ht="12" customHeight="1" x14ac:dyDescent="0.15">
      <c r="A610" s="110"/>
      <c r="B610" s="110"/>
      <c r="C610" s="110"/>
      <c r="D610" s="110"/>
      <c r="E610" s="110"/>
      <c r="F610" s="110"/>
      <c r="G610" s="110"/>
      <c r="H610" s="110"/>
      <c r="I610" s="110"/>
      <c r="J610" s="110"/>
      <c r="K610" s="110"/>
      <c r="L610" s="110"/>
      <c r="M610" s="110"/>
      <c r="N610" s="110"/>
    </row>
    <row r="611" spans="1:14" ht="12" customHeight="1" x14ac:dyDescent="0.15">
      <c r="A611" s="110"/>
      <c r="B611" s="110"/>
      <c r="C611" s="110"/>
      <c r="D611" s="110"/>
      <c r="E611" s="110"/>
      <c r="F611" s="110"/>
      <c r="G611" s="110"/>
      <c r="H611" s="110"/>
      <c r="I611" s="110"/>
      <c r="J611" s="110"/>
      <c r="K611" s="110"/>
      <c r="L611" s="110"/>
      <c r="M611" s="110"/>
      <c r="N611" s="110"/>
    </row>
    <row r="612" spans="1:14" ht="12" customHeight="1" x14ac:dyDescent="0.15">
      <c r="A612" s="110"/>
      <c r="B612" s="110"/>
      <c r="C612" s="110"/>
      <c r="D612" s="110"/>
      <c r="E612" s="110"/>
      <c r="F612" s="110"/>
      <c r="G612" s="110"/>
      <c r="H612" s="110"/>
      <c r="I612" s="110"/>
      <c r="J612" s="110"/>
      <c r="K612" s="110"/>
      <c r="L612" s="110"/>
      <c r="M612" s="110"/>
      <c r="N612" s="110"/>
    </row>
    <row r="613" spans="1:14" ht="12" customHeight="1" x14ac:dyDescent="0.15">
      <c r="A613" s="110"/>
      <c r="B613" s="110"/>
      <c r="C613" s="110"/>
      <c r="D613" s="110"/>
      <c r="E613" s="110"/>
      <c r="F613" s="110"/>
      <c r="G613" s="110"/>
      <c r="H613" s="110"/>
      <c r="I613" s="110"/>
      <c r="J613" s="110"/>
      <c r="K613" s="110"/>
      <c r="L613" s="110"/>
      <c r="M613" s="110"/>
      <c r="N613" s="110"/>
    </row>
    <row r="614" spans="1:14" ht="12" customHeight="1" x14ac:dyDescent="0.15">
      <c r="A614" s="110"/>
      <c r="B614" s="110"/>
      <c r="C614" s="110"/>
      <c r="D614" s="110"/>
      <c r="E614" s="110"/>
      <c r="F614" s="110"/>
      <c r="G614" s="110"/>
      <c r="H614" s="110"/>
      <c r="I614" s="110"/>
      <c r="J614" s="110"/>
      <c r="K614" s="110"/>
      <c r="L614" s="110"/>
      <c r="M614" s="110"/>
      <c r="N614" s="110"/>
    </row>
    <row r="615" spans="1:14" ht="12" customHeight="1" x14ac:dyDescent="0.15">
      <c r="A615" s="110"/>
      <c r="B615" s="110"/>
      <c r="C615" s="110"/>
      <c r="D615" s="110"/>
      <c r="E615" s="110"/>
      <c r="F615" s="110"/>
      <c r="G615" s="110"/>
      <c r="H615" s="110"/>
      <c r="I615" s="110"/>
      <c r="J615" s="110"/>
      <c r="K615" s="110"/>
      <c r="L615" s="110"/>
      <c r="M615" s="110"/>
      <c r="N615" s="110"/>
    </row>
    <row r="616" spans="1:14" ht="12" customHeight="1" x14ac:dyDescent="0.15">
      <c r="A616" s="110"/>
      <c r="B616" s="110"/>
      <c r="C616" s="110"/>
      <c r="D616" s="110"/>
      <c r="E616" s="110"/>
      <c r="F616" s="110"/>
      <c r="G616" s="110"/>
      <c r="H616" s="110"/>
      <c r="I616" s="110"/>
      <c r="J616" s="110"/>
      <c r="K616" s="110"/>
      <c r="L616" s="110"/>
      <c r="M616" s="110"/>
      <c r="N616" s="110"/>
    </row>
    <row r="617" spans="1:14" ht="12" customHeight="1" x14ac:dyDescent="0.15">
      <c r="A617" s="110"/>
      <c r="B617" s="110"/>
      <c r="C617" s="110"/>
      <c r="D617" s="110"/>
      <c r="E617" s="110"/>
      <c r="F617" s="110"/>
      <c r="G617" s="110"/>
      <c r="H617" s="110"/>
      <c r="I617" s="110"/>
      <c r="J617" s="110"/>
      <c r="K617" s="110"/>
      <c r="L617" s="110"/>
      <c r="M617" s="110"/>
      <c r="N617" s="110"/>
    </row>
    <row r="618" spans="1:14" ht="12" customHeight="1" x14ac:dyDescent="0.15">
      <c r="A618" s="110"/>
      <c r="B618" s="110"/>
      <c r="C618" s="110"/>
      <c r="D618" s="110"/>
      <c r="E618" s="110"/>
      <c r="F618" s="110"/>
      <c r="G618" s="110"/>
      <c r="H618" s="110"/>
      <c r="I618" s="110"/>
      <c r="J618" s="110"/>
      <c r="K618" s="110"/>
      <c r="L618" s="110"/>
      <c r="M618" s="110"/>
      <c r="N618" s="110"/>
    </row>
    <row r="619" spans="1:14" ht="12" customHeight="1" x14ac:dyDescent="0.15">
      <c r="A619" s="110"/>
      <c r="B619" s="110"/>
      <c r="C619" s="110"/>
      <c r="D619" s="110"/>
      <c r="E619" s="110"/>
      <c r="F619" s="110"/>
      <c r="G619" s="110"/>
      <c r="H619" s="110"/>
      <c r="I619" s="110"/>
      <c r="J619" s="110"/>
      <c r="K619" s="110"/>
      <c r="L619" s="110"/>
      <c r="M619" s="110"/>
      <c r="N619" s="110"/>
    </row>
    <row r="620" spans="1:14" ht="12" customHeight="1" x14ac:dyDescent="0.15">
      <c r="A620" s="110"/>
      <c r="B620" s="110"/>
      <c r="C620" s="110"/>
      <c r="D620" s="110"/>
      <c r="E620" s="110"/>
      <c r="F620" s="110"/>
      <c r="G620" s="110"/>
      <c r="H620" s="110"/>
      <c r="I620" s="110"/>
      <c r="J620" s="110"/>
      <c r="K620" s="110"/>
      <c r="L620" s="110"/>
      <c r="M620" s="110"/>
      <c r="N620" s="110"/>
    </row>
    <row r="621" spans="1:14" ht="12" customHeight="1" x14ac:dyDescent="0.15">
      <c r="A621" s="110"/>
      <c r="B621" s="110"/>
      <c r="C621" s="110"/>
      <c r="D621" s="110"/>
      <c r="E621" s="110"/>
      <c r="F621" s="110"/>
      <c r="G621" s="110"/>
      <c r="H621" s="110"/>
      <c r="I621" s="110"/>
      <c r="J621" s="110"/>
      <c r="K621" s="110"/>
      <c r="L621" s="110"/>
      <c r="M621" s="110"/>
      <c r="N621" s="110"/>
    </row>
    <row r="622" spans="1:14" ht="12" customHeight="1" x14ac:dyDescent="0.15">
      <c r="A622" s="110"/>
      <c r="B622" s="110"/>
      <c r="C622" s="110"/>
      <c r="D622" s="110"/>
      <c r="E622" s="110"/>
      <c r="F622" s="110"/>
      <c r="G622" s="110"/>
      <c r="H622" s="110"/>
      <c r="I622" s="110"/>
      <c r="J622" s="110"/>
      <c r="K622" s="110"/>
      <c r="L622" s="110"/>
      <c r="M622" s="110"/>
      <c r="N622" s="110"/>
    </row>
    <row r="623" spans="1:14" ht="12" customHeight="1" x14ac:dyDescent="0.15">
      <c r="A623" s="110"/>
      <c r="B623" s="110"/>
      <c r="C623" s="110"/>
      <c r="D623" s="110"/>
      <c r="E623" s="110"/>
      <c r="F623" s="110"/>
      <c r="G623" s="110"/>
      <c r="H623" s="110"/>
      <c r="I623" s="110"/>
      <c r="J623" s="110"/>
      <c r="K623" s="110"/>
      <c r="L623" s="110"/>
      <c r="M623" s="110"/>
      <c r="N623" s="110"/>
    </row>
    <row r="624" spans="1:14" ht="12" customHeight="1" x14ac:dyDescent="0.15">
      <c r="A624" s="110"/>
      <c r="B624" s="110"/>
      <c r="C624" s="110"/>
      <c r="D624" s="110"/>
      <c r="E624" s="110"/>
      <c r="F624" s="110"/>
      <c r="G624" s="110"/>
      <c r="H624" s="110"/>
      <c r="I624" s="110"/>
      <c r="J624" s="110"/>
      <c r="K624" s="110"/>
      <c r="L624" s="110"/>
      <c r="M624" s="110"/>
      <c r="N624" s="110"/>
    </row>
    <row r="625" spans="1:14" ht="12" customHeight="1" x14ac:dyDescent="0.15">
      <c r="A625" s="110"/>
      <c r="B625" s="110"/>
      <c r="C625" s="110"/>
      <c r="D625" s="110"/>
      <c r="E625" s="110"/>
      <c r="F625" s="110"/>
      <c r="G625" s="110"/>
      <c r="H625" s="110"/>
      <c r="I625" s="110"/>
      <c r="J625" s="110"/>
      <c r="K625" s="110"/>
      <c r="L625" s="110"/>
      <c r="M625" s="110"/>
      <c r="N625" s="110"/>
    </row>
    <row r="626" spans="1:14" ht="12" customHeight="1" x14ac:dyDescent="0.15">
      <c r="A626" s="110"/>
      <c r="B626" s="110"/>
      <c r="C626" s="110"/>
      <c r="D626" s="110"/>
      <c r="E626" s="110"/>
      <c r="F626" s="110"/>
      <c r="G626" s="110"/>
      <c r="H626" s="110"/>
      <c r="I626" s="110"/>
      <c r="J626" s="110"/>
      <c r="K626" s="110"/>
      <c r="L626" s="110"/>
      <c r="M626" s="110"/>
      <c r="N626" s="110"/>
    </row>
    <row r="627" spans="1:14" ht="12" customHeight="1" x14ac:dyDescent="0.15">
      <c r="A627" s="110"/>
      <c r="B627" s="110"/>
      <c r="C627" s="110"/>
      <c r="D627" s="110"/>
      <c r="E627" s="110"/>
      <c r="F627" s="110"/>
      <c r="G627" s="110"/>
      <c r="H627" s="110"/>
      <c r="I627" s="110"/>
      <c r="J627" s="110"/>
      <c r="K627" s="110"/>
      <c r="L627" s="110"/>
      <c r="M627" s="110"/>
      <c r="N627" s="110"/>
    </row>
    <row r="628" spans="1:14" ht="12" customHeight="1" x14ac:dyDescent="0.15">
      <c r="A628" s="110"/>
      <c r="B628" s="110"/>
      <c r="C628" s="110"/>
      <c r="D628" s="110"/>
      <c r="E628" s="110"/>
      <c r="F628" s="110"/>
      <c r="G628" s="110"/>
      <c r="H628" s="110"/>
      <c r="I628" s="110"/>
      <c r="J628" s="110"/>
      <c r="K628" s="110"/>
      <c r="L628" s="110"/>
      <c r="M628" s="110"/>
      <c r="N628" s="110"/>
    </row>
    <row r="629" spans="1:14" ht="12" customHeight="1" x14ac:dyDescent="0.15">
      <c r="A629" s="110"/>
      <c r="B629" s="110"/>
      <c r="C629" s="110"/>
      <c r="D629" s="110"/>
      <c r="E629" s="110"/>
      <c r="F629" s="110"/>
      <c r="G629" s="110"/>
      <c r="H629" s="110"/>
      <c r="I629" s="110"/>
      <c r="J629" s="110"/>
      <c r="K629" s="110"/>
      <c r="L629" s="110"/>
      <c r="M629" s="110"/>
      <c r="N629" s="110"/>
    </row>
    <row r="630" spans="1:14" ht="12" customHeight="1" x14ac:dyDescent="0.15">
      <c r="A630" s="110"/>
      <c r="B630" s="110"/>
      <c r="C630" s="110"/>
      <c r="D630" s="110"/>
      <c r="E630" s="110"/>
      <c r="F630" s="110"/>
      <c r="G630" s="110"/>
      <c r="H630" s="110"/>
      <c r="I630" s="110"/>
      <c r="J630" s="110"/>
      <c r="K630" s="110"/>
      <c r="L630" s="110"/>
      <c r="M630" s="110"/>
      <c r="N630" s="110"/>
    </row>
    <row r="631" spans="1:14" ht="12" customHeight="1" x14ac:dyDescent="0.15">
      <c r="A631" s="110"/>
      <c r="B631" s="110"/>
      <c r="C631" s="110"/>
      <c r="D631" s="110"/>
      <c r="E631" s="110"/>
      <c r="F631" s="110"/>
      <c r="G631" s="110"/>
      <c r="H631" s="110"/>
      <c r="I631" s="110"/>
      <c r="J631" s="110"/>
      <c r="K631" s="110"/>
      <c r="L631" s="110"/>
      <c r="M631" s="110"/>
      <c r="N631" s="110"/>
    </row>
    <row r="632" spans="1:14" ht="12" customHeight="1" x14ac:dyDescent="0.15">
      <c r="A632" s="110"/>
      <c r="B632" s="110"/>
      <c r="C632" s="110"/>
      <c r="D632" s="110"/>
      <c r="E632" s="110"/>
      <c r="F632" s="110"/>
      <c r="G632" s="110"/>
      <c r="H632" s="110"/>
      <c r="I632" s="110"/>
      <c r="J632" s="110"/>
      <c r="K632" s="110"/>
      <c r="L632" s="110"/>
      <c r="M632" s="110"/>
      <c r="N632" s="110"/>
    </row>
    <row r="633" spans="1:14" ht="12" customHeight="1" x14ac:dyDescent="0.15">
      <c r="A633" s="110"/>
      <c r="B633" s="110"/>
      <c r="C633" s="110"/>
      <c r="D633" s="110"/>
      <c r="E633" s="110"/>
      <c r="F633" s="110"/>
      <c r="G633" s="110"/>
      <c r="H633" s="110"/>
      <c r="I633" s="110"/>
      <c r="J633" s="110"/>
      <c r="K633" s="110"/>
      <c r="L633" s="110"/>
      <c r="M633" s="110"/>
      <c r="N633" s="110"/>
    </row>
    <row r="634" spans="1:14" ht="12" customHeight="1" x14ac:dyDescent="0.15">
      <c r="A634" s="110"/>
      <c r="B634" s="110"/>
      <c r="C634" s="110"/>
      <c r="D634" s="110"/>
      <c r="E634" s="110"/>
      <c r="F634" s="110"/>
      <c r="G634" s="110"/>
      <c r="H634" s="110"/>
      <c r="I634" s="110"/>
      <c r="J634" s="110"/>
      <c r="K634" s="110"/>
      <c r="L634" s="110"/>
      <c r="M634" s="110"/>
      <c r="N634" s="110"/>
    </row>
    <row r="635" spans="1:14" ht="12" customHeight="1" x14ac:dyDescent="0.15">
      <c r="A635" s="110"/>
      <c r="B635" s="110"/>
      <c r="C635" s="110"/>
      <c r="D635" s="110"/>
      <c r="E635" s="110"/>
      <c r="F635" s="110"/>
      <c r="G635" s="110"/>
      <c r="H635" s="110"/>
      <c r="I635" s="110"/>
      <c r="J635" s="110"/>
      <c r="K635" s="110"/>
      <c r="L635" s="110"/>
      <c r="M635" s="110"/>
      <c r="N635" s="110"/>
    </row>
    <row r="636" spans="1:14" ht="12" customHeight="1" x14ac:dyDescent="0.15">
      <c r="A636" s="110"/>
      <c r="B636" s="110"/>
      <c r="C636" s="110"/>
      <c r="D636" s="110"/>
      <c r="E636" s="110"/>
      <c r="F636" s="110"/>
      <c r="G636" s="110"/>
      <c r="H636" s="110"/>
      <c r="I636" s="110"/>
      <c r="J636" s="110"/>
      <c r="K636" s="110"/>
      <c r="L636" s="110"/>
      <c r="M636" s="110"/>
      <c r="N636" s="110"/>
    </row>
    <row r="637" spans="1:14" ht="12" customHeight="1" x14ac:dyDescent="0.15">
      <c r="A637" s="110"/>
      <c r="B637" s="110"/>
      <c r="C637" s="110"/>
      <c r="D637" s="110"/>
      <c r="E637" s="110"/>
      <c r="F637" s="110"/>
      <c r="G637" s="110"/>
      <c r="H637" s="110"/>
      <c r="I637" s="110"/>
      <c r="J637" s="110"/>
      <c r="K637" s="110"/>
      <c r="L637" s="110"/>
      <c r="M637" s="110"/>
      <c r="N637" s="110"/>
    </row>
    <row r="638" spans="1:14" ht="12" customHeight="1" x14ac:dyDescent="0.15">
      <c r="A638" s="110"/>
      <c r="B638" s="110"/>
      <c r="C638" s="110"/>
      <c r="D638" s="110"/>
      <c r="E638" s="110"/>
      <c r="F638" s="110"/>
      <c r="G638" s="110"/>
      <c r="H638" s="110"/>
      <c r="I638" s="110"/>
      <c r="J638" s="110"/>
      <c r="K638" s="110"/>
      <c r="L638" s="110"/>
      <c r="M638" s="110"/>
      <c r="N638" s="110"/>
    </row>
    <row r="639" spans="1:14" ht="12" customHeight="1" x14ac:dyDescent="0.15">
      <c r="A639" s="110"/>
      <c r="B639" s="110"/>
      <c r="C639" s="110"/>
      <c r="D639" s="110"/>
      <c r="E639" s="110"/>
      <c r="F639" s="110"/>
      <c r="G639" s="110"/>
      <c r="H639" s="110"/>
      <c r="I639" s="110"/>
      <c r="J639" s="110"/>
      <c r="K639" s="110"/>
      <c r="L639" s="110"/>
      <c r="M639" s="110"/>
      <c r="N639" s="110"/>
    </row>
    <row r="640" spans="1:14" ht="12" customHeight="1" x14ac:dyDescent="0.15">
      <c r="A640" s="110"/>
      <c r="B640" s="110"/>
      <c r="C640" s="110"/>
      <c r="D640" s="110"/>
      <c r="E640" s="110"/>
      <c r="F640" s="110"/>
      <c r="G640" s="110"/>
      <c r="H640" s="110"/>
      <c r="I640" s="110"/>
      <c r="J640" s="110"/>
      <c r="K640" s="110"/>
      <c r="L640" s="110"/>
      <c r="M640" s="110"/>
      <c r="N640" s="110"/>
    </row>
    <row r="641" spans="1:14" ht="12" customHeight="1" x14ac:dyDescent="0.15">
      <c r="A641" s="110"/>
      <c r="B641" s="110"/>
      <c r="C641" s="110"/>
      <c r="D641" s="110"/>
      <c r="E641" s="110"/>
      <c r="F641" s="110"/>
      <c r="G641" s="110"/>
      <c r="H641" s="110"/>
      <c r="I641" s="110"/>
      <c r="J641" s="110"/>
      <c r="K641" s="110"/>
      <c r="L641" s="110"/>
      <c r="M641" s="110"/>
      <c r="N641" s="110"/>
    </row>
    <row r="642" spans="1:14" ht="12" customHeight="1" x14ac:dyDescent="0.15">
      <c r="A642" s="110"/>
      <c r="B642" s="110"/>
      <c r="C642" s="110"/>
      <c r="D642" s="110"/>
      <c r="E642" s="110"/>
      <c r="F642" s="110"/>
      <c r="G642" s="110"/>
      <c r="H642" s="110"/>
      <c r="I642" s="110"/>
      <c r="J642" s="110"/>
      <c r="K642" s="110"/>
      <c r="L642" s="110"/>
      <c r="M642" s="110"/>
      <c r="N642" s="110"/>
    </row>
    <row r="643" spans="1:14" ht="12" customHeight="1" x14ac:dyDescent="0.15">
      <c r="A643" s="110"/>
      <c r="B643" s="110"/>
      <c r="C643" s="110"/>
      <c r="D643" s="110"/>
      <c r="E643" s="110"/>
      <c r="F643" s="110"/>
      <c r="G643" s="110"/>
      <c r="H643" s="110"/>
      <c r="I643" s="110"/>
      <c r="J643" s="110"/>
      <c r="K643" s="110"/>
      <c r="L643" s="110"/>
      <c r="M643" s="110"/>
      <c r="N643" s="110"/>
    </row>
    <row r="644" spans="1:14" ht="12" customHeight="1" x14ac:dyDescent="0.15">
      <c r="A644" s="110"/>
      <c r="B644" s="110"/>
      <c r="C644" s="110"/>
      <c r="D644" s="110"/>
      <c r="E644" s="110"/>
      <c r="F644" s="110"/>
      <c r="G644" s="110"/>
      <c r="H644" s="110"/>
      <c r="I644" s="110"/>
      <c r="J644" s="110"/>
      <c r="K644" s="110"/>
      <c r="L644" s="110"/>
      <c r="M644" s="110"/>
      <c r="N644" s="110"/>
    </row>
    <row r="645" spans="1:14" ht="12" customHeight="1" x14ac:dyDescent="0.15">
      <c r="A645" s="110"/>
      <c r="B645" s="110"/>
      <c r="C645" s="110"/>
      <c r="D645" s="110"/>
      <c r="E645" s="110"/>
      <c r="F645" s="110"/>
      <c r="G645" s="110"/>
      <c r="H645" s="110"/>
      <c r="I645" s="110"/>
      <c r="J645" s="110"/>
      <c r="K645" s="110"/>
      <c r="L645" s="110"/>
      <c r="M645" s="110"/>
      <c r="N645" s="110"/>
    </row>
    <row r="646" spans="1:14" ht="12" customHeight="1" x14ac:dyDescent="0.15">
      <c r="A646" s="110"/>
      <c r="B646" s="110"/>
      <c r="C646" s="110"/>
      <c r="D646" s="110"/>
      <c r="E646" s="110"/>
      <c r="F646" s="110"/>
      <c r="G646" s="110"/>
      <c r="H646" s="110"/>
      <c r="I646" s="110"/>
      <c r="J646" s="110"/>
      <c r="K646" s="110"/>
      <c r="L646" s="110"/>
      <c r="M646" s="110"/>
      <c r="N646" s="110"/>
    </row>
    <row r="647" spans="1:14" ht="12" customHeight="1" x14ac:dyDescent="0.15">
      <c r="A647" s="110"/>
      <c r="B647" s="110"/>
      <c r="C647" s="110"/>
      <c r="D647" s="110"/>
      <c r="E647" s="110"/>
      <c r="F647" s="110"/>
      <c r="G647" s="110"/>
      <c r="H647" s="110"/>
      <c r="I647" s="110"/>
      <c r="J647" s="110"/>
      <c r="K647" s="110"/>
      <c r="L647" s="110"/>
      <c r="M647" s="110"/>
      <c r="N647" s="110"/>
    </row>
    <row r="648" spans="1:14" ht="12" customHeight="1" x14ac:dyDescent="0.15">
      <c r="A648" s="110"/>
      <c r="B648" s="110"/>
      <c r="C648" s="110"/>
      <c r="D648" s="110"/>
      <c r="E648" s="110"/>
      <c r="F648" s="110"/>
      <c r="G648" s="110"/>
      <c r="H648" s="110"/>
      <c r="I648" s="110"/>
      <c r="J648" s="110"/>
      <c r="K648" s="110"/>
      <c r="L648" s="110"/>
      <c r="M648" s="110"/>
      <c r="N648" s="110"/>
    </row>
    <row r="649" spans="1:14" ht="12" customHeight="1" x14ac:dyDescent="0.15">
      <c r="A649" s="110"/>
      <c r="B649" s="110"/>
      <c r="C649" s="110"/>
      <c r="D649" s="110"/>
      <c r="E649" s="110"/>
      <c r="F649" s="110"/>
      <c r="G649" s="110"/>
      <c r="H649" s="110"/>
      <c r="I649" s="110"/>
      <c r="J649" s="110"/>
      <c r="K649" s="110"/>
      <c r="L649" s="110"/>
      <c r="M649" s="110"/>
      <c r="N649" s="110"/>
    </row>
    <row r="650" spans="1:14" ht="12" customHeight="1" x14ac:dyDescent="0.15">
      <c r="A650" s="110"/>
      <c r="B650" s="110"/>
      <c r="C650" s="110"/>
      <c r="D650" s="110"/>
      <c r="E650" s="110"/>
      <c r="F650" s="110"/>
      <c r="G650" s="110"/>
      <c r="H650" s="110"/>
      <c r="I650" s="110"/>
      <c r="J650" s="110"/>
      <c r="K650" s="110"/>
      <c r="L650" s="110"/>
      <c r="M650" s="110"/>
      <c r="N650" s="110"/>
    </row>
    <row r="651" spans="1:14" ht="12" customHeight="1" x14ac:dyDescent="0.15">
      <c r="A651" s="110"/>
      <c r="B651" s="110"/>
      <c r="C651" s="110"/>
      <c r="D651" s="110"/>
      <c r="E651" s="110"/>
      <c r="F651" s="110"/>
      <c r="G651" s="110"/>
      <c r="H651" s="110"/>
      <c r="I651" s="110"/>
      <c r="J651" s="110"/>
      <c r="K651" s="110"/>
      <c r="L651" s="110"/>
      <c r="M651" s="110"/>
      <c r="N651" s="110"/>
    </row>
    <row r="652" spans="1:14" ht="12" customHeight="1" x14ac:dyDescent="0.15">
      <c r="A652" s="110"/>
      <c r="B652" s="110"/>
      <c r="C652" s="110"/>
      <c r="D652" s="110"/>
      <c r="E652" s="110"/>
      <c r="F652" s="110"/>
      <c r="G652" s="110"/>
      <c r="H652" s="110"/>
      <c r="I652" s="110"/>
      <c r="J652" s="110"/>
      <c r="K652" s="110"/>
      <c r="L652" s="110"/>
      <c r="M652" s="110"/>
      <c r="N652" s="110"/>
    </row>
    <row r="653" spans="1:14" ht="12" customHeight="1" x14ac:dyDescent="0.15">
      <c r="A653" s="110"/>
      <c r="B653" s="110"/>
      <c r="C653" s="110"/>
      <c r="D653" s="110"/>
      <c r="E653" s="110"/>
      <c r="F653" s="110"/>
      <c r="G653" s="110"/>
      <c r="H653" s="110"/>
      <c r="I653" s="110"/>
      <c r="J653" s="110"/>
      <c r="K653" s="110"/>
      <c r="L653" s="110"/>
      <c r="M653" s="110"/>
      <c r="N653" s="110"/>
    </row>
    <row r="654" spans="1:14" ht="12" customHeight="1" x14ac:dyDescent="0.15">
      <c r="A654" s="110"/>
      <c r="B654" s="110"/>
      <c r="C654" s="110"/>
      <c r="D654" s="110"/>
      <c r="E654" s="110"/>
      <c r="F654" s="110"/>
      <c r="G654" s="110"/>
      <c r="H654" s="110"/>
      <c r="I654" s="110"/>
      <c r="J654" s="110"/>
      <c r="K654" s="110"/>
      <c r="L654" s="110"/>
      <c r="M654" s="110"/>
      <c r="N654" s="110"/>
    </row>
    <row r="655" spans="1:14" ht="12" customHeight="1" x14ac:dyDescent="0.15">
      <c r="A655" s="110"/>
      <c r="B655" s="110"/>
      <c r="C655" s="110"/>
      <c r="D655" s="110"/>
      <c r="E655" s="110"/>
      <c r="F655" s="110"/>
      <c r="G655" s="110"/>
      <c r="H655" s="110"/>
      <c r="I655" s="110"/>
      <c r="J655" s="110"/>
      <c r="K655" s="110"/>
      <c r="L655" s="110"/>
      <c r="M655" s="110"/>
      <c r="N655" s="110"/>
    </row>
    <row r="656" spans="1:14" ht="12" customHeight="1" x14ac:dyDescent="0.15">
      <c r="A656" s="110"/>
      <c r="B656" s="110"/>
      <c r="C656" s="110"/>
      <c r="D656" s="110"/>
      <c r="E656" s="110"/>
      <c r="F656" s="110"/>
      <c r="G656" s="110"/>
      <c r="H656" s="110"/>
      <c r="I656" s="110"/>
      <c r="J656" s="110"/>
      <c r="K656" s="110"/>
      <c r="L656" s="110"/>
      <c r="M656" s="110"/>
      <c r="N656" s="110"/>
    </row>
    <row r="657" spans="1:14" ht="12" customHeight="1" x14ac:dyDescent="0.15">
      <c r="A657" s="110"/>
      <c r="B657" s="110"/>
      <c r="C657" s="110"/>
      <c r="D657" s="110"/>
      <c r="E657" s="110"/>
      <c r="F657" s="110"/>
      <c r="G657" s="110"/>
      <c r="H657" s="110"/>
      <c r="I657" s="110"/>
      <c r="J657" s="110"/>
      <c r="K657" s="110"/>
      <c r="L657" s="110"/>
      <c r="M657" s="110"/>
      <c r="N657" s="110"/>
    </row>
    <row r="658" spans="1:14" ht="12" customHeight="1" x14ac:dyDescent="0.15">
      <c r="A658" s="110"/>
      <c r="B658" s="110"/>
      <c r="C658" s="110"/>
      <c r="D658" s="110"/>
      <c r="E658" s="110"/>
      <c r="F658" s="110"/>
      <c r="G658" s="110"/>
      <c r="H658" s="110"/>
      <c r="I658" s="110"/>
      <c r="J658" s="110"/>
      <c r="K658" s="110"/>
      <c r="L658" s="110"/>
      <c r="M658" s="110"/>
      <c r="N658" s="110"/>
    </row>
    <row r="659" spans="1:14" ht="12" customHeight="1" x14ac:dyDescent="0.15">
      <c r="A659" s="110"/>
      <c r="B659" s="110"/>
      <c r="C659" s="110"/>
      <c r="D659" s="110"/>
      <c r="E659" s="110"/>
      <c r="F659" s="110"/>
      <c r="G659" s="110"/>
      <c r="H659" s="110"/>
      <c r="I659" s="110"/>
      <c r="J659" s="110"/>
      <c r="K659" s="110"/>
      <c r="L659" s="110"/>
      <c r="M659" s="110"/>
      <c r="N659" s="110"/>
    </row>
    <row r="660" spans="1:14" ht="12" customHeight="1" x14ac:dyDescent="0.15">
      <c r="A660" s="110"/>
      <c r="B660" s="110"/>
      <c r="C660" s="110"/>
      <c r="D660" s="110"/>
      <c r="E660" s="110"/>
      <c r="F660" s="110"/>
      <c r="G660" s="110"/>
      <c r="H660" s="110"/>
      <c r="I660" s="110"/>
      <c r="J660" s="110"/>
      <c r="K660" s="110"/>
      <c r="L660" s="110"/>
      <c r="M660" s="110"/>
      <c r="N660" s="110"/>
    </row>
    <row r="661" spans="1:14" ht="12" customHeight="1" x14ac:dyDescent="0.15">
      <c r="A661" s="110"/>
      <c r="B661" s="110"/>
      <c r="C661" s="110"/>
      <c r="D661" s="110"/>
      <c r="E661" s="110"/>
      <c r="F661" s="110"/>
      <c r="G661" s="110"/>
      <c r="H661" s="110"/>
      <c r="I661" s="110"/>
      <c r="J661" s="110"/>
      <c r="K661" s="110"/>
      <c r="L661" s="110"/>
      <c r="M661" s="110"/>
      <c r="N661" s="110"/>
    </row>
    <row r="662" spans="1:14" ht="12" customHeight="1" x14ac:dyDescent="0.15">
      <c r="A662" s="110"/>
      <c r="B662" s="110"/>
      <c r="C662" s="110"/>
      <c r="D662" s="110"/>
      <c r="E662" s="110"/>
      <c r="F662" s="110"/>
      <c r="G662" s="110"/>
      <c r="H662" s="110"/>
      <c r="I662" s="110"/>
      <c r="J662" s="110"/>
      <c r="K662" s="110"/>
      <c r="L662" s="110"/>
      <c r="M662" s="110"/>
      <c r="N662" s="110"/>
    </row>
    <row r="663" spans="1:14" ht="12" customHeight="1" x14ac:dyDescent="0.15">
      <c r="A663" s="110"/>
      <c r="B663" s="110"/>
      <c r="C663" s="110"/>
      <c r="D663" s="110"/>
      <c r="E663" s="110"/>
      <c r="F663" s="110"/>
      <c r="G663" s="110"/>
      <c r="H663" s="110"/>
      <c r="I663" s="110"/>
      <c r="J663" s="110"/>
      <c r="K663" s="110"/>
      <c r="L663" s="110"/>
      <c r="M663" s="110"/>
      <c r="N663" s="110"/>
    </row>
    <row r="664" spans="1:14" ht="12" customHeight="1" x14ac:dyDescent="0.15">
      <c r="A664" s="110"/>
      <c r="B664" s="110"/>
      <c r="C664" s="110"/>
      <c r="D664" s="110"/>
      <c r="E664" s="110"/>
      <c r="F664" s="110"/>
      <c r="G664" s="110"/>
      <c r="H664" s="110"/>
      <c r="I664" s="110"/>
      <c r="J664" s="110"/>
      <c r="K664" s="110"/>
      <c r="L664" s="110"/>
      <c r="M664" s="110"/>
      <c r="N664" s="110"/>
    </row>
    <row r="665" spans="1:14" ht="12" customHeight="1" x14ac:dyDescent="0.15">
      <c r="A665" s="110"/>
      <c r="B665" s="110"/>
      <c r="C665" s="110"/>
      <c r="D665" s="110"/>
      <c r="E665" s="110"/>
      <c r="F665" s="110"/>
      <c r="G665" s="110"/>
      <c r="H665" s="110"/>
      <c r="I665" s="110"/>
      <c r="J665" s="110"/>
      <c r="K665" s="110"/>
      <c r="L665" s="110"/>
      <c r="M665" s="110"/>
      <c r="N665" s="110"/>
    </row>
    <row r="666" spans="1:14" ht="12" customHeight="1" x14ac:dyDescent="0.15">
      <c r="A666" s="110"/>
      <c r="B666" s="110"/>
      <c r="C666" s="110"/>
      <c r="D666" s="110"/>
      <c r="E666" s="110"/>
      <c r="F666" s="110"/>
      <c r="G666" s="110"/>
      <c r="H666" s="110"/>
      <c r="I666" s="110"/>
      <c r="J666" s="110"/>
      <c r="K666" s="110"/>
      <c r="L666" s="110"/>
      <c r="M666" s="110"/>
      <c r="N666" s="110"/>
    </row>
    <row r="667" spans="1:14" ht="12" customHeight="1" x14ac:dyDescent="0.15">
      <c r="A667" s="110"/>
      <c r="B667" s="110"/>
      <c r="C667" s="110"/>
      <c r="D667" s="110"/>
      <c r="E667" s="110"/>
      <c r="F667" s="110"/>
      <c r="G667" s="110"/>
      <c r="H667" s="110"/>
      <c r="I667" s="110"/>
      <c r="J667" s="110"/>
      <c r="K667" s="110"/>
      <c r="L667" s="110"/>
      <c r="M667" s="110"/>
      <c r="N667" s="110"/>
    </row>
    <row r="668" spans="1:14" ht="12" customHeight="1" x14ac:dyDescent="0.15">
      <c r="A668" s="110"/>
      <c r="B668" s="110"/>
      <c r="C668" s="110"/>
      <c r="D668" s="110"/>
      <c r="E668" s="110"/>
      <c r="F668" s="110"/>
      <c r="G668" s="110"/>
      <c r="H668" s="110"/>
      <c r="I668" s="110"/>
      <c r="J668" s="110"/>
      <c r="K668" s="110"/>
      <c r="L668" s="110"/>
      <c r="M668" s="110"/>
      <c r="N668" s="110"/>
    </row>
    <row r="669" spans="1:14" ht="12" customHeight="1" x14ac:dyDescent="0.15">
      <c r="A669" s="110"/>
      <c r="B669" s="110"/>
      <c r="C669" s="110"/>
      <c r="D669" s="110"/>
      <c r="E669" s="110"/>
      <c r="F669" s="110"/>
      <c r="G669" s="110"/>
      <c r="H669" s="110"/>
      <c r="I669" s="110"/>
      <c r="J669" s="110"/>
      <c r="K669" s="110"/>
      <c r="L669" s="110"/>
      <c r="M669" s="110"/>
      <c r="N669" s="110"/>
    </row>
    <row r="670" spans="1:14" ht="12" customHeight="1" x14ac:dyDescent="0.15">
      <c r="A670" s="110"/>
      <c r="B670" s="110"/>
      <c r="C670" s="110"/>
      <c r="D670" s="110"/>
      <c r="E670" s="110"/>
      <c r="F670" s="110"/>
      <c r="G670" s="110"/>
      <c r="H670" s="110"/>
      <c r="I670" s="110"/>
      <c r="J670" s="110"/>
      <c r="K670" s="110"/>
      <c r="L670" s="110"/>
      <c r="M670" s="110"/>
      <c r="N670" s="110"/>
    </row>
    <row r="671" spans="1:14" ht="12" customHeight="1" x14ac:dyDescent="0.15">
      <c r="A671" s="110"/>
      <c r="B671" s="110"/>
      <c r="C671" s="110"/>
      <c r="D671" s="110"/>
      <c r="E671" s="110"/>
      <c r="F671" s="110"/>
      <c r="G671" s="110"/>
      <c r="H671" s="110"/>
      <c r="I671" s="110"/>
      <c r="J671" s="110"/>
      <c r="K671" s="110"/>
      <c r="L671" s="110"/>
      <c r="M671" s="110"/>
      <c r="N671" s="110"/>
    </row>
    <row r="672" spans="1:14" ht="12" customHeight="1" x14ac:dyDescent="0.15">
      <c r="A672" s="110"/>
      <c r="B672" s="110"/>
      <c r="C672" s="110"/>
      <c r="D672" s="110"/>
      <c r="E672" s="110"/>
      <c r="F672" s="110"/>
      <c r="G672" s="110"/>
      <c r="H672" s="110"/>
      <c r="I672" s="110"/>
      <c r="J672" s="110"/>
      <c r="K672" s="110"/>
      <c r="L672" s="110"/>
      <c r="M672" s="110"/>
      <c r="N672" s="110"/>
    </row>
    <row r="673" spans="1:14" ht="12" customHeight="1" x14ac:dyDescent="0.15">
      <c r="A673" s="110"/>
      <c r="B673" s="110"/>
      <c r="C673" s="110"/>
      <c r="D673" s="110"/>
      <c r="E673" s="110"/>
      <c r="F673" s="110"/>
      <c r="G673" s="110"/>
      <c r="H673" s="110"/>
      <c r="I673" s="110"/>
      <c r="J673" s="110"/>
      <c r="K673" s="110"/>
      <c r="L673" s="110"/>
      <c r="M673" s="110"/>
      <c r="N673" s="110"/>
    </row>
    <row r="674" spans="1:14" ht="12" customHeight="1" x14ac:dyDescent="0.15">
      <c r="A674" s="110"/>
      <c r="B674" s="110"/>
      <c r="C674" s="110"/>
      <c r="D674" s="110"/>
      <c r="E674" s="110"/>
      <c r="F674" s="110"/>
      <c r="G674" s="110"/>
      <c r="H674" s="110"/>
      <c r="I674" s="110"/>
      <c r="J674" s="110"/>
      <c r="K674" s="110"/>
      <c r="L674" s="110"/>
      <c r="M674" s="110"/>
      <c r="N674" s="110"/>
    </row>
    <row r="675" spans="1:14" ht="12" customHeight="1" x14ac:dyDescent="0.15">
      <c r="A675" s="110"/>
      <c r="B675" s="110"/>
      <c r="C675" s="110"/>
      <c r="D675" s="110"/>
      <c r="E675" s="110"/>
      <c r="F675" s="110"/>
      <c r="G675" s="110"/>
      <c r="H675" s="110"/>
      <c r="I675" s="110"/>
      <c r="J675" s="110"/>
      <c r="K675" s="110"/>
      <c r="L675" s="110"/>
      <c r="M675" s="110"/>
      <c r="N675" s="110"/>
    </row>
    <row r="676" spans="1:14" ht="12" customHeight="1" x14ac:dyDescent="0.15">
      <c r="A676" s="110"/>
      <c r="B676" s="110"/>
      <c r="C676" s="110"/>
      <c r="D676" s="110"/>
      <c r="E676" s="110"/>
      <c r="F676" s="110"/>
      <c r="G676" s="110"/>
      <c r="H676" s="110"/>
      <c r="I676" s="110"/>
      <c r="J676" s="110"/>
      <c r="K676" s="110"/>
      <c r="L676" s="110"/>
      <c r="M676" s="110"/>
      <c r="N676" s="110"/>
    </row>
    <row r="677" spans="1:14" ht="12" customHeight="1" x14ac:dyDescent="0.15">
      <c r="A677" s="110"/>
      <c r="B677" s="110"/>
      <c r="C677" s="110"/>
      <c r="D677" s="110"/>
      <c r="E677" s="110"/>
      <c r="F677" s="110"/>
      <c r="G677" s="110"/>
      <c r="H677" s="110"/>
      <c r="I677" s="110"/>
      <c r="J677" s="110"/>
      <c r="K677" s="110"/>
      <c r="L677" s="110"/>
      <c r="M677" s="110"/>
      <c r="N677" s="110"/>
    </row>
    <row r="678" spans="1:14" ht="12" customHeight="1" x14ac:dyDescent="0.15">
      <c r="A678" s="110"/>
      <c r="B678" s="110"/>
      <c r="C678" s="110"/>
      <c r="D678" s="110"/>
      <c r="E678" s="110"/>
      <c r="F678" s="110"/>
      <c r="G678" s="110"/>
      <c r="H678" s="110"/>
      <c r="I678" s="110"/>
      <c r="J678" s="110"/>
      <c r="K678" s="110"/>
      <c r="L678" s="110"/>
      <c r="M678" s="110"/>
      <c r="N678" s="110"/>
    </row>
    <row r="679" spans="1:14" ht="12" customHeight="1" x14ac:dyDescent="0.15">
      <c r="A679" s="110"/>
      <c r="B679" s="110"/>
      <c r="C679" s="110"/>
      <c r="D679" s="110"/>
      <c r="E679" s="110"/>
      <c r="F679" s="110"/>
      <c r="G679" s="110"/>
      <c r="H679" s="110"/>
      <c r="I679" s="110"/>
      <c r="J679" s="110"/>
      <c r="K679" s="110"/>
      <c r="L679" s="110"/>
      <c r="M679" s="110"/>
      <c r="N679" s="110"/>
    </row>
    <row r="680" spans="1:14" ht="12" customHeight="1" x14ac:dyDescent="0.15">
      <c r="A680" s="110"/>
      <c r="B680" s="110"/>
      <c r="C680" s="110"/>
      <c r="D680" s="110"/>
      <c r="E680" s="110"/>
      <c r="F680" s="110"/>
      <c r="G680" s="110"/>
      <c r="H680" s="110"/>
      <c r="I680" s="110"/>
      <c r="J680" s="110"/>
      <c r="K680" s="110"/>
      <c r="L680" s="110"/>
      <c r="M680" s="110"/>
      <c r="N680" s="110"/>
    </row>
    <row r="681" spans="1:14" ht="12" customHeight="1" x14ac:dyDescent="0.15">
      <c r="A681" s="110"/>
      <c r="B681" s="110"/>
      <c r="C681" s="110"/>
      <c r="D681" s="110"/>
      <c r="E681" s="110"/>
      <c r="F681" s="110"/>
      <c r="G681" s="110"/>
      <c r="H681" s="110"/>
      <c r="I681" s="110"/>
      <c r="J681" s="110"/>
      <c r="K681" s="110"/>
      <c r="L681" s="110"/>
      <c r="M681" s="110"/>
      <c r="N681" s="110"/>
    </row>
    <row r="682" spans="1:14" ht="12" customHeight="1" x14ac:dyDescent="0.15">
      <c r="A682" s="110"/>
      <c r="B682" s="110"/>
      <c r="C682" s="110"/>
      <c r="D682" s="110"/>
      <c r="E682" s="110"/>
      <c r="F682" s="110"/>
      <c r="G682" s="110"/>
      <c r="H682" s="110"/>
      <c r="I682" s="110"/>
      <c r="J682" s="110"/>
      <c r="K682" s="110"/>
      <c r="L682" s="110"/>
      <c r="M682" s="110"/>
      <c r="N682" s="110"/>
    </row>
    <row r="683" spans="1:14" ht="12" customHeight="1" x14ac:dyDescent="0.15">
      <c r="A683" s="110"/>
      <c r="B683" s="110"/>
      <c r="C683" s="110"/>
      <c r="D683" s="110"/>
      <c r="E683" s="110"/>
      <c r="F683" s="110"/>
      <c r="G683" s="110"/>
      <c r="H683" s="110"/>
      <c r="I683" s="110"/>
      <c r="J683" s="110"/>
      <c r="K683" s="110"/>
      <c r="L683" s="110"/>
      <c r="M683" s="110"/>
      <c r="N683" s="110"/>
    </row>
    <row r="684" spans="1:14" ht="12" customHeight="1" x14ac:dyDescent="0.15">
      <c r="A684" s="110"/>
      <c r="B684" s="110"/>
      <c r="C684" s="110"/>
      <c r="D684" s="110"/>
      <c r="E684" s="110"/>
      <c r="F684" s="110"/>
      <c r="G684" s="110"/>
      <c r="H684" s="110"/>
      <c r="I684" s="110"/>
      <c r="J684" s="110"/>
      <c r="K684" s="110"/>
      <c r="L684" s="110"/>
      <c r="M684" s="110"/>
      <c r="N684" s="110"/>
    </row>
    <row r="685" spans="1:14" ht="12" customHeight="1" x14ac:dyDescent="0.15">
      <c r="A685" s="110"/>
      <c r="B685" s="110"/>
      <c r="C685" s="110"/>
      <c r="D685" s="110"/>
      <c r="E685" s="110"/>
      <c r="F685" s="110"/>
      <c r="G685" s="110"/>
      <c r="H685" s="110"/>
      <c r="I685" s="110"/>
      <c r="J685" s="110"/>
      <c r="K685" s="110"/>
      <c r="L685" s="110"/>
      <c r="M685" s="110"/>
      <c r="N685" s="110"/>
    </row>
    <row r="686" spans="1:14" ht="12" customHeight="1" x14ac:dyDescent="0.15">
      <c r="A686" s="110"/>
      <c r="B686" s="110"/>
      <c r="C686" s="110"/>
      <c r="D686" s="110"/>
      <c r="E686" s="110"/>
      <c r="F686" s="110"/>
      <c r="G686" s="110"/>
      <c r="H686" s="110"/>
      <c r="I686" s="110"/>
      <c r="J686" s="110"/>
      <c r="K686" s="110"/>
      <c r="L686" s="110"/>
      <c r="M686" s="110"/>
      <c r="N686" s="110"/>
    </row>
    <row r="687" spans="1:14" ht="12" customHeight="1" x14ac:dyDescent="0.15">
      <c r="A687" s="110"/>
      <c r="B687" s="110"/>
      <c r="C687" s="110"/>
      <c r="D687" s="110"/>
      <c r="E687" s="110"/>
      <c r="F687" s="110"/>
      <c r="G687" s="110"/>
      <c r="H687" s="110"/>
      <c r="I687" s="110"/>
      <c r="J687" s="110"/>
      <c r="K687" s="110"/>
      <c r="L687" s="110"/>
      <c r="M687" s="110"/>
      <c r="N687" s="110"/>
    </row>
    <row r="688" spans="1:14" ht="12" customHeight="1" x14ac:dyDescent="0.15">
      <c r="A688" s="110"/>
      <c r="B688" s="110"/>
      <c r="C688" s="110"/>
      <c r="D688" s="110"/>
      <c r="E688" s="110"/>
      <c r="F688" s="110"/>
      <c r="G688" s="110"/>
      <c r="H688" s="110"/>
      <c r="I688" s="110"/>
      <c r="J688" s="110"/>
      <c r="K688" s="110"/>
      <c r="L688" s="110"/>
      <c r="M688" s="110"/>
      <c r="N688" s="110"/>
    </row>
    <row r="689" spans="1:14" ht="12" customHeight="1" x14ac:dyDescent="0.15">
      <c r="A689" s="110"/>
      <c r="B689" s="110"/>
      <c r="C689" s="110"/>
      <c r="D689" s="110"/>
      <c r="E689" s="110"/>
      <c r="F689" s="110"/>
      <c r="G689" s="110"/>
      <c r="H689" s="110"/>
      <c r="I689" s="110"/>
      <c r="J689" s="110"/>
      <c r="K689" s="110"/>
      <c r="L689" s="110"/>
      <c r="M689" s="110"/>
      <c r="N689" s="110"/>
    </row>
    <row r="690" spans="1:14" ht="12" customHeight="1" x14ac:dyDescent="0.15">
      <c r="A690" s="110"/>
      <c r="B690" s="110"/>
      <c r="C690" s="110"/>
      <c r="D690" s="110"/>
      <c r="E690" s="110"/>
      <c r="F690" s="110"/>
      <c r="G690" s="110"/>
      <c r="H690" s="110"/>
      <c r="I690" s="110"/>
      <c r="J690" s="110"/>
      <c r="K690" s="110"/>
      <c r="L690" s="110"/>
      <c r="M690" s="110"/>
      <c r="N690" s="110"/>
    </row>
    <row r="691" spans="1:14" ht="12" customHeight="1" x14ac:dyDescent="0.15">
      <c r="A691" s="110"/>
      <c r="B691" s="110"/>
      <c r="C691" s="110"/>
      <c r="D691" s="110"/>
      <c r="E691" s="110"/>
      <c r="F691" s="110"/>
      <c r="G691" s="110"/>
      <c r="H691" s="110"/>
      <c r="I691" s="110"/>
      <c r="J691" s="110"/>
      <c r="K691" s="110"/>
      <c r="L691" s="110"/>
      <c r="M691" s="110"/>
      <c r="N691" s="110"/>
    </row>
    <row r="692" spans="1:14" ht="12" customHeight="1" x14ac:dyDescent="0.15">
      <c r="A692" s="110"/>
      <c r="B692" s="110"/>
      <c r="C692" s="110"/>
      <c r="D692" s="110"/>
      <c r="E692" s="110"/>
      <c r="F692" s="110"/>
      <c r="G692" s="110"/>
      <c r="H692" s="110"/>
      <c r="I692" s="110"/>
      <c r="J692" s="110"/>
      <c r="K692" s="110"/>
      <c r="L692" s="110"/>
      <c r="M692" s="110"/>
      <c r="N692" s="110"/>
    </row>
    <row r="693" spans="1:14" ht="12" customHeight="1" x14ac:dyDescent="0.15">
      <c r="A693" s="110"/>
      <c r="B693" s="110"/>
      <c r="C693" s="110"/>
      <c r="D693" s="110"/>
      <c r="E693" s="110"/>
      <c r="F693" s="110"/>
      <c r="G693" s="110"/>
      <c r="H693" s="110"/>
      <c r="I693" s="110"/>
      <c r="J693" s="110"/>
      <c r="K693" s="110"/>
      <c r="L693" s="110"/>
      <c r="M693" s="110"/>
      <c r="N693" s="110"/>
    </row>
    <row r="694" spans="1:14" ht="12" customHeight="1" x14ac:dyDescent="0.15">
      <c r="A694" s="110"/>
      <c r="B694" s="110"/>
      <c r="C694" s="110"/>
      <c r="D694" s="110"/>
      <c r="E694" s="110"/>
      <c r="F694" s="110"/>
      <c r="G694" s="110"/>
      <c r="H694" s="110"/>
      <c r="I694" s="110"/>
      <c r="J694" s="110"/>
      <c r="K694" s="110"/>
      <c r="L694" s="110"/>
      <c r="M694" s="110"/>
      <c r="N694" s="110"/>
    </row>
    <row r="695" spans="1:14" ht="12" customHeight="1" x14ac:dyDescent="0.15">
      <c r="A695" s="110"/>
      <c r="B695" s="110"/>
      <c r="C695" s="110"/>
      <c r="D695" s="110"/>
      <c r="E695" s="110"/>
      <c r="F695" s="110"/>
      <c r="G695" s="110"/>
      <c r="H695" s="110"/>
      <c r="I695" s="110"/>
      <c r="J695" s="110"/>
      <c r="K695" s="110"/>
      <c r="L695" s="110"/>
      <c r="M695" s="110"/>
      <c r="N695" s="110"/>
    </row>
    <row r="696" spans="1:14" ht="12" customHeight="1" x14ac:dyDescent="0.15">
      <c r="A696" s="110"/>
      <c r="B696" s="110"/>
      <c r="C696" s="110"/>
      <c r="D696" s="110"/>
      <c r="E696" s="110"/>
      <c r="F696" s="110"/>
      <c r="G696" s="110"/>
      <c r="H696" s="110"/>
      <c r="I696" s="110"/>
      <c r="J696" s="110"/>
      <c r="K696" s="110"/>
      <c r="L696" s="110"/>
      <c r="M696" s="110"/>
      <c r="N696" s="110"/>
    </row>
    <row r="697" spans="1:14" ht="12" customHeight="1" x14ac:dyDescent="0.15">
      <c r="A697" s="110"/>
      <c r="B697" s="110"/>
      <c r="C697" s="110"/>
      <c r="D697" s="110"/>
      <c r="E697" s="110"/>
      <c r="F697" s="110"/>
      <c r="G697" s="110"/>
      <c r="H697" s="110"/>
      <c r="I697" s="110"/>
      <c r="J697" s="110"/>
      <c r="K697" s="110"/>
      <c r="L697" s="110"/>
      <c r="M697" s="110"/>
      <c r="N697" s="110"/>
    </row>
    <row r="698" spans="1:14" ht="12" customHeight="1" x14ac:dyDescent="0.15">
      <c r="A698" s="110"/>
      <c r="B698" s="110"/>
      <c r="C698" s="110"/>
      <c r="D698" s="110"/>
      <c r="E698" s="110"/>
      <c r="F698" s="110"/>
      <c r="G698" s="110"/>
      <c r="H698" s="110"/>
      <c r="I698" s="110"/>
      <c r="J698" s="110"/>
      <c r="K698" s="110"/>
      <c r="L698" s="110"/>
      <c r="M698" s="110"/>
      <c r="N698" s="110"/>
    </row>
    <row r="699" spans="1:14" ht="12" customHeight="1" x14ac:dyDescent="0.15">
      <c r="A699" s="110"/>
      <c r="B699" s="110"/>
      <c r="C699" s="110"/>
      <c r="D699" s="110"/>
      <c r="E699" s="110"/>
      <c r="F699" s="110"/>
      <c r="G699" s="110"/>
      <c r="H699" s="110"/>
      <c r="I699" s="110"/>
      <c r="J699" s="110"/>
      <c r="K699" s="110"/>
      <c r="L699" s="110"/>
      <c r="M699" s="110"/>
      <c r="N699" s="110"/>
    </row>
    <row r="700" spans="1:14" ht="12" customHeight="1" x14ac:dyDescent="0.15">
      <c r="A700" s="110"/>
      <c r="B700" s="110"/>
      <c r="C700" s="110"/>
      <c r="D700" s="110"/>
      <c r="E700" s="110"/>
      <c r="F700" s="110"/>
      <c r="G700" s="110"/>
      <c r="H700" s="110"/>
      <c r="I700" s="110"/>
      <c r="J700" s="110"/>
      <c r="K700" s="110"/>
      <c r="L700" s="110"/>
      <c r="M700" s="110"/>
      <c r="N700" s="110"/>
    </row>
    <row r="701" spans="1:14" ht="12" customHeight="1" x14ac:dyDescent="0.15">
      <c r="A701" s="110"/>
      <c r="B701" s="110"/>
      <c r="C701" s="110"/>
      <c r="D701" s="110"/>
      <c r="E701" s="110"/>
      <c r="F701" s="110"/>
      <c r="G701" s="110"/>
      <c r="H701" s="110"/>
      <c r="I701" s="110"/>
      <c r="J701" s="110"/>
      <c r="K701" s="110"/>
      <c r="L701" s="110"/>
      <c r="M701" s="110"/>
      <c r="N701" s="110"/>
    </row>
    <row r="702" spans="1:14" ht="12" customHeight="1" x14ac:dyDescent="0.15">
      <c r="A702" s="110"/>
      <c r="B702" s="110"/>
      <c r="C702" s="110"/>
      <c r="D702" s="110"/>
      <c r="E702" s="110"/>
      <c r="F702" s="110"/>
      <c r="G702" s="110"/>
      <c r="H702" s="110"/>
      <c r="I702" s="110"/>
      <c r="J702" s="110"/>
      <c r="K702" s="110"/>
      <c r="L702" s="110"/>
      <c r="M702" s="110"/>
      <c r="N702" s="110"/>
    </row>
    <row r="703" spans="1:14" ht="12" customHeight="1" x14ac:dyDescent="0.15">
      <c r="A703" s="110"/>
      <c r="B703" s="110"/>
      <c r="C703" s="110"/>
      <c r="D703" s="110"/>
      <c r="E703" s="110"/>
      <c r="F703" s="110"/>
      <c r="G703" s="110"/>
      <c r="H703" s="110"/>
      <c r="I703" s="110"/>
      <c r="J703" s="110"/>
      <c r="K703" s="110"/>
      <c r="L703" s="110"/>
      <c r="M703" s="110"/>
      <c r="N703" s="110"/>
    </row>
    <row r="704" spans="1:14" ht="12" customHeight="1" x14ac:dyDescent="0.15">
      <c r="A704" s="110"/>
      <c r="B704" s="110"/>
      <c r="C704" s="110"/>
      <c r="D704" s="110"/>
      <c r="E704" s="110"/>
      <c r="F704" s="110"/>
      <c r="G704" s="110"/>
      <c r="H704" s="110"/>
      <c r="I704" s="110"/>
      <c r="J704" s="110"/>
      <c r="K704" s="110"/>
      <c r="L704" s="110"/>
      <c r="M704" s="110"/>
      <c r="N704" s="110"/>
    </row>
    <row r="705" spans="1:14" ht="12" customHeight="1" x14ac:dyDescent="0.15">
      <c r="A705" s="110"/>
      <c r="B705" s="110"/>
      <c r="C705" s="110"/>
      <c r="D705" s="110"/>
      <c r="E705" s="110"/>
      <c r="F705" s="110"/>
      <c r="G705" s="110"/>
      <c r="H705" s="110"/>
      <c r="I705" s="110"/>
      <c r="J705" s="110"/>
      <c r="K705" s="110"/>
      <c r="L705" s="110"/>
      <c r="M705" s="110"/>
      <c r="N705" s="110"/>
    </row>
    <row r="706" spans="1:14" ht="12" customHeight="1" x14ac:dyDescent="0.15">
      <c r="A706" s="110"/>
      <c r="B706" s="110"/>
      <c r="C706" s="110"/>
      <c r="D706" s="110"/>
      <c r="E706" s="110"/>
      <c r="F706" s="110"/>
      <c r="G706" s="110"/>
      <c r="H706" s="110"/>
      <c r="I706" s="110"/>
      <c r="J706" s="110"/>
      <c r="K706" s="110"/>
      <c r="L706" s="110"/>
      <c r="M706" s="110"/>
      <c r="N706" s="110"/>
    </row>
    <row r="707" spans="1:14" ht="12" customHeight="1" x14ac:dyDescent="0.15">
      <c r="A707" s="110"/>
      <c r="B707" s="110"/>
      <c r="C707" s="110"/>
      <c r="D707" s="110"/>
      <c r="E707" s="110"/>
      <c r="F707" s="110"/>
      <c r="G707" s="110"/>
      <c r="H707" s="110"/>
      <c r="I707" s="110"/>
      <c r="J707" s="110"/>
      <c r="K707" s="110"/>
      <c r="L707" s="110"/>
      <c r="M707" s="110"/>
      <c r="N707" s="110"/>
    </row>
    <row r="708" spans="1:14" ht="12" customHeight="1" x14ac:dyDescent="0.15">
      <c r="A708" s="110"/>
      <c r="B708" s="110"/>
      <c r="C708" s="110"/>
      <c r="D708" s="110"/>
      <c r="E708" s="110"/>
      <c r="F708" s="110"/>
      <c r="G708" s="110"/>
      <c r="H708" s="110"/>
      <c r="I708" s="110"/>
      <c r="J708" s="110"/>
      <c r="K708" s="110"/>
      <c r="L708" s="110"/>
      <c r="M708" s="110"/>
      <c r="N708" s="110"/>
    </row>
    <row r="709" spans="1:14" ht="12" customHeight="1" x14ac:dyDescent="0.15">
      <c r="A709" s="110"/>
      <c r="B709" s="110"/>
      <c r="C709" s="110"/>
      <c r="D709" s="110"/>
      <c r="E709" s="110"/>
      <c r="F709" s="110"/>
      <c r="G709" s="110"/>
      <c r="H709" s="110"/>
      <c r="I709" s="110"/>
      <c r="J709" s="110"/>
      <c r="K709" s="110"/>
      <c r="L709" s="110"/>
      <c r="M709" s="110"/>
      <c r="N709" s="110"/>
    </row>
    <row r="710" spans="1:14" ht="12" customHeight="1" x14ac:dyDescent="0.15">
      <c r="A710" s="110"/>
      <c r="B710" s="110"/>
      <c r="C710" s="110"/>
      <c r="D710" s="110"/>
      <c r="E710" s="110"/>
      <c r="F710" s="110"/>
      <c r="G710" s="110"/>
      <c r="H710" s="110"/>
      <c r="I710" s="110"/>
      <c r="J710" s="110"/>
      <c r="K710" s="110"/>
      <c r="L710" s="110"/>
      <c r="M710" s="110"/>
      <c r="N710" s="110"/>
    </row>
    <row r="711" spans="1:14" ht="12" customHeight="1" x14ac:dyDescent="0.15">
      <c r="A711" s="110"/>
      <c r="B711" s="110"/>
      <c r="C711" s="110"/>
      <c r="D711" s="110"/>
      <c r="E711" s="110"/>
      <c r="F711" s="110"/>
      <c r="G711" s="110"/>
      <c r="H711" s="110"/>
      <c r="I711" s="110"/>
      <c r="J711" s="110"/>
      <c r="K711" s="110"/>
      <c r="L711" s="110"/>
      <c r="M711" s="110"/>
      <c r="N711" s="110"/>
    </row>
    <row r="712" spans="1:14" ht="12" customHeight="1" x14ac:dyDescent="0.15">
      <c r="A712" s="110"/>
      <c r="B712" s="110"/>
      <c r="C712" s="110"/>
      <c r="D712" s="110"/>
      <c r="E712" s="110"/>
      <c r="F712" s="110"/>
      <c r="G712" s="110"/>
      <c r="H712" s="110"/>
      <c r="I712" s="110"/>
      <c r="J712" s="110"/>
      <c r="K712" s="110"/>
      <c r="L712" s="110"/>
      <c r="M712" s="110"/>
      <c r="N712" s="110"/>
    </row>
    <row r="713" spans="1:14" ht="12" customHeight="1" x14ac:dyDescent="0.15">
      <c r="A713" s="110"/>
      <c r="B713" s="110"/>
      <c r="C713" s="110"/>
      <c r="D713" s="110"/>
      <c r="E713" s="110"/>
      <c r="F713" s="110"/>
      <c r="G713" s="110"/>
      <c r="H713" s="110"/>
      <c r="I713" s="110"/>
      <c r="J713" s="110"/>
      <c r="K713" s="110"/>
      <c r="L713" s="110"/>
      <c r="M713" s="110"/>
      <c r="N713" s="110"/>
    </row>
    <row r="714" spans="1:14" ht="12" customHeight="1" x14ac:dyDescent="0.15">
      <c r="A714" s="110"/>
      <c r="B714" s="110"/>
      <c r="C714" s="110"/>
      <c r="D714" s="110"/>
      <c r="E714" s="110"/>
      <c r="F714" s="110"/>
      <c r="G714" s="110"/>
      <c r="H714" s="110"/>
      <c r="I714" s="110"/>
      <c r="J714" s="110"/>
      <c r="K714" s="110"/>
      <c r="L714" s="110"/>
      <c r="M714" s="110"/>
      <c r="N714" s="110"/>
    </row>
    <row r="715" spans="1:14" ht="12" customHeight="1" x14ac:dyDescent="0.15">
      <c r="A715" s="110"/>
      <c r="B715" s="110"/>
      <c r="C715" s="110"/>
      <c r="D715" s="110"/>
      <c r="E715" s="110"/>
      <c r="F715" s="110"/>
      <c r="G715" s="110"/>
      <c r="H715" s="110"/>
      <c r="I715" s="110"/>
      <c r="J715" s="110"/>
      <c r="K715" s="110"/>
      <c r="L715" s="110"/>
      <c r="M715" s="110"/>
      <c r="N715" s="110"/>
    </row>
    <row r="716" spans="1:14" ht="12" customHeight="1" x14ac:dyDescent="0.15">
      <c r="A716" s="110"/>
      <c r="B716" s="110"/>
      <c r="C716" s="110"/>
      <c r="D716" s="110"/>
      <c r="E716" s="110"/>
      <c r="F716" s="110"/>
      <c r="G716" s="110"/>
      <c r="H716" s="110"/>
      <c r="I716" s="110"/>
      <c r="J716" s="110"/>
      <c r="K716" s="110"/>
      <c r="L716" s="110"/>
      <c r="M716" s="110"/>
      <c r="N716" s="110"/>
    </row>
    <row r="717" spans="1:14" ht="12" customHeight="1" x14ac:dyDescent="0.15">
      <c r="A717" s="110"/>
      <c r="B717" s="110"/>
      <c r="C717" s="110"/>
      <c r="D717" s="110"/>
      <c r="E717" s="110"/>
      <c r="F717" s="110"/>
      <c r="G717" s="110"/>
      <c r="H717" s="110"/>
      <c r="I717" s="110"/>
      <c r="J717" s="110"/>
      <c r="K717" s="110"/>
      <c r="L717" s="110"/>
      <c r="M717" s="110"/>
      <c r="N717" s="110"/>
    </row>
    <row r="718" spans="1:14" ht="12" customHeight="1" x14ac:dyDescent="0.15">
      <c r="A718" s="110"/>
      <c r="B718" s="110"/>
      <c r="C718" s="110"/>
      <c r="D718" s="110"/>
      <c r="E718" s="110"/>
      <c r="F718" s="110"/>
      <c r="G718" s="110"/>
      <c r="H718" s="110"/>
      <c r="I718" s="110"/>
      <c r="J718" s="110"/>
      <c r="K718" s="110"/>
      <c r="L718" s="110"/>
      <c r="M718" s="110"/>
      <c r="N718" s="110"/>
    </row>
    <row r="719" spans="1:14" ht="12" customHeight="1" x14ac:dyDescent="0.15">
      <c r="A719" s="110"/>
      <c r="B719" s="110"/>
      <c r="C719" s="110"/>
      <c r="D719" s="110"/>
      <c r="E719" s="110"/>
      <c r="F719" s="110"/>
      <c r="G719" s="110"/>
      <c r="H719" s="110"/>
      <c r="I719" s="110"/>
      <c r="J719" s="110"/>
      <c r="K719" s="110"/>
      <c r="L719" s="110"/>
      <c r="M719" s="110"/>
      <c r="N719" s="110"/>
    </row>
    <row r="720" spans="1:14" ht="12" customHeight="1" x14ac:dyDescent="0.15">
      <c r="A720" s="110"/>
      <c r="B720" s="110"/>
      <c r="C720" s="110"/>
      <c r="D720" s="110"/>
      <c r="E720" s="110"/>
      <c r="F720" s="110"/>
      <c r="G720" s="110"/>
      <c r="H720" s="110"/>
      <c r="I720" s="110"/>
      <c r="J720" s="110"/>
      <c r="K720" s="110"/>
      <c r="L720" s="110"/>
      <c r="M720" s="110"/>
      <c r="N720" s="110"/>
    </row>
    <row r="721" spans="1:14" ht="12" customHeight="1" x14ac:dyDescent="0.15">
      <c r="A721" s="110"/>
      <c r="B721" s="110"/>
      <c r="C721" s="110"/>
      <c r="D721" s="110"/>
      <c r="E721" s="110"/>
      <c r="F721" s="110"/>
      <c r="G721" s="110"/>
      <c r="H721" s="110"/>
      <c r="I721" s="110"/>
      <c r="J721" s="110"/>
      <c r="K721" s="110"/>
      <c r="L721" s="110"/>
      <c r="M721" s="110"/>
      <c r="N721" s="110"/>
    </row>
    <row r="722" spans="1:14" ht="12" customHeight="1" x14ac:dyDescent="0.15">
      <c r="A722" s="110"/>
      <c r="B722" s="110"/>
      <c r="C722" s="110"/>
      <c r="D722" s="110"/>
      <c r="E722" s="110"/>
      <c r="F722" s="110"/>
      <c r="G722" s="110"/>
      <c r="H722" s="110"/>
      <c r="I722" s="110"/>
      <c r="J722" s="110"/>
      <c r="K722" s="110"/>
      <c r="L722" s="110"/>
      <c r="M722" s="110"/>
      <c r="N722" s="110"/>
    </row>
    <row r="723" spans="1:14" ht="12" customHeight="1" x14ac:dyDescent="0.15">
      <c r="A723" s="110"/>
      <c r="B723" s="110"/>
      <c r="C723" s="110"/>
      <c r="D723" s="110"/>
      <c r="E723" s="110"/>
      <c r="F723" s="110"/>
      <c r="G723" s="110"/>
      <c r="H723" s="110"/>
      <c r="I723" s="110"/>
      <c r="J723" s="110"/>
      <c r="K723" s="110"/>
      <c r="L723" s="110"/>
      <c r="M723" s="110"/>
      <c r="N723" s="110"/>
    </row>
    <row r="724" spans="1:14" ht="12" customHeight="1" x14ac:dyDescent="0.15">
      <c r="A724" s="110"/>
      <c r="B724" s="110"/>
      <c r="C724" s="110"/>
      <c r="D724" s="110"/>
      <c r="E724" s="110"/>
      <c r="F724" s="110"/>
      <c r="G724" s="110"/>
      <c r="H724" s="110"/>
      <c r="I724" s="110"/>
      <c r="J724" s="110"/>
      <c r="K724" s="110"/>
      <c r="L724" s="110"/>
      <c r="M724" s="110"/>
      <c r="N724" s="110"/>
    </row>
    <row r="725" spans="1:14" ht="12" customHeight="1" x14ac:dyDescent="0.15">
      <c r="A725" s="110"/>
      <c r="B725" s="110"/>
      <c r="C725" s="110"/>
      <c r="D725" s="110"/>
      <c r="E725" s="110"/>
      <c r="F725" s="110"/>
      <c r="G725" s="110"/>
      <c r="H725" s="110"/>
      <c r="I725" s="110"/>
      <c r="J725" s="110"/>
      <c r="K725" s="110"/>
      <c r="L725" s="110"/>
      <c r="M725" s="110"/>
      <c r="N725" s="110"/>
    </row>
    <row r="726" spans="1:14" ht="12" customHeight="1" x14ac:dyDescent="0.15">
      <c r="A726" s="110"/>
      <c r="B726" s="110"/>
      <c r="C726" s="110"/>
      <c r="D726" s="110"/>
      <c r="E726" s="110"/>
      <c r="F726" s="110"/>
      <c r="G726" s="110"/>
      <c r="H726" s="110"/>
      <c r="I726" s="110"/>
      <c r="J726" s="110"/>
      <c r="K726" s="110"/>
      <c r="L726" s="110"/>
      <c r="M726" s="110"/>
      <c r="N726" s="110"/>
    </row>
    <row r="727" spans="1:14" ht="12" customHeight="1" x14ac:dyDescent="0.15">
      <c r="A727" s="110"/>
      <c r="B727" s="110"/>
      <c r="C727" s="110"/>
      <c r="D727" s="110"/>
      <c r="E727" s="110"/>
      <c r="F727" s="110"/>
      <c r="G727" s="110"/>
      <c r="H727" s="110"/>
      <c r="I727" s="110"/>
      <c r="J727" s="110"/>
      <c r="K727" s="110"/>
      <c r="L727" s="110"/>
      <c r="M727" s="110"/>
      <c r="N727" s="110"/>
    </row>
    <row r="728" spans="1:14" ht="12" customHeight="1" x14ac:dyDescent="0.15">
      <c r="A728" s="110"/>
      <c r="B728" s="110"/>
      <c r="C728" s="110"/>
      <c r="D728" s="110"/>
      <c r="E728" s="110"/>
      <c r="F728" s="110"/>
      <c r="G728" s="110"/>
      <c r="H728" s="110"/>
      <c r="I728" s="110"/>
      <c r="J728" s="110"/>
      <c r="K728" s="110"/>
      <c r="L728" s="110"/>
      <c r="M728" s="110"/>
      <c r="N728" s="110"/>
    </row>
    <row r="729" spans="1:14" ht="12" customHeight="1" x14ac:dyDescent="0.15">
      <c r="A729" s="110"/>
      <c r="B729" s="110"/>
      <c r="C729" s="110"/>
      <c r="D729" s="110"/>
      <c r="E729" s="110"/>
      <c r="F729" s="110"/>
      <c r="G729" s="110"/>
      <c r="H729" s="110"/>
      <c r="I729" s="110"/>
      <c r="J729" s="110"/>
      <c r="K729" s="110"/>
      <c r="L729" s="110"/>
      <c r="M729" s="110"/>
      <c r="N729" s="110"/>
    </row>
    <row r="730" spans="1:14" ht="12" customHeight="1" x14ac:dyDescent="0.15">
      <c r="A730" s="110"/>
      <c r="B730" s="110"/>
      <c r="C730" s="110"/>
      <c r="D730" s="110"/>
      <c r="E730" s="110"/>
      <c r="F730" s="110"/>
      <c r="G730" s="110"/>
      <c r="H730" s="110"/>
      <c r="I730" s="110"/>
      <c r="J730" s="110"/>
      <c r="K730" s="110"/>
      <c r="L730" s="110"/>
      <c r="M730" s="110"/>
      <c r="N730" s="110"/>
    </row>
    <row r="731" spans="1:14" ht="12" customHeight="1" x14ac:dyDescent="0.15">
      <c r="A731" s="110"/>
      <c r="B731" s="110"/>
      <c r="C731" s="110"/>
      <c r="D731" s="110"/>
      <c r="E731" s="110"/>
      <c r="F731" s="110"/>
      <c r="G731" s="110"/>
      <c r="H731" s="110"/>
      <c r="I731" s="110"/>
      <c r="J731" s="110"/>
      <c r="K731" s="110"/>
      <c r="L731" s="110"/>
      <c r="M731" s="110"/>
      <c r="N731" s="110"/>
    </row>
    <row r="732" spans="1:14" ht="12" customHeight="1" x14ac:dyDescent="0.15">
      <c r="A732" s="110"/>
      <c r="B732" s="110"/>
      <c r="C732" s="110"/>
      <c r="D732" s="110"/>
      <c r="E732" s="110"/>
      <c r="F732" s="110"/>
      <c r="G732" s="110"/>
      <c r="H732" s="110"/>
      <c r="I732" s="110"/>
      <c r="J732" s="110"/>
      <c r="K732" s="110"/>
      <c r="L732" s="110"/>
      <c r="M732" s="110"/>
      <c r="N732" s="110"/>
    </row>
    <row r="733" spans="1:14" ht="12" customHeight="1" x14ac:dyDescent="0.15">
      <c r="A733" s="110"/>
      <c r="B733" s="110"/>
      <c r="C733" s="110"/>
      <c r="D733" s="110"/>
      <c r="E733" s="110"/>
      <c r="F733" s="110"/>
      <c r="G733" s="110"/>
      <c r="H733" s="110"/>
      <c r="I733" s="110"/>
      <c r="J733" s="110"/>
      <c r="K733" s="110"/>
      <c r="L733" s="110"/>
      <c r="M733" s="110"/>
      <c r="N733" s="110"/>
    </row>
    <row r="734" spans="1:14" ht="12" customHeight="1" x14ac:dyDescent="0.15">
      <c r="A734" s="110"/>
      <c r="B734" s="110"/>
      <c r="C734" s="110"/>
      <c r="D734" s="110"/>
      <c r="E734" s="110"/>
      <c r="F734" s="110"/>
      <c r="G734" s="110"/>
      <c r="H734" s="110"/>
      <c r="I734" s="110"/>
      <c r="J734" s="110"/>
      <c r="K734" s="110"/>
      <c r="L734" s="110"/>
      <c r="M734" s="110"/>
      <c r="N734" s="110"/>
    </row>
    <row r="735" spans="1:14" ht="12" customHeight="1" x14ac:dyDescent="0.15">
      <c r="A735" s="110"/>
      <c r="B735" s="110"/>
      <c r="C735" s="110"/>
      <c r="D735" s="110"/>
      <c r="E735" s="110"/>
      <c r="F735" s="110"/>
      <c r="G735" s="110"/>
      <c r="H735" s="110"/>
      <c r="I735" s="110"/>
      <c r="J735" s="110"/>
      <c r="K735" s="110"/>
      <c r="L735" s="110"/>
      <c r="M735" s="110"/>
      <c r="N735" s="110"/>
    </row>
    <row r="736" spans="1:14" ht="12" customHeight="1" x14ac:dyDescent="0.15">
      <c r="A736" s="110"/>
      <c r="B736" s="110"/>
      <c r="C736" s="110"/>
      <c r="D736" s="110"/>
      <c r="E736" s="110"/>
      <c r="F736" s="110"/>
      <c r="G736" s="110"/>
      <c r="H736" s="110"/>
      <c r="I736" s="110"/>
      <c r="J736" s="110"/>
      <c r="K736" s="110"/>
      <c r="L736" s="110"/>
      <c r="M736" s="110"/>
      <c r="N736" s="110"/>
    </row>
    <row r="737" spans="1:14" ht="12" customHeight="1" x14ac:dyDescent="0.15">
      <c r="A737" s="110"/>
      <c r="B737" s="110"/>
      <c r="C737" s="110"/>
      <c r="D737" s="110"/>
      <c r="E737" s="110"/>
      <c r="F737" s="110"/>
      <c r="G737" s="110"/>
      <c r="H737" s="110"/>
      <c r="I737" s="110"/>
      <c r="J737" s="110"/>
      <c r="K737" s="110"/>
      <c r="L737" s="110"/>
      <c r="M737" s="110"/>
      <c r="N737" s="110"/>
    </row>
    <row r="738" spans="1:14" ht="12" customHeight="1" x14ac:dyDescent="0.15">
      <c r="A738" s="110"/>
      <c r="B738" s="110"/>
      <c r="C738" s="110"/>
      <c r="D738" s="110"/>
      <c r="E738" s="110"/>
      <c r="F738" s="110"/>
      <c r="G738" s="110"/>
      <c r="H738" s="110"/>
      <c r="I738" s="110"/>
      <c r="J738" s="110"/>
      <c r="K738" s="110"/>
      <c r="L738" s="110"/>
      <c r="M738" s="110"/>
      <c r="N738" s="110"/>
    </row>
    <row r="739" spans="1:14" ht="12" customHeight="1" x14ac:dyDescent="0.15">
      <c r="A739" s="110"/>
      <c r="B739" s="110"/>
      <c r="C739" s="110"/>
      <c r="D739" s="110"/>
      <c r="E739" s="110"/>
      <c r="F739" s="110"/>
      <c r="G739" s="110"/>
      <c r="H739" s="110"/>
      <c r="I739" s="110"/>
      <c r="J739" s="110"/>
      <c r="K739" s="110"/>
      <c r="L739" s="110"/>
      <c r="M739" s="110"/>
      <c r="N739" s="110"/>
    </row>
    <row r="740" spans="1:14" ht="12" customHeight="1" x14ac:dyDescent="0.15">
      <c r="A740" s="110"/>
      <c r="B740" s="110"/>
      <c r="C740" s="110"/>
      <c r="D740" s="110"/>
      <c r="E740" s="110"/>
      <c r="F740" s="110"/>
      <c r="G740" s="110"/>
      <c r="H740" s="110"/>
      <c r="I740" s="110"/>
      <c r="J740" s="110"/>
      <c r="K740" s="110"/>
      <c r="L740" s="110"/>
      <c r="M740" s="110"/>
      <c r="N740" s="110"/>
    </row>
    <row r="741" spans="1:14" ht="12" customHeight="1" x14ac:dyDescent="0.15">
      <c r="A741" s="110"/>
      <c r="B741" s="110"/>
      <c r="C741" s="110"/>
      <c r="D741" s="110"/>
      <c r="E741" s="110"/>
      <c r="F741" s="110"/>
      <c r="G741" s="110"/>
      <c r="H741" s="110"/>
      <c r="I741" s="110"/>
      <c r="J741" s="110"/>
      <c r="K741" s="110"/>
      <c r="L741" s="110"/>
      <c r="M741" s="110"/>
      <c r="N741" s="110"/>
    </row>
    <row r="742" spans="1:14" ht="12" customHeight="1" x14ac:dyDescent="0.15">
      <c r="A742" s="110"/>
      <c r="B742" s="110"/>
      <c r="C742" s="110"/>
      <c r="D742" s="110"/>
      <c r="E742" s="110"/>
      <c r="F742" s="110"/>
      <c r="G742" s="110"/>
      <c r="H742" s="110"/>
      <c r="I742" s="110"/>
      <c r="J742" s="110"/>
      <c r="K742" s="110"/>
      <c r="L742" s="110"/>
      <c r="M742" s="110"/>
      <c r="N742" s="110"/>
    </row>
    <row r="743" spans="1:14" ht="12" customHeight="1" x14ac:dyDescent="0.15">
      <c r="A743" s="110"/>
      <c r="B743" s="110"/>
      <c r="C743" s="110"/>
      <c r="D743" s="110"/>
      <c r="E743" s="110"/>
      <c r="F743" s="110"/>
      <c r="G743" s="110"/>
      <c r="H743" s="110"/>
      <c r="I743" s="110"/>
      <c r="J743" s="110"/>
      <c r="K743" s="110"/>
      <c r="L743" s="110"/>
      <c r="M743" s="110"/>
      <c r="N743" s="110"/>
    </row>
    <row r="744" spans="1:14" ht="12" customHeight="1" x14ac:dyDescent="0.15">
      <c r="A744" s="110"/>
      <c r="B744" s="110"/>
      <c r="C744" s="110"/>
      <c r="D744" s="110"/>
      <c r="E744" s="110"/>
      <c r="F744" s="110"/>
      <c r="G744" s="110"/>
      <c r="H744" s="110"/>
      <c r="I744" s="110"/>
      <c r="J744" s="110"/>
      <c r="K744" s="110"/>
      <c r="L744" s="110"/>
      <c r="M744" s="110"/>
      <c r="N744" s="110"/>
    </row>
    <row r="745" spans="1:14" ht="12" customHeight="1" x14ac:dyDescent="0.15">
      <c r="A745" s="110"/>
      <c r="B745" s="110"/>
      <c r="C745" s="110"/>
      <c r="D745" s="110"/>
      <c r="E745" s="110"/>
      <c r="F745" s="110"/>
      <c r="G745" s="110"/>
      <c r="H745" s="110"/>
      <c r="I745" s="110"/>
      <c r="J745" s="110"/>
      <c r="K745" s="110"/>
      <c r="L745" s="110"/>
      <c r="M745" s="110"/>
      <c r="N745" s="110"/>
    </row>
    <row r="746" spans="1:14" ht="12" customHeight="1" x14ac:dyDescent="0.15">
      <c r="A746" s="110"/>
      <c r="B746" s="110"/>
      <c r="C746" s="110"/>
      <c r="D746" s="110"/>
      <c r="E746" s="110"/>
      <c r="F746" s="110"/>
      <c r="G746" s="110"/>
      <c r="H746" s="110"/>
      <c r="I746" s="110"/>
      <c r="J746" s="110"/>
      <c r="K746" s="110"/>
      <c r="L746" s="110"/>
      <c r="M746" s="110"/>
      <c r="N746" s="110"/>
    </row>
    <row r="747" spans="1:14" ht="12" customHeight="1" x14ac:dyDescent="0.15">
      <c r="A747" s="110"/>
      <c r="B747" s="110"/>
      <c r="C747" s="110"/>
      <c r="D747" s="110"/>
      <c r="E747" s="110"/>
      <c r="F747" s="110"/>
      <c r="G747" s="110"/>
      <c r="H747" s="110"/>
      <c r="I747" s="110"/>
      <c r="J747" s="110"/>
      <c r="K747" s="110"/>
      <c r="L747" s="110"/>
      <c r="M747" s="110"/>
      <c r="N747" s="110"/>
    </row>
    <row r="748" spans="1:14" ht="12" customHeight="1" x14ac:dyDescent="0.15">
      <c r="A748" s="110"/>
      <c r="B748" s="110"/>
      <c r="C748" s="110"/>
      <c r="D748" s="110"/>
      <c r="E748" s="110"/>
      <c r="F748" s="110"/>
      <c r="G748" s="110"/>
      <c r="H748" s="110"/>
      <c r="I748" s="110"/>
      <c r="J748" s="110"/>
      <c r="K748" s="110"/>
      <c r="L748" s="110"/>
      <c r="M748" s="110"/>
      <c r="N748" s="110"/>
    </row>
    <row r="749" spans="1:14" ht="12" customHeight="1" x14ac:dyDescent="0.15">
      <c r="A749" s="110"/>
      <c r="B749" s="110"/>
      <c r="C749" s="110"/>
      <c r="D749" s="110"/>
      <c r="E749" s="110"/>
      <c r="F749" s="110"/>
      <c r="G749" s="110"/>
      <c r="H749" s="110"/>
      <c r="I749" s="110"/>
      <c r="J749" s="110"/>
      <c r="K749" s="110"/>
      <c r="L749" s="110"/>
      <c r="M749" s="110"/>
      <c r="N749" s="110"/>
    </row>
    <row r="750" spans="1:14" ht="12" customHeight="1" x14ac:dyDescent="0.15">
      <c r="A750" s="110"/>
      <c r="B750" s="110"/>
      <c r="C750" s="110"/>
      <c r="D750" s="110"/>
      <c r="E750" s="110"/>
      <c r="F750" s="110"/>
      <c r="G750" s="110"/>
      <c r="H750" s="110"/>
      <c r="I750" s="110"/>
      <c r="J750" s="110"/>
      <c r="K750" s="110"/>
      <c r="L750" s="110"/>
      <c r="M750" s="110"/>
      <c r="N750" s="110"/>
    </row>
    <row r="751" spans="1:14" ht="12" customHeight="1" x14ac:dyDescent="0.15">
      <c r="A751" s="110"/>
      <c r="B751" s="110"/>
      <c r="C751" s="110"/>
      <c r="D751" s="110"/>
      <c r="E751" s="110"/>
      <c r="F751" s="110"/>
      <c r="G751" s="110"/>
      <c r="H751" s="110"/>
      <c r="I751" s="110"/>
      <c r="J751" s="110"/>
      <c r="K751" s="110"/>
      <c r="L751" s="110"/>
      <c r="M751" s="110"/>
      <c r="N751" s="110"/>
    </row>
    <row r="752" spans="1:14" ht="12" customHeight="1" x14ac:dyDescent="0.15">
      <c r="A752" s="110"/>
      <c r="B752" s="110"/>
      <c r="C752" s="110"/>
      <c r="D752" s="110"/>
      <c r="E752" s="110"/>
      <c r="F752" s="110"/>
      <c r="G752" s="110"/>
      <c r="H752" s="110"/>
      <c r="I752" s="110"/>
      <c r="J752" s="110"/>
      <c r="K752" s="110"/>
      <c r="L752" s="110"/>
      <c r="M752" s="110"/>
      <c r="N752" s="110"/>
    </row>
    <row r="753" spans="1:14" ht="12" customHeight="1" x14ac:dyDescent="0.15">
      <c r="A753" s="110"/>
      <c r="B753" s="110"/>
      <c r="C753" s="110"/>
      <c r="D753" s="110"/>
      <c r="E753" s="110"/>
      <c r="F753" s="110"/>
      <c r="G753" s="110"/>
      <c r="H753" s="110"/>
      <c r="I753" s="110"/>
      <c r="J753" s="110"/>
      <c r="K753" s="110"/>
      <c r="L753" s="110"/>
      <c r="M753" s="110"/>
      <c r="N753" s="110"/>
    </row>
    <row r="754" spans="1:14" ht="12" customHeight="1" x14ac:dyDescent="0.15">
      <c r="A754" s="110"/>
      <c r="B754" s="110"/>
      <c r="C754" s="110"/>
      <c r="D754" s="110"/>
      <c r="E754" s="110"/>
      <c r="F754" s="110"/>
      <c r="G754" s="110"/>
      <c r="H754" s="110"/>
      <c r="I754" s="110"/>
      <c r="J754" s="110"/>
      <c r="K754" s="110"/>
      <c r="L754" s="110"/>
      <c r="M754" s="110"/>
      <c r="N754" s="110"/>
    </row>
    <row r="755" spans="1:14" ht="12" customHeight="1" x14ac:dyDescent="0.15">
      <c r="A755" s="110"/>
      <c r="B755" s="110"/>
      <c r="C755" s="110"/>
      <c r="D755" s="110"/>
      <c r="E755" s="110"/>
      <c r="F755" s="110"/>
      <c r="G755" s="110"/>
      <c r="H755" s="110"/>
      <c r="I755" s="110"/>
      <c r="J755" s="110"/>
      <c r="K755" s="110"/>
      <c r="L755" s="110"/>
      <c r="M755" s="110"/>
      <c r="N755" s="110"/>
    </row>
    <row r="756" spans="1:14" ht="12" customHeight="1" x14ac:dyDescent="0.15">
      <c r="A756" s="110"/>
      <c r="B756" s="110"/>
      <c r="C756" s="110"/>
      <c r="D756" s="110"/>
      <c r="E756" s="110"/>
      <c r="F756" s="110"/>
      <c r="G756" s="110"/>
      <c r="H756" s="110"/>
      <c r="I756" s="110"/>
      <c r="J756" s="110"/>
      <c r="K756" s="110"/>
      <c r="L756" s="110"/>
      <c r="M756" s="110"/>
      <c r="N756" s="110"/>
    </row>
    <row r="757" spans="1:14" ht="12" customHeight="1" x14ac:dyDescent="0.15">
      <c r="A757" s="110"/>
      <c r="B757" s="110"/>
      <c r="C757" s="110"/>
      <c r="D757" s="110"/>
      <c r="E757" s="110"/>
      <c r="F757" s="110"/>
      <c r="G757" s="110"/>
      <c r="H757" s="110"/>
      <c r="I757" s="110"/>
      <c r="J757" s="110"/>
      <c r="K757" s="110"/>
      <c r="L757" s="110"/>
      <c r="M757" s="110"/>
      <c r="N757" s="110"/>
    </row>
    <row r="758" spans="1:14" ht="12" customHeight="1" x14ac:dyDescent="0.15">
      <c r="A758" s="110"/>
      <c r="B758" s="110"/>
      <c r="C758" s="110"/>
      <c r="D758" s="110"/>
      <c r="E758" s="110"/>
      <c r="F758" s="110"/>
      <c r="G758" s="110"/>
      <c r="H758" s="110"/>
      <c r="I758" s="110"/>
      <c r="J758" s="110"/>
      <c r="K758" s="110"/>
      <c r="L758" s="110"/>
      <c r="M758" s="110"/>
      <c r="N758" s="110"/>
    </row>
    <row r="759" spans="1:14" ht="12" customHeight="1" x14ac:dyDescent="0.15">
      <c r="A759" s="110"/>
      <c r="B759" s="110"/>
      <c r="C759" s="110"/>
      <c r="D759" s="110"/>
      <c r="E759" s="110"/>
      <c r="F759" s="110"/>
      <c r="G759" s="110"/>
      <c r="H759" s="110"/>
      <c r="I759" s="110"/>
      <c r="J759" s="110"/>
      <c r="K759" s="110"/>
      <c r="L759" s="110"/>
      <c r="M759" s="110"/>
      <c r="N759" s="110"/>
    </row>
    <row r="760" spans="1:14" ht="12" customHeight="1" x14ac:dyDescent="0.15">
      <c r="A760" s="110"/>
      <c r="B760" s="110"/>
      <c r="C760" s="110"/>
      <c r="D760" s="110"/>
      <c r="E760" s="110"/>
      <c r="F760" s="110"/>
      <c r="G760" s="110"/>
      <c r="H760" s="110"/>
      <c r="I760" s="110"/>
      <c r="J760" s="110"/>
      <c r="K760" s="110"/>
      <c r="L760" s="110"/>
      <c r="M760" s="110"/>
      <c r="N760" s="110"/>
    </row>
    <row r="761" spans="1:14" ht="12" customHeight="1" x14ac:dyDescent="0.15">
      <c r="A761" s="110"/>
      <c r="B761" s="110"/>
      <c r="C761" s="110"/>
      <c r="D761" s="110"/>
      <c r="E761" s="110"/>
      <c r="F761" s="110"/>
      <c r="G761" s="110"/>
      <c r="H761" s="110"/>
      <c r="I761" s="110"/>
      <c r="J761" s="110"/>
      <c r="K761" s="110"/>
      <c r="L761" s="110"/>
      <c r="M761" s="110"/>
      <c r="N761" s="110"/>
    </row>
    <row r="762" spans="1:14" ht="12" customHeight="1" x14ac:dyDescent="0.15">
      <c r="A762" s="110"/>
      <c r="B762" s="110"/>
      <c r="C762" s="110"/>
      <c r="D762" s="110"/>
      <c r="E762" s="110"/>
      <c r="F762" s="110"/>
      <c r="G762" s="110"/>
      <c r="H762" s="110"/>
      <c r="I762" s="110"/>
      <c r="J762" s="110"/>
      <c r="K762" s="110"/>
      <c r="L762" s="110"/>
      <c r="M762" s="110"/>
      <c r="N762" s="110"/>
    </row>
    <row r="763" spans="1:14" ht="12" customHeight="1" x14ac:dyDescent="0.15">
      <c r="A763" s="110"/>
      <c r="B763" s="110"/>
      <c r="C763" s="110"/>
      <c r="D763" s="110"/>
      <c r="E763" s="110"/>
      <c r="F763" s="110"/>
      <c r="G763" s="110"/>
      <c r="H763" s="110"/>
      <c r="I763" s="110"/>
      <c r="J763" s="110"/>
      <c r="K763" s="110"/>
      <c r="L763" s="110"/>
      <c r="M763" s="110"/>
      <c r="N763" s="110"/>
    </row>
    <row r="764" spans="1:14" ht="12" customHeight="1" x14ac:dyDescent="0.15">
      <c r="A764" s="110"/>
      <c r="B764" s="110"/>
      <c r="C764" s="110"/>
      <c r="D764" s="110"/>
      <c r="E764" s="110"/>
      <c r="F764" s="110"/>
      <c r="G764" s="110"/>
      <c r="H764" s="110"/>
      <c r="I764" s="110"/>
      <c r="J764" s="110"/>
      <c r="K764" s="110"/>
      <c r="L764" s="110"/>
      <c r="M764" s="110"/>
      <c r="N764" s="110"/>
    </row>
    <row r="765" spans="1:14" ht="12" customHeight="1" x14ac:dyDescent="0.15">
      <c r="A765" s="110"/>
      <c r="B765" s="110"/>
      <c r="C765" s="110"/>
      <c r="D765" s="110"/>
      <c r="E765" s="110"/>
      <c r="F765" s="110"/>
      <c r="G765" s="110"/>
      <c r="H765" s="110"/>
      <c r="I765" s="110"/>
      <c r="J765" s="110"/>
      <c r="K765" s="110"/>
      <c r="L765" s="110"/>
      <c r="M765" s="110"/>
      <c r="N765" s="110"/>
    </row>
    <row r="766" spans="1:14" ht="12" customHeight="1" x14ac:dyDescent="0.15">
      <c r="A766" s="110"/>
      <c r="B766" s="110"/>
      <c r="C766" s="110"/>
      <c r="D766" s="110"/>
      <c r="E766" s="110"/>
      <c r="F766" s="110"/>
      <c r="G766" s="110"/>
      <c r="H766" s="110"/>
      <c r="I766" s="110"/>
      <c r="J766" s="110"/>
      <c r="K766" s="110"/>
      <c r="L766" s="110"/>
      <c r="M766" s="110"/>
      <c r="N766" s="110"/>
    </row>
    <row r="767" spans="1:14" ht="12" customHeight="1" x14ac:dyDescent="0.15">
      <c r="A767" s="110"/>
      <c r="B767" s="110"/>
      <c r="C767" s="110"/>
      <c r="D767" s="110"/>
      <c r="E767" s="110"/>
      <c r="F767" s="110"/>
      <c r="G767" s="110"/>
      <c r="H767" s="110"/>
      <c r="I767" s="110"/>
      <c r="J767" s="110"/>
      <c r="K767" s="110"/>
      <c r="L767" s="110"/>
      <c r="M767" s="110"/>
      <c r="N767" s="110"/>
    </row>
    <row r="768" spans="1:14" ht="12" customHeight="1" x14ac:dyDescent="0.15">
      <c r="A768" s="110"/>
      <c r="B768" s="110"/>
      <c r="C768" s="110"/>
      <c r="D768" s="110"/>
      <c r="E768" s="110"/>
      <c r="F768" s="110"/>
      <c r="G768" s="110"/>
      <c r="H768" s="110"/>
      <c r="I768" s="110"/>
      <c r="J768" s="110"/>
      <c r="K768" s="110"/>
      <c r="L768" s="110"/>
      <c r="M768" s="110"/>
      <c r="N768" s="110"/>
    </row>
    <row r="769" spans="1:14" ht="12" customHeight="1" x14ac:dyDescent="0.15">
      <c r="A769" s="110"/>
      <c r="B769" s="110"/>
      <c r="C769" s="110"/>
      <c r="D769" s="110"/>
      <c r="E769" s="110"/>
      <c r="F769" s="110"/>
      <c r="G769" s="110"/>
      <c r="H769" s="110"/>
      <c r="I769" s="110"/>
      <c r="J769" s="110"/>
      <c r="K769" s="110"/>
      <c r="L769" s="110"/>
      <c r="M769" s="110"/>
      <c r="N769" s="110"/>
    </row>
    <row r="770" spans="1:14" ht="12" customHeight="1" x14ac:dyDescent="0.15">
      <c r="A770" s="110"/>
      <c r="B770" s="110"/>
      <c r="C770" s="110"/>
      <c r="D770" s="110"/>
      <c r="E770" s="110"/>
      <c r="F770" s="110"/>
      <c r="G770" s="110"/>
      <c r="H770" s="110"/>
      <c r="I770" s="110"/>
      <c r="J770" s="110"/>
      <c r="K770" s="110"/>
      <c r="L770" s="110"/>
      <c r="M770" s="110"/>
      <c r="N770" s="110"/>
    </row>
    <row r="771" spans="1:14" ht="12" customHeight="1" x14ac:dyDescent="0.15">
      <c r="A771" s="110"/>
      <c r="B771" s="110"/>
      <c r="C771" s="110"/>
      <c r="D771" s="110"/>
      <c r="E771" s="110"/>
      <c r="F771" s="110"/>
      <c r="G771" s="110"/>
      <c r="H771" s="110"/>
      <c r="I771" s="110"/>
      <c r="J771" s="110"/>
      <c r="K771" s="110"/>
      <c r="L771" s="110"/>
      <c r="M771" s="110"/>
      <c r="N771" s="110"/>
    </row>
    <row r="772" spans="1:14" ht="12" customHeight="1" x14ac:dyDescent="0.15">
      <c r="A772" s="110"/>
      <c r="B772" s="110"/>
      <c r="C772" s="110"/>
      <c r="D772" s="110"/>
      <c r="E772" s="110"/>
      <c r="F772" s="110"/>
      <c r="G772" s="110"/>
      <c r="H772" s="110"/>
      <c r="I772" s="110"/>
      <c r="J772" s="110"/>
      <c r="K772" s="110"/>
      <c r="L772" s="110"/>
      <c r="M772" s="110"/>
      <c r="N772" s="110"/>
    </row>
    <row r="773" spans="1:14" ht="12" customHeight="1" x14ac:dyDescent="0.15">
      <c r="A773" s="110"/>
      <c r="B773" s="110"/>
      <c r="C773" s="110"/>
      <c r="D773" s="110"/>
      <c r="E773" s="110"/>
      <c r="F773" s="110"/>
      <c r="G773" s="110"/>
      <c r="H773" s="110"/>
      <c r="I773" s="110"/>
      <c r="J773" s="110"/>
      <c r="K773" s="110"/>
      <c r="L773" s="110"/>
      <c r="M773" s="110"/>
      <c r="N773" s="110"/>
    </row>
    <row r="774" spans="1:14" ht="12" customHeight="1" x14ac:dyDescent="0.15">
      <c r="A774" s="110"/>
      <c r="B774" s="110"/>
      <c r="C774" s="110"/>
      <c r="D774" s="110"/>
      <c r="E774" s="110"/>
      <c r="F774" s="110"/>
      <c r="G774" s="110"/>
      <c r="H774" s="110"/>
      <c r="I774" s="110"/>
      <c r="J774" s="110"/>
      <c r="K774" s="110"/>
      <c r="L774" s="110"/>
      <c r="M774" s="110"/>
      <c r="N774" s="110"/>
    </row>
    <row r="775" spans="1:14" ht="12" customHeight="1" x14ac:dyDescent="0.15">
      <c r="A775" s="110"/>
      <c r="B775" s="110"/>
      <c r="C775" s="110"/>
      <c r="D775" s="110"/>
      <c r="E775" s="110"/>
      <c r="F775" s="110"/>
      <c r="G775" s="110"/>
      <c r="H775" s="110"/>
      <c r="I775" s="110"/>
      <c r="J775" s="110"/>
      <c r="K775" s="110"/>
      <c r="L775" s="110"/>
      <c r="M775" s="110"/>
      <c r="N775" s="110"/>
    </row>
    <row r="776" spans="1:14" ht="12" customHeight="1" x14ac:dyDescent="0.15">
      <c r="A776" s="110"/>
      <c r="B776" s="110"/>
      <c r="C776" s="110"/>
      <c r="D776" s="110"/>
      <c r="E776" s="110"/>
      <c r="F776" s="110"/>
      <c r="G776" s="110"/>
      <c r="H776" s="110"/>
      <c r="I776" s="110"/>
      <c r="J776" s="110"/>
      <c r="K776" s="110"/>
      <c r="L776" s="110"/>
      <c r="M776" s="110"/>
      <c r="N776" s="110"/>
    </row>
    <row r="777" spans="1:14" ht="12" customHeight="1" x14ac:dyDescent="0.15">
      <c r="A777" s="110"/>
      <c r="B777" s="110"/>
      <c r="C777" s="110"/>
      <c r="D777" s="110"/>
      <c r="E777" s="110"/>
      <c r="F777" s="110"/>
      <c r="G777" s="110"/>
      <c r="H777" s="110"/>
      <c r="I777" s="110"/>
      <c r="J777" s="110"/>
      <c r="K777" s="110"/>
      <c r="L777" s="110"/>
      <c r="M777" s="110"/>
      <c r="N777" s="110"/>
    </row>
    <row r="778" spans="1:14" ht="12" customHeight="1" x14ac:dyDescent="0.15">
      <c r="A778" s="110"/>
      <c r="B778" s="110"/>
      <c r="C778" s="110"/>
      <c r="D778" s="110"/>
      <c r="E778" s="110"/>
      <c r="F778" s="110"/>
      <c r="G778" s="110"/>
      <c r="H778" s="110"/>
      <c r="I778" s="110"/>
      <c r="J778" s="110"/>
      <c r="K778" s="110"/>
      <c r="L778" s="110"/>
      <c r="M778" s="110"/>
      <c r="N778" s="110"/>
    </row>
    <row r="779" spans="1:14" ht="12" customHeight="1" x14ac:dyDescent="0.15">
      <c r="A779" s="110"/>
      <c r="B779" s="110"/>
      <c r="C779" s="110"/>
      <c r="D779" s="110"/>
      <c r="E779" s="110"/>
      <c r="F779" s="110"/>
      <c r="G779" s="110"/>
      <c r="H779" s="110"/>
      <c r="I779" s="110"/>
      <c r="J779" s="110"/>
      <c r="K779" s="110"/>
      <c r="L779" s="110"/>
      <c r="M779" s="110"/>
      <c r="N779" s="110"/>
    </row>
    <row r="780" spans="1:14" ht="12" customHeight="1" x14ac:dyDescent="0.15">
      <c r="A780" s="110"/>
      <c r="B780" s="110"/>
      <c r="C780" s="110"/>
      <c r="D780" s="110"/>
      <c r="E780" s="110"/>
      <c r="F780" s="110"/>
      <c r="G780" s="110"/>
      <c r="H780" s="110"/>
      <c r="I780" s="110"/>
      <c r="J780" s="110"/>
      <c r="K780" s="110"/>
      <c r="L780" s="110"/>
      <c r="M780" s="110"/>
      <c r="N780" s="110"/>
    </row>
    <row r="781" spans="1:14" ht="12" customHeight="1" x14ac:dyDescent="0.15">
      <c r="A781" s="110"/>
      <c r="B781" s="110"/>
      <c r="C781" s="110"/>
      <c r="D781" s="110"/>
      <c r="E781" s="110"/>
      <c r="F781" s="110"/>
      <c r="G781" s="110"/>
      <c r="H781" s="110"/>
      <c r="I781" s="110"/>
      <c r="J781" s="110"/>
      <c r="K781" s="110"/>
      <c r="L781" s="110"/>
      <c r="M781" s="110"/>
      <c r="N781" s="110"/>
    </row>
    <row r="782" spans="1:14" ht="12" customHeight="1" x14ac:dyDescent="0.15">
      <c r="A782" s="110"/>
      <c r="B782" s="110"/>
      <c r="C782" s="110"/>
      <c r="D782" s="110"/>
      <c r="E782" s="110"/>
      <c r="F782" s="110"/>
      <c r="G782" s="110"/>
      <c r="H782" s="110"/>
      <c r="I782" s="110"/>
      <c r="J782" s="110"/>
      <c r="K782" s="110"/>
      <c r="L782" s="110"/>
      <c r="M782" s="110"/>
      <c r="N782" s="110"/>
    </row>
    <row r="783" spans="1:14" ht="12" customHeight="1" x14ac:dyDescent="0.15">
      <c r="A783" s="110"/>
      <c r="B783" s="110"/>
      <c r="C783" s="110"/>
      <c r="D783" s="110"/>
      <c r="E783" s="110"/>
      <c r="F783" s="110"/>
      <c r="G783" s="110"/>
      <c r="H783" s="110"/>
      <c r="I783" s="110"/>
      <c r="J783" s="110"/>
      <c r="K783" s="110"/>
      <c r="L783" s="110"/>
      <c r="M783" s="110"/>
      <c r="N783" s="110"/>
    </row>
    <row r="784" spans="1:14" ht="12" customHeight="1" x14ac:dyDescent="0.15">
      <c r="A784" s="110"/>
      <c r="B784" s="110"/>
      <c r="C784" s="110"/>
      <c r="D784" s="110"/>
      <c r="E784" s="110"/>
      <c r="F784" s="110"/>
      <c r="G784" s="110"/>
      <c r="H784" s="110"/>
      <c r="I784" s="110"/>
      <c r="J784" s="110"/>
      <c r="K784" s="110"/>
      <c r="L784" s="110"/>
      <c r="M784" s="110"/>
      <c r="N784" s="110"/>
    </row>
    <row r="785" spans="1:14" ht="12" customHeight="1" x14ac:dyDescent="0.15">
      <c r="A785" s="110"/>
      <c r="B785" s="110"/>
      <c r="C785" s="110"/>
      <c r="D785" s="110"/>
      <c r="E785" s="110"/>
      <c r="F785" s="110"/>
      <c r="G785" s="110"/>
      <c r="H785" s="110"/>
      <c r="I785" s="110"/>
      <c r="J785" s="110"/>
      <c r="K785" s="110"/>
      <c r="L785" s="110"/>
      <c r="M785" s="110"/>
      <c r="N785" s="110"/>
    </row>
    <row r="786" spans="1:14" ht="12" customHeight="1" x14ac:dyDescent="0.15">
      <c r="A786" s="110"/>
      <c r="B786" s="110"/>
      <c r="C786" s="110"/>
      <c r="D786" s="110"/>
      <c r="E786" s="110"/>
      <c r="F786" s="110"/>
      <c r="G786" s="110"/>
      <c r="H786" s="110"/>
      <c r="I786" s="110"/>
      <c r="J786" s="110"/>
      <c r="K786" s="110"/>
      <c r="L786" s="110"/>
      <c r="M786" s="110"/>
      <c r="N786" s="110"/>
    </row>
    <row r="787" spans="1:14" ht="12" customHeight="1" x14ac:dyDescent="0.15">
      <c r="A787" s="110"/>
      <c r="B787" s="110"/>
      <c r="C787" s="110"/>
      <c r="D787" s="110"/>
      <c r="E787" s="110"/>
      <c r="F787" s="110"/>
      <c r="G787" s="110"/>
      <c r="H787" s="110"/>
      <c r="I787" s="110"/>
      <c r="J787" s="110"/>
      <c r="K787" s="110"/>
      <c r="L787" s="110"/>
      <c r="M787" s="110"/>
      <c r="N787" s="110"/>
    </row>
    <row r="788" spans="1:14" ht="12" customHeight="1" x14ac:dyDescent="0.15">
      <c r="A788" s="110"/>
      <c r="B788" s="110"/>
      <c r="C788" s="110"/>
      <c r="D788" s="110"/>
      <c r="E788" s="110"/>
      <c r="F788" s="110"/>
      <c r="G788" s="110"/>
      <c r="H788" s="110"/>
      <c r="I788" s="110"/>
      <c r="J788" s="110"/>
      <c r="K788" s="110"/>
      <c r="L788" s="110"/>
      <c r="M788" s="110"/>
      <c r="N788" s="110"/>
    </row>
    <row r="789" spans="1:14" ht="12" customHeight="1" x14ac:dyDescent="0.15">
      <c r="A789" s="110"/>
      <c r="B789" s="110"/>
      <c r="C789" s="110"/>
      <c r="D789" s="110"/>
      <c r="E789" s="110"/>
      <c r="F789" s="110"/>
      <c r="G789" s="110"/>
      <c r="H789" s="110"/>
      <c r="I789" s="110"/>
      <c r="J789" s="110"/>
      <c r="K789" s="110"/>
      <c r="L789" s="110"/>
      <c r="M789" s="110"/>
      <c r="N789" s="110"/>
    </row>
    <row r="790" spans="1:14" ht="12" customHeight="1" x14ac:dyDescent="0.15">
      <c r="A790" s="110"/>
      <c r="B790" s="110"/>
      <c r="C790" s="110"/>
      <c r="D790" s="110"/>
      <c r="E790" s="110"/>
      <c r="F790" s="110"/>
      <c r="G790" s="110"/>
      <c r="H790" s="110"/>
      <c r="I790" s="110"/>
      <c r="J790" s="110"/>
      <c r="K790" s="110"/>
      <c r="L790" s="110"/>
      <c r="M790" s="110"/>
      <c r="N790" s="110"/>
    </row>
    <row r="791" spans="1:14" ht="12" customHeight="1" x14ac:dyDescent="0.15">
      <c r="A791" s="110"/>
      <c r="B791" s="110"/>
      <c r="C791" s="110"/>
      <c r="D791" s="110"/>
      <c r="E791" s="110"/>
      <c r="F791" s="110"/>
      <c r="G791" s="110"/>
      <c r="H791" s="110"/>
      <c r="I791" s="110"/>
      <c r="J791" s="110"/>
      <c r="K791" s="110"/>
      <c r="L791" s="110"/>
      <c r="M791" s="110"/>
      <c r="N791" s="110"/>
    </row>
    <row r="792" spans="1:14" ht="12" customHeight="1" x14ac:dyDescent="0.15">
      <c r="A792" s="110"/>
      <c r="B792" s="110"/>
      <c r="C792" s="110"/>
      <c r="D792" s="110"/>
      <c r="E792" s="110"/>
      <c r="F792" s="110"/>
      <c r="G792" s="110"/>
      <c r="H792" s="110"/>
      <c r="I792" s="110"/>
      <c r="J792" s="110"/>
      <c r="K792" s="110"/>
      <c r="L792" s="110"/>
      <c r="M792" s="110"/>
      <c r="N792" s="110"/>
    </row>
    <row r="793" spans="1:14" ht="12" customHeight="1" x14ac:dyDescent="0.15">
      <c r="A793" s="110"/>
      <c r="B793" s="110"/>
      <c r="C793" s="110"/>
      <c r="D793" s="110"/>
      <c r="E793" s="110"/>
      <c r="F793" s="110"/>
      <c r="G793" s="110"/>
      <c r="H793" s="110"/>
      <c r="I793" s="110"/>
      <c r="J793" s="110"/>
      <c r="K793" s="110"/>
      <c r="L793" s="110"/>
      <c r="M793" s="110"/>
      <c r="N793" s="110"/>
    </row>
    <row r="794" spans="1:14" ht="12" customHeight="1" x14ac:dyDescent="0.15">
      <c r="A794" s="110"/>
      <c r="B794" s="110"/>
      <c r="C794" s="110"/>
      <c r="D794" s="110"/>
      <c r="E794" s="110"/>
      <c r="F794" s="110"/>
      <c r="G794" s="110"/>
      <c r="H794" s="110"/>
      <c r="I794" s="110"/>
      <c r="J794" s="110"/>
      <c r="K794" s="110"/>
      <c r="L794" s="110"/>
      <c r="M794" s="110"/>
      <c r="N794" s="110"/>
    </row>
    <row r="795" spans="1:14" ht="12" customHeight="1" x14ac:dyDescent="0.15">
      <c r="A795" s="110"/>
      <c r="B795" s="110"/>
      <c r="C795" s="110"/>
      <c r="D795" s="110"/>
      <c r="E795" s="110"/>
      <c r="F795" s="110"/>
      <c r="G795" s="110"/>
      <c r="H795" s="110"/>
      <c r="I795" s="110"/>
      <c r="J795" s="110"/>
      <c r="K795" s="110"/>
      <c r="L795" s="110"/>
      <c r="M795" s="110"/>
      <c r="N795" s="110"/>
    </row>
    <row r="796" spans="1:14" ht="12" customHeight="1" x14ac:dyDescent="0.15">
      <c r="A796" s="110"/>
      <c r="B796" s="110"/>
      <c r="C796" s="110"/>
      <c r="D796" s="110"/>
      <c r="E796" s="110"/>
      <c r="F796" s="110"/>
      <c r="G796" s="110"/>
      <c r="H796" s="110"/>
      <c r="I796" s="110"/>
      <c r="J796" s="110"/>
      <c r="K796" s="110"/>
      <c r="L796" s="110"/>
      <c r="M796" s="110"/>
      <c r="N796" s="110"/>
    </row>
    <row r="797" spans="1:14" ht="12" customHeight="1" x14ac:dyDescent="0.15">
      <c r="A797" s="110"/>
      <c r="B797" s="110"/>
      <c r="C797" s="110"/>
      <c r="D797" s="110"/>
      <c r="E797" s="110"/>
      <c r="F797" s="110"/>
      <c r="G797" s="110"/>
      <c r="H797" s="110"/>
      <c r="I797" s="110"/>
      <c r="J797" s="110"/>
      <c r="K797" s="110"/>
      <c r="L797" s="110"/>
      <c r="M797" s="110"/>
      <c r="N797" s="110"/>
    </row>
    <row r="798" spans="1:14" ht="12" customHeight="1" x14ac:dyDescent="0.15">
      <c r="A798" s="110"/>
      <c r="B798" s="110"/>
      <c r="C798" s="110"/>
      <c r="D798" s="110"/>
      <c r="E798" s="110"/>
      <c r="F798" s="110"/>
      <c r="G798" s="110"/>
      <c r="H798" s="110"/>
      <c r="I798" s="110"/>
      <c r="J798" s="110"/>
      <c r="K798" s="110"/>
      <c r="L798" s="110"/>
      <c r="M798" s="110"/>
      <c r="N798" s="110"/>
    </row>
    <row r="799" spans="1:14" ht="12" customHeight="1" x14ac:dyDescent="0.15">
      <c r="A799" s="110"/>
      <c r="B799" s="110"/>
      <c r="C799" s="110"/>
      <c r="D799" s="110"/>
      <c r="E799" s="110"/>
      <c r="F799" s="110"/>
      <c r="G799" s="110"/>
      <c r="H799" s="110"/>
      <c r="I799" s="110"/>
      <c r="J799" s="110"/>
      <c r="K799" s="110"/>
      <c r="L799" s="110"/>
      <c r="M799" s="110"/>
      <c r="N799" s="110"/>
    </row>
    <row r="800" spans="1:14" ht="12" customHeight="1" x14ac:dyDescent="0.15">
      <c r="A800" s="110"/>
      <c r="B800" s="110"/>
      <c r="C800" s="110"/>
      <c r="D800" s="110"/>
      <c r="E800" s="110"/>
      <c r="F800" s="110"/>
      <c r="G800" s="110"/>
      <c r="H800" s="110"/>
      <c r="I800" s="110"/>
      <c r="J800" s="110"/>
      <c r="K800" s="110"/>
      <c r="L800" s="110"/>
      <c r="M800" s="110"/>
      <c r="N800" s="110"/>
    </row>
    <row r="801" spans="1:14" ht="12" customHeight="1" x14ac:dyDescent="0.15">
      <c r="A801" s="110"/>
      <c r="B801" s="110"/>
      <c r="C801" s="110"/>
      <c r="D801" s="110"/>
      <c r="E801" s="110"/>
      <c r="F801" s="110"/>
      <c r="G801" s="110"/>
      <c r="H801" s="110"/>
      <c r="I801" s="110"/>
      <c r="J801" s="110"/>
      <c r="K801" s="110"/>
      <c r="L801" s="110"/>
      <c r="M801" s="110"/>
      <c r="N801" s="110"/>
    </row>
    <row r="802" spans="1:14" ht="12" customHeight="1" x14ac:dyDescent="0.15">
      <c r="A802" s="110"/>
      <c r="B802" s="110"/>
      <c r="C802" s="110"/>
      <c r="D802" s="110"/>
      <c r="E802" s="110"/>
      <c r="F802" s="110"/>
      <c r="G802" s="110"/>
      <c r="H802" s="110"/>
      <c r="I802" s="110"/>
      <c r="J802" s="110"/>
      <c r="K802" s="110"/>
      <c r="L802" s="110"/>
      <c r="M802" s="110"/>
      <c r="N802" s="110"/>
    </row>
    <row r="803" spans="1:14" ht="12" customHeight="1" x14ac:dyDescent="0.15">
      <c r="A803" s="110"/>
      <c r="B803" s="110"/>
      <c r="C803" s="110"/>
      <c r="D803" s="110"/>
      <c r="E803" s="110"/>
      <c r="F803" s="110"/>
      <c r="G803" s="110"/>
      <c r="H803" s="110"/>
      <c r="I803" s="110"/>
      <c r="J803" s="110"/>
      <c r="K803" s="110"/>
      <c r="L803" s="110"/>
      <c r="M803" s="110"/>
      <c r="N803" s="110"/>
    </row>
    <row r="804" spans="1:14" ht="12" customHeight="1" x14ac:dyDescent="0.15">
      <c r="A804" s="110"/>
      <c r="B804" s="110"/>
      <c r="C804" s="110"/>
      <c r="D804" s="110"/>
      <c r="E804" s="110"/>
      <c r="F804" s="110"/>
      <c r="G804" s="110"/>
      <c r="H804" s="110"/>
      <c r="I804" s="110"/>
      <c r="J804" s="110"/>
      <c r="K804" s="110"/>
      <c r="L804" s="110"/>
      <c r="M804" s="110"/>
      <c r="N804" s="110"/>
    </row>
    <row r="805" spans="1:14" ht="12" customHeight="1" x14ac:dyDescent="0.15">
      <c r="A805" s="110"/>
      <c r="B805" s="110"/>
      <c r="C805" s="110"/>
      <c r="D805" s="110"/>
      <c r="E805" s="110"/>
      <c r="F805" s="110"/>
      <c r="G805" s="110"/>
      <c r="H805" s="110"/>
      <c r="I805" s="110"/>
      <c r="J805" s="110"/>
      <c r="K805" s="110"/>
      <c r="L805" s="110"/>
      <c r="M805" s="110"/>
      <c r="N805" s="110"/>
    </row>
    <row r="806" spans="1:14" ht="12" customHeight="1" x14ac:dyDescent="0.15">
      <c r="A806" s="110"/>
      <c r="B806" s="110"/>
      <c r="C806" s="110"/>
      <c r="D806" s="110"/>
      <c r="E806" s="110"/>
      <c r="F806" s="110"/>
      <c r="G806" s="110"/>
      <c r="H806" s="110"/>
      <c r="I806" s="110"/>
      <c r="J806" s="110"/>
      <c r="K806" s="110"/>
      <c r="L806" s="110"/>
      <c r="M806" s="110"/>
      <c r="N806" s="110"/>
    </row>
    <row r="807" spans="1:14" ht="12" customHeight="1" x14ac:dyDescent="0.15">
      <c r="A807" s="110"/>
      <c r="B807" s="110"/>
      <c r="C807" s="110"/>
      <c r="D807" s="110"/>
      <c r="E807" s="110"/>
      <c r="F807" s="110"/>
      <c r="G807" s="110"/>
      <c r="H807" s="110"/>
      <c r="I807" s="110"/>
      <c r="J807" s="110"/>
      <c r="K807" s="110"/>
      <c r="L807" s="110"/>
      <c r="M807" s="110"/>
      <c r="N807" s="110"/>
    </row>
    <row r="808" spans="1:14" ht="12" customHeight="1" x14ac:dyDescent="0.15">
      <c r="A808" s="110"/>
      <c r="B808" s="110"/>
      <c r="C808" s="110"/>
      <c r="D808" s="110"/>
      <c r="E808" s="110"/>
      <c r="F808" s="110"/>
      <c r="G808" s="110"/>
      <c r="H808" s="110"/>
      <c r="I808" s="110"/>
      <c r="J808" s="110"/>
      <c r="K808" s="110"/>
      <c r="L808" s="110"/>
      <c r="M808" s="110"/>
      <c r="N808" s="110"/>
    </row>
    <row r="809" spans="1:14" ht="12" customHeight="1" x14ac:dyDescent="0.15">
      <c r="A809" s="110"/>
      <c r="B809" s="110"/>
      <c r="C809" s="110"/>
      <c r="D809" s="110"/>
      <c r="E809" s="110"/>
      <c r="F809" s="110"/>
      <c r="G809" s="110"/>
      <c r="H809" s="110"/>
      <c r="I809" s="110"/>
      <c r="J809" s="110"/>
      <c r="K809" s="110"/>
      <c r="L809" s="110"/>
      <c r="M809" s="110"/>
      <c r="N809" s="110"/>
    </row>
    <row r="810" spans="1:14" ht="12" customHeight="1" x14ac:dyDescent="0.15">
      <c r="A810" s="110"/>
      <c r="B810" s="110"/>
      <c r="C810" s="110"/>
      <c r="D810" s="110"/>
      <c r="E810" s="110"/>
      <c r="F810" s="110"/>
      <c r="G810" s="110"/>
      <c r="H810" s="110"/>
      <c r="I810" s="110"/>
      <c r="J810" s="110"/>
      <c r="K810" s="110"/>
      <c r="L810" s="110"/>
      <c r="M810" s="110"/>
      <c r="N810" s="110"/>
    </row>
    <row r="811" spans="1:14" ht="12" customHeight="1" x14ac:dyDescent="0.15">
      <c r="A811" s="110"/>
      <c r="B811" s="110"/>
      <c r="C811" s="110"/>
      <c r="D811" s="110"/>
      <c r="E811" s="110"/>
      <c r="F811" s="110"/>
      <c r="G811" s="110"/>
      <c r="H811" s="110"/>
      <c r="I811" s="110"/>
      <c r="J811" s="110"/>
      <c r="K811" s="110"/>
      <c r="L811" s="110"/>
      <c r="M811" s="110"/>
      <c r="N811" s="110"/>
    </row>
    <row r="812" spans="1:14" ht="12" customHeight="1" x14ac:dyDescent="0.15">
      <c r="A812" s="110"/>
      <c r="B812" s="110"/>
      <c r="C812" s="110"/>
      <c r="D812" s="110"/>
      <c r="E812" s="110"/>
      <c r="F812" s="110"/>
      <c r="G812" s="110"/>
      <c r="H812" s="110"/>
      <c r="I812" s="110"/>
      <c r="J812" s="110"/>
      <c r="K812" s="110"/>
      <c r="L812" s="110"/>
      <c r="M812" s="110"/>
      <c r="N812" s="110"/>
    </row>
    <row r="813" spans="1:14" ht="12" customHeight="1" x14ac:dyDescent="0.15">
      <c r="A813" s="110"/>
      <c r="B813" s="110"/>
      <c r="C813" s="110"/>
      <c r="D813" s="110"/>
      <c r="E813" s="110"/>
      <c r="F813" s="110"/>
      <c r="G813" s="110"/>
      <c r="H813" s="110"/>
      <c r="I813" s="110"/>
      <c r="J813" s="110"/>
      <c r="K813" s="110"/>
      <c r="L813" s="110"/>
      <c r="M813" s="110"/>
      <c r="N813" s="110"/>
    </row>
    <row r="814" spans="1:14" ht="12" customHeight="1" x14ac:dyDescent="0.15">
      <c r="A814" s="110"/>
      <c r="B814" s="110"/>
      <c r="C814" s="110"/>
      <c r="D814" s="110"/>
      <c r="E814" s="110"/>
      <c r="F814" s="110"/>
      <c r="G814" s="110"/>
      <c r="H814" s="110"/>
      <c r="I814" s="110"/>
      <c r="J814" s="110"/>
      <c r="K814" s="110"/>
      <c r="L814" s="110"/>
      <c r="M814" s="110"/>
      <c r="N814" s="110"/>
    </row>
    <row r="815" spans="1:14" ht="12" customHeight="1" x14ac:dyDescent="0.15">
      <c r="A815" s="110"/>
      <c r="B815" s="110"/>
      <c r="C815" s="110"/>
      <c r="D815" s="110"/>
      <c r="E815" s="110"/>
      <c r="F815" s="110"/>
      <c r="G815" s="110"/>
      <c r="H815" s="110"/>
      <c r="I815" s="110"/>
      <c r="J815" s="110"/>
      <c r="K815" s="110"/>
      <c r="L815" s="110"/>
      <c r="M815" s="110"/>
      <c r="N815" s="110"/>
    </row>
    <row r="816" spans="1:14" ht="12" customHeight="1" x14ac:dyDescent="0.15">
      <c r="A816" s="110"/>
      <c r="B816" s="110"/>
      <c r="C816" s="110"/>
      <c r="D816" s="110"/>
      <c r="E816" s="110"/>
      <c r="F816" s="110"/>
      <c r="G816" s="110"/>
      <c r="H816" s="110"/>
      <c r="I816" s="110"/>
      <c r="J816" s="110"/>
      <c r="K816" s="110"/>
      <c r="L816" s="110"/>
      <c r="M816" s="110"/>
      <c r="N816" s="110"/>
    </row>
    <row r="817" spans="1:14" ht="12" customHeight="1" x14ac:dyDescent="0.15">
      <c r="A817" s="110"/>
      <c r="B817" s="110"/>
      <c r="C817" s="110"/>
      <c r="D817" s="110"/>
      <c r="E817" s="110"/>
      <c r="F817" s="110"/>
      <c r="G817" s="110"/>
      <c r="H817" s="110"/>
      <c r="I817" s="110"/>
      <c r="J817" s="110"/>
      <c r="K817" s="110"/>
      <c r="L817" s="110"/>
      <c r="M817" s="110"/>
      <c r="N817" s="110"/>
    </row>
    <row r="818" spans="1:14" ht="12" customHeight="1" x14ac:dyDescent="0.15">
      <c r="A818" s="110"/>
      <c r="B818" s="110"/>
      <c r="C818" s="110"/>
      <c r="D818" s="110"/>
      <c r="E818" s="110"/>
      <c r="F818" s="110"/>
      <c r="G818" s="110"/>
      <c r="H818" s="110"/>
      <c r="I818" s="110"/>
      <c r="J818" s="110"/>
      <c r="K818" s="110"/>
      <c r="L818" s="110"/>
      <c r="M818" s="110"/>
      <c r="N818" s="110"/>
    </row>
    <row r="819" spans="1:14" ht="12" customHeight="1" x14ac:dyDescent="0.15">
      <c r="A819" s="110"/>
      <c r="B819" s="110"/>
      <c r="C819" s="110"/>
      <c r="D819" s="110"/>
      <c r="E819" s="110"/>
      <c r="F819" s="110"/>
      <c r="G819" s="110"/>
      <c r="H819" s="110"/>
      <c r="I819" s="110"/>
      <c r="J819" s="110"/>
      <c r="K819" s="110"/>
      <c r="L819" s="110"/>
      <c r="M819" s="110"/>
      <c r="N819" s="110"/>
    </row>
    <row r="820" spans="1:14" ht="12" customHeight="1" x14ac:dyDescent="0.15">
      <c r="A820" s="110"/>
      <c r="B820" s="110"/>
      <c r="C820" s="110"/>
      <c r="D820" s="110"/>
      <c r="E820" s="110"/>
      <c r="F820" s="110"/>
      <c r="G820" s="110"/>
      <c r="H820" s="110"/>
      <c r="I820" s="110"/>
      <c r="J820" s="110"/>
      <c r="K820" s="110"/>
      <c r="L820" s="110"/>
      <c r="M820" s="110"/>
      <c r="N820" s="110"/>
    </row>
    <row r="821" spans="1:14" ht="12" customHeight="1" x14ac:dyDescent="0.15">
      <c r="A821" s="110"/>
      <c r="B821" s="110"/>
      <c r="C821" s="110"/>
      <c r="D821" s="110"/>
      <c r="E821" s="110"/>
      <c r="F821" s="110"/>
      <c r="G821" s="110"/>
      <c r="H821" s="110"/>
      <c r="I821" s="110"/>
      <c r="J821" s="110"/>
      <c r="K821" s="110"/>
      <c r="L821" s="110"/>
      <c r="M821" s="110"/>
      <c r="N821" s="110"/>
    </row>
    <row r="822" spans="1:14" ht="12" customHeight="1" x14ac:dyDescent="0.15">
      <c r="A822" s="110"/>
      <c r="B822" s="110"/>
      <c r="C822" s="110"/>
      <c r="D822" s="110"/>
      <c r="E822" s="110"/>
      <c r="F822" s="110"/>
      <c r="G822" s="110"/>
      <c r="H822" s="110"/>
      <c r="I822" s="110"/>
      <c r="J822" s="110"/>
      <c r="K822" s="110"/>
      <c r="L822" s="110"/>
      <c r="M822" s="110"/>
      <c r="N822" s="110"/>
    </row>
    <row r="823" spans="1:14" ht="12" customHeight="1" x14ac:dyDescent="0.15">
      <c r="A823" s="110"/>
      <c r="B823" s="110"/>
      <c r="C823" s="110"/>
      <c r="D823" s="110"/>
      <c r="E823" s="110"/>
      <c r="F823" s="110"/>
      <c r="G823" s="110"/>
      <c r="H823" s="110"/>
      <c r="I823" s="110"/>
      <c r="J823" s="110"/>
      <c r="K823" s="110"/>
      <c r="L823" s="110"/>
      <c r="M823" s="110"/>
      <c r="N823" s="110"/>
    </row>
    <row r="824" spans="1:14" ht="12" customHeight="1" x14ac:dyDescent="0.15">
      <c r="A824" s="110"/>
      <c r="B824" s="110"/>
      <c r="C824" s="110"/>
      <c r="D824" s="110"/>
      <c r="E824" s="110"/>
      <c r="F824" s="110"/>
      <c r="G824" s="110"/>
      <c r="H824" s="110"/>
      <c r="I824" s="110"/>
      <c r="J824" s="110"/>
      <c r="K824" s="110"/>
      <c r="L824" s="110"/>
      <c r="M824" s="110"/>
      <c r="N824" s="110"/>
    </row>
    <row r="825" spans="1:14" ht="12" customHeight="1" x14ac:dyDescent="0.15">
      <c r="A825" s="110"/>
      <c r="B825" s="110"/>
      <c r="C825" s="110"/>
      <c r="D825" s="110"/>
      <c r="E825" s="110"/>
      <c r="F825" s="110"/>
      <c r="G825" s="110"/>
      <c r="H825" s="110"/>
      <c r="I825" s="110"/>
      <c r="J825" s="110"/>
      <c r="K825" s="110"/>
      <c r="L825" s="110"/>
      <c r="M825" s="110"/>
      <c r="N825" s="110"/>
    </row>
    <row r="826" spans="1:14" ht="12" customHeight="1" x14ac:dyDescent="0.15">
      <c r="A826" s="110"/>
      <c r="B826" s="110"/>
      <c r="C826" s="110"/>
      <c r="D826" s="110"/>
      <c r="E826" s="110"/>
      <c r="F826" s="110"/>
      <c r="G826" s="110"/>
      <c r="H826" s="110"/>
      <c r="I826" s="110"/>
      <c r="J826" s="110"/>
      <c r="K826" s="110"/>
      <c r="L826" s="110"/>
      <c r="M826" s="110"/>
      <c r="N826" s="110"/>
    </row>
    <row r="827" spans="1:14" ht="12" customHeight="1" x14ac:dyDescent="0.15">
      <c r="A827" s="110"/>
      <c r="B827" s="110"/>
      <c r="C827" s="110"/>
      <c r="D827" s="110"/>
      <c r="E827" s="110"/>
      <c r="F827" s="110"/>
      <c r="G827" s="110"/>
      <c r="H827" s="110"/>
      <c r="I827" s="110"/>
      <c r="J827" s="110"/>
      <c r="K827" s="110"/>
      <c r="L827" s="110"/>
      <c r="M827" s="110"/>
      <c r="N827" s="110"/>
    </row>
    <row r="828" spans="1:14" ht="12" customHeight="1" x14ac:dyDescent="0.15">
      <c r="A828" s="110"/>
      <c r="B828" s="110"/>
      <c r="C828" s="110"/>
      <c r="D828" s="110"/>
      <c r="E828" s="110"/>
      <c r="F828" s="110"/>
      <c r="G828" s="110"/>
      <c r="H828" s="110"/>
      <c r="I828" s="110"/>
      <c r="J828" s="110"/>
      <c r="K828" s="110"/>
      <c r="L828" s="110"/>
      <c r="M828" s="110"/>
      <c r="N828" s="110"/>
    </row>
    <row r="829" spans="1:14" ht="12" customHeight="1" x14ac:dyDescent="0.15">
      <c r="A829" s="110"/>
      <c r="B829" s="110"/>
      <c r="C829" s="110"/>
      <c r="D829" s="110"/>
      <c r="E829" s="110"/>
      <c r="F829" s="110"/>
      <c r="G829" s="110"/>
      <c r="H829" s="110"/>
      <c r="I829" s="110"/>
      <c r="J829" s="110"/>
      <c r="K829" s="110"/>
      <c r="L829" s="110"/>
      <c r="M829" s="110"/>
      <c r="N829" s="110"/>
    </row>
    <row r="830" spans="1:14" ht="12" customHeight="1" x14ac:dyDescent="0.15">
      <c r="A830" s="110"/>
      <c r="B830" s="110"/>
      <c r="C830" s="110"/>
      <c r="D830" s="110"/>
      <c r="E830" s="110"/>
      <c r="F830" s="110"/>
      <c r="G830" s="110"/>
      <c r="H830" s="110"/>
      <c r="I830" s="110"/>
      <c r="J830" s="110"/>
      <c r="K830" s="110"/>
      <c r="L830" s="110"/>
      <c r="M830" s="110"/>
      <c r="N830" s="110"/>
    </row>
    <row r="831" spans="1:14" ht="12" customHeight="1" x14ac:dyDescent="0.15">
      <c r="A831" s="110"/>
      <c r="B831" s="110"/>
      <c r="C831" s="110"/>
      <c r="D831" s="110"/>
      <c r="E831" s="110"/>
      <c r="F831" s="110"/>
      <c r="G831" s="110"/>
      <c r="H831" s="110"/>
      <c r="I831" s="110"/>
      <c r="J831" s="110"/>
      <c r="K831" s="110"/>
      <c r="L831" s="110"/>
      <c r="M831" s="110"/>
      <c r="N831" s="110"/>
    </row>
    <row r="832" spans="1:14" ht="12" customHeight="1" x14ac:dyDescent="0.15">
      <c r="A832" s="110"/>
      <c r="B832" s="110"/>
      <c r="C832" s="110"/>
      <c r="D832" s="110"/>
      <c r="E832" s="110"/>
      <c r="F832" s="110"/>
      <c r="G832" s="110"/>
      <c r="H832" s="110"/>
      <c r="I832" s="110"/>
      <c r="J832" s="110"/>
      <c r="K832" s="110"/>
      <c r="L832" s="110"/>
      <c r="M832" s="110"/>
      <c r="N832" s="110"/>
    </row>
    <row r="833" spans="1:14" ht="12" customHeight="1" x14ac:dyDescent="0.15">
      <c r="A833" s="110"/>
      <c r="B833" s="110"/>
      <c r="C833" s="110"/>
      <c r="D833" s="110"/>
      <c r="E833" s="110"/>
      <c r="F833" s="110"/>
      <c r="G833" s="110"/>
      <c r="H833" s="110"/>
      <c r="I833" s="110"/>
      <c r="J833" s="110"/>
      <c r="K833" s="110"/>
      <c r="L833" s="110"/>
      <c r="M833" s="110"/>
      <c r="N833" s="110"/>
    </row>
    <row r="834" spans="1:14" ht="12" customHeight="1" x14ac:dyDescent="0.15">
      <c r="A834" s="110"/>
      <c r="B834" s="110"/>
      <c r="C834" s="110"/>
      <c r="D834" s="110"/>
      <c r="E834" s="110"/>
      <c r="F834" s="110"/>
      <c r="G834" s="110"/>
      <c r="H834" s="110"/>
      <c r="I834" s="110"/>
      <c r="J834" s="110"/>
      <c r="K834" s="110"/>
      <c r="L834" s="110"/>
      <c r="M834" s="110"/>
      <c r="N834" s="110"/>
    </row>
    <row r="835" spans="1:14" ht="12" customHeight="1" x14ac:dyDescent="0.15">
      <c r="A835" s="110"/>
      <c r="B835" s="110"/>
      <c r="C835" s="110"/>
      <c r="D835" s="110"/>
      <c r="E835" s="110"/>
      <c r="F835" s="110"/>
      <c r="G835" s="110"/>
      <c r="H835" s="110"/>
      <c r="I835" s="110"/>
      <c r="J835" s="110"/>
      <c r="K835" s="110"/>
      <c r="L835" s="110"/>
      <c r="M835" s="110"/>
      <c r="N835" s="110"/>
    </row>
    <row r="836" spans="1:14" ht="12" customHeight="1" x14ac:dyDescent="0.15">
      <c r="A836" s="110"/>
      <c r="B836" s="110"/>
      <c r="C836" s="110"/>
      <c r="D836" s="110"/>
      <c r="E836" s="110"/>
      <c r="F836" s="110"/>
      <c r="G836" s="110"/>
      <c r="H836" s="110"/>
      <c r="I836" s="110"/>
      <c r="J836" s="110"/>
      <c r="K836" s="110"/>
      <c r="L836" s="110"/>
      <c r="M836" s="110"/>
      <c r="N836" s="110"/>
    </row>
    <row r="837" spans="1:14" ht="12" customHeight="1" x14ac:dyDescent="0.15">
      <c r="A837" s="110"/>
      <c r="B837" s="110"/>
      <c r="C837" s="110"/>
      <c r="D837" s="110"/>
      <c r="E837" s="110"/>
      <c r="F837" s="110"/>
      <c r="G837" s="110"/>
      <c r="H837" s="110"/>
      <c r="I837" s="110"/>
      <c r="J837" s="110"/>
      <c r="K837" s="110"/>
      <c r="L837" s="110"/>
      <c r="M837" s="110"/>
      <c r="N837" s="110"/>
    </row>
    <row r="838" spans="1:14" ht="12" customHeight="1" x14ac:dyDescent="0.15">
      <c r="A838" s="110"/>
      <c r="B838" s="110"/>
      <c r="C838" s="110"/>
      <c r="D838" s="110"/>
      <c r="E838" s="110"/>
      <c r="F838" s="110"/>
      <c r="G838" s="110"/>
      <c r="H838" s="110"/>
      <c r="I838" s="110"/>
      <c r="J838" s="110"/>
      <c r="K838" s="110"/>
      <c r="L838" s="110"/>
      <c r="M838" s="110"/>
      <c r="N838" s="110"/>
    </row>
    <row r="839" spans="1:14" ht="12" customHeight="1" x14ac:dyDescent="0.15">
      <c r="A839" s="110"/>
      <c r="B839" s="110"/>
      <c r="C839" s="110"/>
      <c r="D839" s="110"/>
      <c r="E839" s="110"/>
      <c r="F839" s="110"/>
      <c r="G839" s="110"/>
      <c r="H839" s="110"/>
      <c r="I839" s="110"/>
      <c r="J839" s="110"/>
      <c r="K839" s="110"/>
      <c r="L839" s="110"/>
      <c r="M839" s="110"/>
      <c r="N839" s="110"/>
    </row>
    <row r="840" spans="1:14" ht="12" customHeight="1" x14ac:dyDescent="0.15">
      <c r="A840" s="110"/>
      <c r="B840" s="110"/>
      <c r="C840" s="110"/>
      <c r="D840" s="110"/>
      <c r="E840" s="110"/>
      <c r="F840" s="110"/>
      <c r="G840" s="110"/>
      <c r="H840" s="110"/>
      <c r="I840" s="110"/>
      <c r="J840" s="110"/>
      <c r="K840" s="110"/>
      <c r="L840" s="110"/>
      <c r="M840" s="110"/>
      <c r="N840" s="110"/>
    </row>
    <row r="841" spans="1:14" ht="12" customHeight="1" x14ac:dyDescent="0.15">
      <c r="A841" s="110"/>
      <c r="B841" s="110"/>
      <c r="C841" s="110"/>
      <c r="D841" s="110"/>
      <c r="E841" s="110"/>
      <c r="F841" s="110"/>
      <c r="G841" s="110"/>
      <c r="H841" s="110"/>
      <c r="I841" s="110"/>
      <c r="J841" s="110"/>
      <c r="K841" s="110"/>
      <c r="L841" s="110"/>
      <c r="M841" s="110"/>
      <c r="N841" s="110"/>
    </row>
    <row r="842" spans="1:14" ht="12" customHeight="1" x14ac:dyDescent="0.15">
      <c r="A842" s="110"/>
      <c r="B842" s="110"/>
      <c r="C842" s="110"/>
      <c r="D842" s="110"/>
      <c r="E842" s="110"/>
      <c r="F842" s="110"/>
      <c r="G842" s="110"/>
      <c r="H842" s="110"/>
      <c r="I842" s="110"/>
      <c r="J842" s="110"/>
      <c r="K842" s="110"/>
      <c r="L842" s="110"/>
      <c r="M842" s="110"/>
      <c r="N842" s="110"/>
    </row>
    <row r="843" spans="1:14" ht="12" customHeight="1" x14ac:dyDescent="0.15">
      <c r="A843" s="110"/>
      <c r="B843" s="110"/>
      <c r="C843" s="110"/>
      <c r="D843" s="110"/>
      <c r="E843" s="110"/>
      <c r="F843" s="110"/>
      <c r="G843" s="110"/>
      <c r="H843" s="110"/>
      <c r="I843" s="110"/>
      <c r="J843" s="110"/>
      <c r="K843" s="110"/>
      <c r="L843" s="110"/>
      <c r="M843" s="110"/>
      <c r="N843" s="110"/>
    </row>
    <row r="844" spans="1:14" ht="12" customHeight="1" x14ac:dyDescent="0.15">
      <c r="A844" s="110"/>
      <c r="B844" s="110"/>
      <c r="C844" s="110"/>
      <c r="D844" s="110"/>
      <c r="E844" s="110"/>
      <c r="F844" s="110"/>
      <c r="G844" s="110"/>
      <c r="H844" s="110"/>
      <c r="I844" s="110"/>
      <c r="J844" s="110"/>
      <c r="K844" s="110"/>
      <c r="L844" s="110"/>
      <c r="M844" s="110"/>
      <c r="N844" s="110"/>
    </row>
    <row r="845" spans="1:14" ht="12" customHeight="1" x14ac:dyDescent="0.15">
      <c r="A845" s="110"/>
      <c r="B845" s="110"/>
      <c r="C845" s="110"/>
      <c r="D845" s="110"/>
      <c r="E845" s="110"/>
      <c r="F845" s="110"/>
      <c r="G845" s="110"/>
      <c r="H845" s="110"/>
      <c r="I845" s="110"/>
      <c r="J845" s="110"/>
      <c r="K845" s="110"/>
      <c r="L845" s="110"/>
      <c r="M845" s="110"/>
      <c r="N845" s="110"/>
    </row>
    <row r="846" spans="1:14" ht="12" customHeight="1" x14ac:dyDescent="0.15">
      <c r="A846" s="110"/>
      <c r="B846" s="110"/>
      <c r="C846" s="110"/>
      <c r="D846" s="110"/>
      <c r="E846" s="110"/>
      <c r="F846" s="110"/>
      <c r="G846" s="110"/>
      <c r="H846" s="110"/>
      <c r="I846" s="110"/>
      <c r="J846" s="110"/>
      <c r="K846" s="110"/>
      <c r="L846" s="110"/>
      <c r="M846" s="110"/>
      <c r="N846" s="110"/>
    </row>
    <row r="847" spans="1:14" ht="12" customHeight="1" x14ac:dyDescent="0.15">
      <c r="A847" s="110"/>
      <c r="B847" s="110"/>
      <c r="C847" s="110"/>
      <c r="D847" s="110"/>
      <c r="E847" s="110"/>
      <c r="F847" s="110"/>
      <c r="G847" s="110"/>
      <c r="H847" s="110"/>
      <c r="I847" s="110"/>
      <c r="J847" s="110"/>
      <c r="K847" s="110"/>
      <c r="L847" s="110"/>
      <c r="M847" s="110"/>
      <c r="N847" s="110"/>
    </row>
    <row r="848" spans="1:14" ht="12" customHeight="1" x14ac:dyDescent="0.15">
      <c r="A848" s="110"/>
      <c r="B848" s="110"/>
      <c r="C848" s="110"/>
      <c r="D848" s="110"/>
      <c r="E848" s="110"/>
      <c r="F848" s="110"/>
      <c r="G848" s="110"/>
      <c r="H848" s="110"/>
      <c r="I848" s="110"/>
      <c r="J848" s="110"/>
      <c r="K848" s="110"/>
      <c r="L848" s="110"/>
      <c r="M848" s="110"/>
      <c r="N848" s="110"/>
    </row>
  </sheetData>
  <mergeCells count="38">
    <mergeCell ref="D11:K11"/>
    <mergeCell ref="G33:L33"/>
    <mergeCell ref="G34:L34"/>
    <mergeCell ref="G59:L59"/>
    <mergeCell ref="D43:H43"/>
    <mergeCell ref="I43:L43"/>
    <mergeCell ref="D44:D45"/>
    <mergeCell ref="E44:E45"/>
    <mergeCell ref="F44:H44"/>
    <mergeCell ref="I44:J44"/>
    <mergeCell ref="K44:L44"/>
    <mergeCell ref="I18:J18"/>
    <mergeCell ref="D14:J14"/>
    <mergeCell ref="D15:J15"/>
    <mergeCell ref="I17:L17"/>
    <mergeCell ref="D23:H23"/>
    <mergeCell ref="G60:L60"/>
    <mergeCell ref="D39:J39"/>
    <mergeCell ref="D40:J40"/>
    <mergeCell ref="D41:L41"/>
    <mergeCell ref="I24:J24"/>
    <mergeCell ref="F50:H50"/>
    <mergeCell ref="K50:L50"/>
    <mergeCell ref="D49:H49"/>
    <mergeCell ref="I49:L49"/>
    <mergeCell ref="D50:D51"/>
    <mergeCell ref="E50:E51"/>
    <mergeCell ref="I50:J50"/>
    <mergeCell ref="K24:L24"/>
    <mergeCell ref="F24:H24"/>
    <mergeCell ref="D24:D25"/>
    <mergeCell ref="E24:E25"/>
    <mergeCell ref="I23:L23"/>
    <mergeCell ref="D17:H17"/>
    <mergeCell ref="K18:L18"/>
    <mergeCell ref="D18:D19"/>
    <mergeCell ref="E18:E19"/>
    <mergeCell ref="F18:H18"/>
  </mergeCells>
  <hyperlinks>
    <hyperlink ref="H6" r:id="rId1" xr:uid="{F582F8BB-9F4E-4656-B2DD-0EC84BF05FBF}"/>
  </hyperlinks>
  <pageMargins left="0.7" right="0.7" top="0.75" bottom="0.75" header="0.3" footer="0.3"/>
  <drawing r:id="rId2"/>
  <extLst>
    <ext xmlns:x14="http://schemas.microsoft.com/office/spreadsheetml/2009/9/main" uri="{CCE6A557-97BC-4b89-ADB6-D9C93CAAB3DF}">
      <x14:dataValidations xmlns:xm="http://schemas.microsoft.com/office/excel/2006/main" count="3">
        <x14:dataValidation type="list" allowBlank="1" showErrorMessage="1" xr:uid="{5A83AB4D-2A02-4795-BCB3-F17E494C4082}">
          <x14:formula1>
            <xm:f>Lists!$F$2:$F$5</xm:f>
          </x14:formula1>
          <xm:sqref>E26:E29 E52:E55</xm:sqref>
        </x14:dataValidation>
        <x14:dataValidation type="list" allowBlank="1" showInputMessage="1" showErrorMessage="1" xr:uid="{114C2DDF-D8E5-4FAA-908D-1AA341A75C83}">
          <x14:formula1>
            <xm:f>Lists!$B$2:$B$3</xm:f>
          </x14:formula1>
          <xm:sqref>D26:D29</xm:sqref>
        </x14:dataValidation>
        <x14:dataValidation type="list" allowBlank="1" showInputMessage="1" showErrorMessage="1" xr:uid="{A9B4A7C7-83D9-4BB1-9914-E32AADDDAA16}">
          <x14:formula1>
            <xm:f>Lists!$B$4:$B$7</xm:f>
          </x14:formula1>
          <xm:sqref>D52:D55</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68DD18-63CB-4CA7-8FD7-568CE70C8CE3}">
  <sheetPr codeName="Sheet6">
    <tabColor theme="0" tint="-0.249977111117893"/>
  </sheetPr>
  <dimension ref="A1:AI172"/>
  <sheetViews>
    <sheetView showGridLines="0" zoomScaleNormal="100" workbookViewId="0">
      <pane xSplit="3" ySplit="2" topLeftCell="P28" activePane="bottomRight" state="frozen"/>
      <selection activeCell="H9" sqref="H9"/>
      <selection pane="topRight" activeCell="H9" sqref="H9"/>
      <selection pane="bottomLeft" activeCell="H9" sqref="H9"/>
      <selection pane="bottomRight"/>
    </sheetView>
  </sheetViews>
  <sheetFormatPr baseColWidth="10" defaultColWidth="9.1640625" defaultRowHeight="13" x14ac:dyDescent="0.15"/>
  <cols>
    <col min="1" max="1" width="18.5" customWidth="1"/>
    <col min="2" max="2" width="52.6640625" customWidth="1"/>
    <col min="3" max="4" width="20.5" customWidth="1"/>
    <col min="5" max="6" width="13.5" style="2" hidden="1" customWidth="1"/>
    <col min="7" max="19" width="13.5" style="2" customWidth="1"/>
    <col min="20" max="20" width="15.83203125" style="2" bestFit="1" customWidth="1"/>
    <col min="21" max="34" width="15.83203125" style="2" customWidth="1"/>
    <col min="35" max="35" width="12.83203125" style="2" customWidth="1"/>
  </cols>
  <sheetData>
    <row r="1" spans="1:35" s="1" customFormat="1" x14ac:dyDescent="0.15">
      <c r="A1" s="1" t="s">
        <v>14</v>
      </c>
      <c r="B1" s="1" t="s">
        <v>16</v>
      </c>
      <c r="C1" s="1" t="s">
        <v>4</v>
      </c>
      <c r="G1" s="1">
        <v>2022</v>
      </c>
      <c r="H1" s="1">
        <v>2023</v>
      </c>
      <c r="I1" s="1">
        <v>2024</v>
      </c>
      <c r="J1" s="1">
        <v>2025</v>
      </c>
      <c r="K1" s="1">
        <v>2026</v>
      </c>
      <c r="L1" s="1">
        <v>2027</v>
      </c>
      <c r="M1" s="1">
        <v>2028</v>
      </c>
      <c r="N1" s="1">
        <v>2029</v>
      </c>
      <c r="O1" s="1">
        <v>2030</v>
      </c>
      <c r="P1" s="1">
        <v>2031</v>
      </c>
      <c r="Q1" s="1">
        <v>2032</v>
      </c>
      <c r="R1" s="1">
        <v>2033</v>
      </c>
      <c r="S1" s="1">
        <v>2034</v>
      </c>
      <c r="T1" s="1">
        <v>2035</v>
      </c>
      <c r="U1" s="1">
        <v>2036</v>
      </c>
      <c r="V1" s="1">
        <v>2037</v>
      </c>
      <c r="W1" s="1">
        <v>2038</v>
      </c>
      <c r="X1" s="1">
        <v>2039</v>
      </c>
      <c r="Y1" s="1">
        <v>2040</v>
      </c>
      <c r="Z1" s="1">
        <v>2041</v>
      </c>
      <c r="AA1" s="1">
        <v>2042</v>
      </c>
      <c r="AB1" s="1">
        <v>2043</v>
      </c>
      <c r="AC1" s="1">
        <v>2044</v>
      </c>
      <c r="AD1" s="1">
        <v>2045</v>
      </c>
      <c r="AE1" s="1">
        <v>2046</v>
      </c>
      <c r="AF1" s="1">
        <v>2047</v>
      </c>
      <c r="AG1" s="1">
        <v>2048</v>
      </c>
      <c r="AH1" s="1">
        <v>2049</v>
      </c>
      <c r="AI1" s="1">
        <v>2050</v>
      </c>
    </row>
    <row r="2" spans="1:35" x14ac:dyDescent="0.15">
      <c r="A2" s="1"/>
      <c r="E2"/>
      <c r="F2"/>
      <c r="G2"/>
      <c r="H2"/>
      <c r="I2"/>
      <c r="J2"/>
      <c r="K2"/>
      <c r="L2"/>
      <c r="M2"/>
      <c r="N2"/>
      <c r="O2"/>
      <c r="P2"/>
      <c r="Q2"/>
      <c r="R2"/>
      <c r="S2"/>
      <c r="T2"/>
      <c r="U2"/>
      <c r="V2"/>
      <c r="W2"/>
      <c r="X2"/>
      <c r="Y2"/>
      <c r="Z2"/>
      <c r="AA2"/>
      <c r="AB2"/>
      <c r="AC2"/>
      <c r="AD2"/>
      <c r="AE2"/>
      <c r="AF2"/>
      <c r="AG2"/>
      <c r="AH2"/>
      <c r="AI2"/>
    </row>
    <row r="3" spans="1:35" s="178" customFormat="1" ht="23" hidden="1" x14ac:dyDescent="0.25">
      <c r="A3" s="177" t="s">
        <v>345</v>
      </c>
      <c r="E3" s="179"/>
      <c r="F3" s="179"/>
      <c r="G3" s="179"/>
      <c r="H3" s="179"/>
      <c r="I3" s="179"/>
      <c r="J3" s="179"/>
      <c r="K3" s="179"/>
      <c r="L3" s="179"/>
      <c r="M3" s="179"/>
      <c r="N3" s="179"/>
      <c r="O3" s="179"/>
      <c r="P3" s="179"/>
      <c r="Q3" s="179"/>
      <c r="R3" s="179"/>
      <c r="S3" s="179"/>
      <c r="T3" s="179"/>
      <c r="U3" s="179"/>
      <c r="V3" s="179"/>
      <c r="W3" s="179"/>
      <c r="X3" s="179"/>
      <c r="Y3" s="179"/>
      <c r="Z3" s="179"/>
      <c r="AA3" s="179"/>
      <c r="AB3" s="179"/>
      <c r="AC3" s="179"/>
      <c r="AD3" s="179"/>
      <c r="AE3" s="179"/>
      <c r="AF3" s="179"/>
      <c r="AG3" s="179"/>
      <c r="AH3" s="179"/>
      <c r="AI3" s="179"/>
    </row>
    <row r="4" spans="1:35" s="2" customFormat="1" hidden="1" x14ac:dyDescent="0.15">
      <c r="A4" s="1" t="s">
        <v>309</v>
      </c>
      <c r="B4"/>
      <c r="C4"/>
      <c r="D4"/>
    </row>
    <row r="5" spans="1:35" s="2" customFormat="1" hidden="1" x14ac:dyDescent="0.15">
      <c r="A5"/>
      <c r="B5" t="s">
        <v>30</v>
      </c>
      <c r="C5"/>
      <c r="D5" s="1"/>
      <c r="E5" s="1" t="e">
        <f>IF(AND(E$1&gt;=Automakers!$D$24,E$1&lt;=2040),IF(E$1=Automakers!$D$24,Automakers!$D$24,E$1),NA())</f>
        <v>#N/A</v>
      </c>
      <c r="F5" s="1" t="e">
        <f>IF(AND(F$1&gt;=Automakers!$D$24,F$1&lt;=2040),IF(F$1=Automakers!$D$24,Automakers!$D$24,F$1),NA())</f>
        <v>#N/A</v>
      </c>
      <c r="G5" s="1">
        <f>IF(AND(G$1&gt;=Automakers!$D$24,G$1&lt;=2040),IF(G$1=Automakers!$D$24,Automakers!$D$24,G$1),NA())</f>
        <v>2022</v>
      </c>
      <c r="H5" s="1">
        <f>IF(AND(H$1&gt;=Automakers!$D$24,H$1&lt;=2040),IF(H$1=Automakers!$D$24,Automakers!$D$24,H$1),NA())</f>
        <v>2023</v>
      </c>
      <c r="I5" s="1">
        <f>IF(AND(I$1&gt;=Automakers!$D$24,I$1&lt;=2040),IF(I$1=Automakers!$D$24,Automakers!$D$24,I$1),NA())</f>
        <v>2024</v>
      </c>
      <c r="J5" s="1">
        <f>IF(AND(J$1&gt;=Automakers!$D$24,J$1&lt;=2040),IF(J$1=Automakers!$D$24,Automakers!$D$24,J$1),NA())</f>
        <v>2025</v>
      </c>
      <c r="K5" s="1">
        <f>IF(AND(K$1&gt;=Automakers!$D$24,K$1&lt;=2040),IF(K$1=Automakers!$D$24,Automakers!$D$24,K$1),NA())</f>
        <v>2026</v>
      </c>
      <c r="L5" s="1">
        <f>IF(AND(L$1&gt;=Automakers!$D$24,L$1&lt;=2040),IF(L$1=Automakers!$D$24,Automakers!$D$24,L$1),NA())</f>
        <v>2027</v>
      </c>
      <c r="M5" s="1">
        <f>IF(AND(M$1&gt;=Automakers!$D$24,M$1&lt;=2040),IF(M$1=Automakers!$D$24,Automakers!$D$24,M$1),NA())</f>
        <v>2028</v>
      </c>
      <c r="N5" s="1">
        <f>IF(AND(N$1&gt;=Automakers!$D$24,N$1&lt;=2040),IF(N$1=Automakers!$D$24,Automakers!$D$24,N$1),NA())</f>
        <v>2029</v>
      </c>
      <c r="O5" s="1">
        <f>IF(AND(O$1&gt;=Automakers!$D$24,O$1&lt;=2040),IF(O$1=Automakers!$D$24,Automakers!$D$24,O$1),NA())</f>
        <v>2030</v>
      </c>
      <c r="P5" s="1">
        <f>IF(AND(P$1&gt;=Automakers!$D$24,P$1&lt;=2040),IF(P$1=Automakers!$D$24,Automakers!$D$24,P$1),NA())</f>
        <v>2031</v>
      </c>
      <c r="Q5" s="1">
        <f>IF(AND(Q$1&gt;=Automakers!$D$24,Q$1&lt;=2040),IF(Q$1=Automakers!$D$24,Automakers!$D$24,Q$1),NA())</f>
        <v>2032</v>
      </c>
      <c r="R5" s="1">
        <f>IF(AND(R$1&gt;=Automakers!$D$24,R$1&lt;=2040),IF(R$1=Automakers!$D$24,Automakers!$D$24,R$1),NA())</f>
        <v>2033</v>
      </c>
      <c r="S5" s="1">
        <f>IF(AND(S$1&gt;=Automakers!$D$24,S$1&lt;=2040),IF(S$1=Automakers!$D$24,Automakers!$D$24,S$1),NA())</f>
        <v>2034</v>
      </c>
      <c r="T5" s="1">
        <f>IF(AND(T$1&gt;=Automakers!$D$24,T$1&lt;=2040),IF(T$1=Automakers!$D$24,Automakers!$D$24,T$1),NA())</f>
        <v>2035</v>
      </c>
      <c r="U5" s="1">
        <f>IF(AND(U$1&gt;=Automakers!$D$24,U$1&lt;=2040),IF(U$1=Automakers!$D$24,Automakers!$D$24,U$1),NA())</f>
        <v>2036</v>
      </c>
      <c r="V5" s="1">
        <f>IF(AND(V$1&gt;=Automakers!$D$24,V$1&lt;=2040),IF(V$1=Automakers!$D$24,Automakers!$D$24,V$1),NA())</f>
        <v>2037</v>
      </c>
      <c r="W5" s="1">
        <f>IF(AND(W$1&gt;=Automakers!$D$24,W$1&lt;=2040),IF(W$1=Automakers!$D$24,Automakers!$D$24,W$1),NA())</f>
        <v>2038</v>
      </c>
      <c r="X5" s="1">
        <f>IF(AND(X$1&gt;=Automakers!$D$24,X$1&lt;=2040),IF(X$1=Automakers!$D$24,Automakers!$D$24,X$1),NA())</f>
        <v>2039</v>
      </c>
      <c r="Y5" s="1">
        <f>IF(AND(Y$1&gt;=Automakers!$D$24,Y$1&lt;=2040),IF(Y$1=Automakers!$D$24,Automakers!$D$24,Y$1),NA())</f>
        <v>2040</v>
      </c>
      <c r="Z5" s="1" t="e">
        <f>IF(AND(Z$1&gt;=Automakers!$D$24,Z$1&lt;=2040),IF(Z$1=Automakers!$D$24,Automakers!$D$24,Z$1),NA())</f>
        <v>#N/A</v>
      </c>
      <c r="AA5" s="1" t="e">
        <f>IF(AND(AA$1&gt;=Automakers!$D$24,AA$1&lt;=2040),IF(AA$1=Automakers!$D$24,Automakers!$D$24,AA$1),NA())</f>
        <v>#N/A</v>
      </c>
      <c r="AB5" s="1" t="e">
        <f>IF(AND(AB$1&gt;=Automakers!$D$24,AB$1&lt;=2040),IF(AB$1=Automakers!$D$24,Automakers!$D$24,AB$1),NA())</f>
        <v>#N/A</v>
      </c>
      <c r="AC5" s="1" t="e">
        <f>IF(AND(AC$1&gt;=Automakers!$D$24,AC$1&lt;=2040),IF(AC$1=Automakers!$D$24,Automakers!$D$24,AC$1),NA())</f>
        <v>#N/A</v>
      </c>
      <c r="AD5" s="1" t="e">
        <f>IF(AND(AD$1&gt;=Automakers!$D$24,AD$1&lt;=2040),IF(AD$1=Automakers!$D$24,Automakers!$D$24,AD$1),NA())</f>
        <v>#N/A</v>
      </c>
      <c r="AE5" s="1" t="e">
        <f>IF(AND(AE$1&gt;=Automakers!$D$24,AE$1&lt;=2040),IF(AE$1=Automakers!$D$24,Automakers!$D$24,AE$1),NA())</f>
        <v>#N/A</v>
      </c>
      <c r="AF5" s="1" t="e">
        <f>IF(AND(AF$1&gt;=Automakers!$D$24,AF$1&lt;=2040),IF(AF$1=Automakers!$D$24,Automakers!$D$24,AF$1),NA())</f>
        <v>#N/A</v>
      </c>
      <c r="AG5" s="1" t="e">
        <f>IF(AND(AG$1&gt;=Automakers!$D$24,AG$1&lt;=2040),IF(AG$1=Automakers!$D$24,Automakers!$D$24,AG$1),NA())</f>
        <v>#N/A</v>
      </c>
      <c r="AH5" s="1" t="e">
        <f>IF(AND(AH$1&gt;=Automakers!$D$24,AH$1&lt;=2040),IF(AH$1=Automakers!$D$24,Automakers!$D$24,AH$1),NA())</f>
        <v>#N/A</v>
      </c>
      <c r="AI5" s="1" t="e">
        <f>IF(AND(AI$1&gt;=Automakers!$D$24,AI$1&lt;=2040),IF(AI$1=Automakers!$D$24,Automakers!$D$24,AI$1),NA())</f>
        <v>#N/A</v>
      </c>
    </row>
    <row r="6" spans="1:35" s="2" customFormat="1" hidden="1" x14ac:dyDescent="0.15">
      <c r="A6"/>
      <c r="B6" t="s">
        <v>283</v>
      </c>
      <c r="C6" t="s">
        <v>29</v>
      </c>
      <c r="D6" s="180">
        <v>4.2000000000000003E-2</v>
      </c>
      <c r="Z6" s="181"/>
      <c r="AA6" s="181"/>
      <c r="AB6" s="181"/>
      <c r="AC6" s="181"/>
      <c r="AD6" s="181"/>
      <c r="AE6" s="181"/>
      <c r="AF6" s="181"/>
      <c r="AG6" s="181"/>
      <c r="AH6" s="181"/>
      <c r="AI6" s="181"/>
    </row>
    <row r="7" spans="1:35" s="2" customFormat="1" hidden="1" x14ac:dyDescent="0.15">
      <c r="A7"/>
      <c r="B7" t="s">
        <v>284</v>
      </c>
      <c r="C7" t="s">
        <v>29</v>
      </c>
      <c r="D7" s="180">
        <f>IF(Automakers!D24&lt;=2020,NA(),(0.042*(Automakers!D27-2020))/(Automakers!D27-Automakers!D24))</f>
        <v>4.9636363636363638E-2</v>
      </c>
      <c r="Z7" s="181"/>
      <c r="AA7" s="181"/>
      <c r="AB7" s="181"/>
      <c r="AC7" s="181"/>
      <c r="AD7" s="181"/>
      <c r="AE7" s="181"/>
      <c r="AF7" s="181"/>
      <c r="AG7" s="181"/>
      <c r="AH7" s="181"/>
      <c r="AI7" s="181"/>
    </row>
    <row r="8" spans="1:35" s="2" customFormat="1" hidden="1" x14ac:dyDescent="0.15">
      <c r="A8"/>
      <c r="B8" t="s">
        <v>285</v>
      </c>
      <c r="C8" t="s">
        <v>29</v>
      </c>
      <c r="D8" s="180">
        <f>(90%-42%)/(2050-2030)</f>
        <v>2.4E-2</v>
      </c>
      <c r="Z8" s="181"/>
      <c r="AA8" s="181"/>
      <c r="AB8" s="181"/>
      <c r="AC8" s="181"/>
      <c r="AD8" s="181"/>
      <c r="AE8" s="181"/>
      <c r="AF8" s="181"/>
      <c r="AG8" s="181"/>
      <c r="AH8" s="181"/>
      <c r="AI8" s="181"/>
    </row>
    <row r="9" spans="1:35" s="2" customFormat="1" hidden="1" x14ac:dyDescent="0.15">
      <c r="A9"/>
      <c r="B9" t="s">
        <v>94</v>
      </c>
      <c r="C9" t="s">
        <v>29</v>
      </c>
      <c r="D9" s="180">
        <f>IF(AND(Automakers!D28&gt;Automakers!D24,Automakers!$D$29&gt;=0,ISNUMBER(Automakers!$D$29),Automakers!D29&lt;Automakers!D25),1-Automakers!$D$29/Automakers!$D$25,0%)</f>
        <v>0</v>
      </c>
      <c r="Z9" s="181"/>
      <c r="AA9" s="181"/>
      <c r="AB9" s="181"/>
      <c r="AC9" s="181"/>
      <c r="AD9" s="181"/>
      <c r="AE9" s="181"/>
      <c r="AF9" s="181"/>
      <c r="AG9" s="181"/>
      <c r="AH9" s="181"/>
      <c r="AI9" s="181"/>
    </row>
    <row r="10" spans="1:35" s="2" customFormat="1" hidden="1" x14ac:dyDescent="0.15">
      <c r="A10"/>
      <c r="B10" t="s">
        <v>95</v>
      </c>
      <c r="C10" t="s">
        <v>29</v>
      </c>
      <c r="D10" s="180">
        <f>IF(AND(Automakers!D28&gt;Automakers!D24,Automakers!$D$30&gt;=0,ISNUMBER(Automakers!$D$30),Automakers!D30&lt;Automakers!D26),1-Automakers!$D$30/Automakers!$D$26,0%)</f>
        <v>0</v>
      </c>
      <c r="Z10" s="181"/>
      <c r="AA10" s="181"/>
      <c r="AB10" s="181"/>
      <c r="AC10" s="181"/>
      <c r="AD10" s="181"/>
      <c r="AE10" s="181"/>
      <c r="AF10" s="181"/>
      <c r="AG10" s="181"/>
      <c r="AH10" s="181"/>
      <c r="AI10" s="181"/>
    </row>
    <row r="11" spans="1:35" s="2" customFormat="1" hidden="1" x14ac:dyDescent="0.15">
      <c r="A11"/>
      <c r="B11" t="s">
        <v>93</v>
      </c>
      <c r="C11" t="s">
        <v>29</v>
      </c>
      <c r="D11" s="180">
        <v>0.9</v>
      </c>
      <c r="Z11" s="181"/>
      <c r="AA11" s="181"/>
      <c r="AB11" s="181"/>
      <c r="AC11" s="181"/>
      <c r="AD11" s="181"/>
      <c r="AE11" s="181"/>
      <c r="AF11" s="181"/>
      <c r="AG11" s="181"/>
      <c r="AH11" s="181"/>
      <c r="AI11" s="181"/>
    </row>
    <row r="12" spans="1:35" s="2" customFormat="1" hidden="1" x14ac:dyDescent="0.15">
      <c r="A12"/>
      <c r="B12"/>
      <c r="C12"/>
      <c r="D12"/>
      <c r="G12" s="182"/>
      <c r="H12" s="182"/>
      <c r="I12" s="182"/>
      <c r="J12" s="182"/>
      <c r="K12" s="182"/>
      <c r="L12" s="182"/>
      <c r="M12" s="182"/>
      <c r="N12" s="182"/>
      <c r="O12" s="182"/>
      <c r="P12" s="182"/>
      <c r="Q12" s="182"/>
      <c r="R12" s="182"/>
      <c r="S12" s="182"/>
      <c r="T12" s="182"/>
      <c r="U12" s="182"/>
      <c r="V12" s="182"/>
      <c r="W12" s="182"/>
      <c r="X12" s="182"/>
      <c r="Z12" s="181"/>
      <c r="AA12" s="181"/>
      <c r="AB12" s="181"/>
      <c r="AC12" s="181"/>
      <c r="AD12" s="181"/>
      <c r="AE12" s="181"/>
      <c r="AF12" s="181"/>
      <c r="AG12" s="181"/>
      <c r="AH12" s="181"/>
      <c r="AI12" s="181"/>
    </row>
    <row r="13" spans="1:35" s="2" customFormat="1" hidden="1" x14ac:dyDescent="0.15">
      <c r="A13"/>
      <c r="B13" t="s">
        <v>214</v>
      </c>
      <c r="C13"/>
      <c r="E13" s="2" t="e">
        <f>IF(AND(E1&gt;=Automakers!$D24,E1&lt;=2050),IF(E$1=Automakers!$D24,0,E$1-Automakers!$D$24),NA())</f>
        <v>#N/A</v>
      </c>
      <c r="F13" s="2" t="e">
        <f>IF(AND(F1&gt;=Automakers!$D24,F1&lt;=2050),IF(F$1=Automakers!$D24,0,F$1-Automakers!$D$24),NA())</f>
        <v>#N/A</v>
      </c>
      <c r="G13" s="2">
        <f>IF(AND(G1&gt;=Automakers!$D24,G1&lt;=2050),IF(G$1=Automakers!$D24,0,G$1-Automakers!$D$24),NA())</f>
        <v>0</v>
      </c>
      <c r="H13" s="2">
        <f>IF(AND(H1&gt;=Automakers!$D24,H1&lt;=2050),IF(H$1=Automakers!$D24,0,H$1-Automakers!$D$24),NA())</f>
        <v>1</v>
      </c>
      <c r="I13" s="2">
        <f>IF(AND(I1&gt;=Automakers!$D24,I1&lt;=2050),IF(I$1=Automakers!$D24,0,I$1-Automakers!$D$24),NA())</f>
        <v>2</v>
      </c>
      <c r="J13" s="2">
        <f>IF(AND(J1&gt;=Automakers!$D24,J1&lt;=2050),IF(J$1=Automakers!$D24,0,J$1-Automakers!$D$24),NA())</f>
        <v>3</v>
      </c>
      <c r="K13" s="2">
        <f>IF(AND(K1&gt;=Automakers!$D24,K1&lt;=2050),IF(K$1=Automakers!$D24,0,K$1-Automakers!$D$24),NA())</f>
        <v>4</v>
      </c>
      <c r="L13" s="2">
        <f>IF(AND(L1&gt;=Automakers!$D24,L1&lt;=2050),IF(L$1=Automakers!$D24,0,L$1-Automakers!$D$24),NA())</f>
        <v>5</v>
      </c>
      <c r="M13" s="2">
        <f>IF(AND(M1&gt;=Automakers!$D24,M1&lt;=2050),IF(M$1=Automakers!$D24,0,M$1-Automakers!$D$24),NA())</f>
        <v>6</v>
      </c>
      <c r="N13" s="2">
        <f>IF(AND(N1&gt;=Automakers!$D24,N1&lt;=2050),IF(N$1=Automakers!$D24,0,N$1-Automakers!$D$24),NA())</f>
        <v>7</v>
      </c>
      <c r="O13" s="2">
        <f>IF(AND(O1&gt;=Automakers!$D24,O1&lt;=2050),IF(O$1=Automakers!$D24,0,O$1-Automakers!$D$24),NA())</f>
        <v>8</v>
      </c>
      <c r="P13" s="2">
        <f>IF(AND(P1&gt;=Automakers!$D24,P1&lt;=2050),IF(P$1=Automakers!$D24,0,P$1-Automakers!$D$24),NA())</f>
        <v>9</v>
      </c>
      <c r="Q13" s="2">
        <f>IF(AND(Q1&gt;=Automakers!$D24,Q1&lt;=2050),IF(Q$1=Automakers!$D24,0,Q$1-Automakers!$D$24),NA())</f>
        <v>10</v>
      </c>
      <c r="R13" s="2">
        <f>IF(AND(R1&gt;=Automakers!$D24,R1&lt;=2050),IF(R$1=Automakers!$D24,0,R$1-Automakers!$D$24),NA())</f>
        <v>11</v>
      </c>
      <c r="S13" s="2">
        <f>IF(AND(S1&gt;=Automakers!$D24,S1&lt;=2050),IF(S$1=Automakers!$D24,0,S$1-Automakers!$D$24),NA())</f>
        <v>12</v>
      </c>
      <c r="T13" s="2">
        <f>IF(AND(T1&gt;=Automakers!$D24,T1&lt;=2050),IF(T$1=Automakers!$D24,0,T$1-Automakers!$D$24),NA())</f>
        <v>13</v>
      </c>
      <c r="U13" s="2">
        <f>IF(AND(U1&gt;=Automakers!$D24,U1&lt;=2050),IF(U$1=Automakers!$D24,0,U$1-Automakers!$D$24),NA())</f>
        <v>14</v>
      </c>
      <c r="V13" s="2">
        <f>IF(AND(V1&gt;=Automakers!$D24,V1&lt;=2050),IF(V$1=Automakers!$D24,0,V$1-Automakers!$D$24),NA())</f>
        <v>15</v>
      </c>
      <c r="W13" s="2">
        <f>IF(AND(W1&gt;=Automakers!$D24,W1&lt;=2050),IF(W$1=Automakers!$D24,0,W$1-Automakers!$D$24),NA())</f>
        <v>16</v>
      </c>
      <c r="X13" s="2">
        <f>IF(AND(X1&gt;=Automakers!$D24,X1&lt;=2050),IF(X$1=Automakers!$D24,0,X$1-Automakers!$D$24),NA())</f>
        <v>17</v>
      </c>
      <c r="Y13" s="2">
        <f>IF(AND(Y1&gt;=Automakers!$D24,Y1&lt;=2050),IF(Y$1=Automakers!$D24,0,Y$1-Automakers!$D$24),NA())</f>
        <v>18</v>
      </c>
      <c r="Z13" s="2">
        <f>IF(AND(Z1&gt;=Automakers!$D24,Z1&lt;=2050),IF(Z$1=Automakers!$D24,0,Z$1-Automakers!$D$24),NA())</f>
        <v>19</v>
      </c>
      <c r="AA13" s="2">
        <f>IF(AND(AA1&gt;=Automakers!$D24,AA1&lt;=2050),IF(AA$1=Automakers!$D24,0,AA$1-Automakers!$D$24),NA())</f>
        <v>20</v>
      </c>
      <c r="AB13" s="2">
        <f>IF(AND(AB1&gt;=Automakers!$D24,AB1&lt;=2050),IF(AB$1=Automakers!$D24,0,AB$1-Automakers!$D$24),NA())</f>
        <v>21</v>
      </c>
      <c r="AC13" s="2">
        <f>IF(AND(AC1&gt;=Automakers!$D24,AC1&lt;=2050),IF(AC$1=Automakers!$D24,0,AC$1-Automakers!$D$24),NA())</f>
        <v>22</v>
      </c>
      <c r="AD13" s="2">
        <f>IF(AND(AD1&gt;=Automakers!$D24,AD1&lt;=2050),IF(AD$1=Automakers!$D24,0,AD$1-Automakers!$D$24),NA())</f>
        <v>23</v>
      </c>
      <c r="AE13" s="2">
        <f>IF(AND(AE1&gt;=Automakers!$D24,AE1&lt;=2050),IF(AE$1=Automakers!$D24,0,AE$1-Automakers!$D$24),NA())</f>
        <v>24</v>
      </c>
      <c r="AF13" s="2">
        <f>IF(AND(AF1&gt;=Automakers!$D24,AF1&lt;=2050),IF(AF$1=Automakers!$D24,0,AF$1-Automakers!$D$24),NA())</f>
        <v>25</v>
      </c>
      <c r="AG13" s="2">
        <f>IF(AND(AG1&gt;=Automakers!$D24,AG1&lt;=2050),IF(AG$1=Automakers!$D24,0,AG$1-Automakers!$D$24),NA())</f>
        <v>26</v>
      </c>
      <c r="AH13" s="2">
        <f>IF(AND(AH1&gt;=Automakers!$D24,AH1&lt;=2050),IF(AH$1=Automakers!$D24,0,AH$1-Automakers!$D$24),NA())</f>
        <v>27</v>
      </c>
      <c r="AI13" s="2">
        <f>IF(AND(AI1&gt;=Automakers!$D24,AI1&lt;=2050),IF(AI$1=Automakers!$D24,0,AI$1-Automakers!$D$24),NA())</f>
        <v>28</v>
      </c>
    </row>
    <row r="14" spans="1:35" s="2" customFormat="1" hidden="1" x14ac:dyDescent="0.15">
      <c r="A14"/>
      <c r="B14" t="s">
        <v>150</v>
      </c>
      <c r="C14" t="s">
        <v>47</v>
      </c>
      <c r="D14"/>
      <c r="E14" s="2" t="e">
        <f>IF(E$1&lt;Automakers!$D$24,NA(),IF(E$1=Automakers!$D$24,Automakers!$D$25,IF(AND(Automakers!$D$24&lt;=2020,E$1&gt;Automakers!$D$24),Automakers!$D$25*(1-$D$6*E13),IF(AND(Automakers!$D$24&gt;2020,E$1&gt;Automakers!$D$24),Automakers!$D$25*(1-$D$7*E13),NA()))))</f>
        <v>#N/A</v>
      </c>
      <c r="F14" s="2" t="e">
        <f>IF(F$1&lt;Automakers!$D$24,NA(),IF(F$1=Automakers!$D$24,Automakers!$D$25,IF(AND(Automakers!$D$24&lt;=2020,F$1&gt;Automakers!$D$24),Automakers!$D$25*(1-$D$6*F13),IF(AND(Automakers!$D$24&gt;2020,F$1&gt;Automakers!$D$24),Automakers!$D$25*(1-$D$7*F13),NA()))))</f>
        <v>#N/A</v>
      </c>
      <c r="G14" s="2">
        <f>IF(G$1&lt;Automakers!$D$24,NA(),IF(G$1=Automakers!$D$24,Automakers!$D$25,IF(AND(Automakers!$D$24&lt;=2020,G$1&gt;Automakers!$D$24),Automakers!$D$25*(1-$D$6*G13),IF(AND(Automakers!$D$24&gt;2020,G$1&gt;Automakers!$D$24),Automakers!$D$25*(1-$D$7*G13),NA()))))</f>
        <v>100000</v>
      </c>
      <c r="H14" s="2">
        <f>IF(H$1&lt;Automakers!$D$24,NA(),IF(H$1=Automakers!$D$24,Automakers!$D$25,IF(AND(Automakers!$D$24&lt;=2020,H$1&gt;Automakers!$D$24),Automakers!$D$25*(1-$D$6*H13),IF(AND(Automakers!$D$24&gt;2020,H$1&gt;Automakers!$D$24),Automakers!$D$25*(1-$D$7*H13),NA()))))</f>
        <v>95036.363636363647</v>
      </c>
      <c r="I14" s="2">
        <f>IF(I$1&lt;Automakers!$D$24,NA(),IF(I$1=Automakers!$D$24,Automakers!$D$25,IF(AND(Automakers!$D$24&lt;=2020,I$1&gt;Automakers!$D$24),Automakers!$D$25*(1-$D$6*I13),IF(AND(Automakers!$D$24&gt;2020,I$1&gt;Automakers!$D$24),Automakers!$D$25*(1-$D$7*I13),NA()))))</f>
        <v>90072.727272727265</v>
      </c>
      <c r="J14" s="2">
        <f>IF(J$1&lt;Automakers!$D$24,NA(),IF(J$1=Automakers!$D$24,Automakers!$D$25,IF(AND(Automakers!$D$24&lt;=2020,J$1&gt;Automakers!$D$24),Automakers!$D$25*(1-$D$6*J13),IF(AND(Automakers!$D$24&gt;2020,J$1&gt;Automakers!$D$24),Automakers!$D$25*(1-$D$7*J13),NA()))))</f>
        <v>85109.090909090912</v>
      </c>
      <c r="K14" s="2">
        <f>IF(K$1&lt;Automakers!$D$24,NA(),IF(K$1=Automakers!$D$24,Automakers!$D$25,IF(AND(Automakers!$D$24&lt;=2020,K$1&gt;Automakers!$D$24),Automakers!$D$25*(1-$D$6*K13),IF(AND(Automakers!$D$24&gt;2020,K$1&gt;Automakers!$D$24),Automakers!$D$25*(1-$D$7*K13),NA()))))</f>
        <v>80145.454545454544</v>
      </c>
      <c r="L14" s="2">
        <f>IF(L$1&lt;Automakers!$D$24,NA(),IF(L$1=Automakers!$D$24,Automakers!$D$25,IF(AND(Automakers!$D$24&lt;=2020,L$1&gt;Automakers!$D$24),Automakers!$D$25*(1-$D$6*L13),IF(AND(Automakers!$D$24&gt;2020,L$1&gt;Automakers!$D$24),Automakers!$D$25*(1-$D$7*L13),NA()))))</f>
        <v>75181.818181818177</v>
      </c>
      <c r="M14" s="2">
        <f>IF(M$1&lt;Automakers!$D$24,NA(),IF(M$1=Automakers!$D$24,Automakers!$D$25,IF(AND(Automakers!$D$24&lt;=2020,M$1&gt;Automakers!$D$24),Automakers!$D$25*(1-$D$6*M13),IF(AND(Automakers!$D$24&gt;2020,M$1&gt;Automakers!$D$24),Automakers!$D$25*(1-$D$7*M13),NA()))))</f>
        <v>70218.181818181823</v>
      </c>
      <c r="N14" s="2">
        <f>IF(N$1&lt;Automakers!$D$24,NA(),IF(N$1=Automakers!$D$24,Automakers!$D$25,IF(AND(Automakers!$D$24&lt;=2020,N$1&gt;Automakers!$D$24),Automakers!$D$25*(1-$D$6*N13),IF(AND(Automakers!$D$24&gt;2020,N$1&gt;Automakers!$D$24),Automakers!$D$25*(1-$D$7*N13),NA()))))</f>
        <v>65254.545454545456</v>
      </c>
      <c r="O14" s="2">
        <f>IF(O$1&lt;Automakers!$D$24,NA(),IF(O$1=Automakers!$D$24,Automakers!$D$25,IF(AND(Automakers!$D$24&lt;=2020,O$1&gt;Automakers!$D$24),Automakers!$D$25*(1-$D$6*O13),IF(AND(Automakers!$D$24&gt;2020,O$1&gt;Automakers!$D$24),Automakers!$D$25*(1-$D$7*O13),NA()))))</f>
        <v>60290.909090909081</v>
      </c>
      <c r="P14" s="2">
        <f>IF(P$1&lt;Automakers!$D$24,NA(),IF(P$1=Automakers!$D$24,Automakers!$D$25,IF(AND(Automakers!$D$24&lt;=2020,P$1&gt;Automakers!$D$24),Automakers!$D$25*(1-$D$6*P13),IF(AND(Automakers!$D$24&gt;2020,P$1&gt;Automakers!$D$24),Automakers!$D$25*(1-$D$7*P13),NA()))))</f>
        <v>55327.272727272728</v>
      </c>
      <c r="Q14" s="2">
        <f>IF(Q$1&lt;Automakers!$D$24,NA(),IF(Q$1=Automakers!$D$24,Automakers!$D$25,IF(AND(Automakers!$D$24&lt;=2020,Q$1&gt;Automakers!$D$24),Automakers!$D$25*(1-$D$6*Q13),IF(AND(Automakers!$D$24&gt;2020,Q$1&gt;Automakers!$D$24),Automakers!$D$25*(1-$D$7*Q13),NA()))))</f>
        <v>50363.636363636368</v>
      </c>
      <c r="R14" s="2">
        <f>IF(R$1&lt;Automakers!$D$24,NA(),IF(R$1=Automakers!$D$24,Automakers!$D$25,IF(AND(Automakers!$D$24&lt;=2020,R$1&gt;Automakers!$D$24),Automakers!$D$25*(1-$D$6*R13),IF(AND(Automakers!$D$24&gt;2020,R$1&gt;Automakers!$D$24),Automakers!$D$25*(1-$D$7*R13),NA()))))</f>
        <v>45399.999999999993</v>
      </c>
      <c r="S14" s="2">
        <f>IF(S$1&lt;Automakers!$D$24,NA(),IF(S$1=Automakers!$D$24,Automakers!$D$25,IF(AND(Automakers!$D$24&lt;=2020,S$1&gt;Automakers!$D$24),Automakers!$D$25*(1-$D$6*S13),IF(AND(Automakers!$D$24&gt;2020,S$1&gt;Automakers!$D$24),Automakers!$D$25*(1-$D$7*S13),NA()))))</f>
        <v>40436.36363636364</v>
      </c>
      <c r="T14" s="2">
        <f>IF(T$1&lt;Automakers!$D$24,NA(),IF(T$1=Automakers!$D$24,Automakers!$D$25,IF(AND(Automakers!$D$24&lt;=2020,T$1&gt;Automakers!$D$24),Automakers!$D$25*(1-$D$6*T13),IF(AND(Automakers!$D$24&gt;2020,T$1&gt;Automakers!$D$24),Automakers!$D$25*(1-$D$7*T13),NA()))))</f>
        <v>35472.727272727265</v>
      </c>
      <c r="U14" s="2">
        <f>IF(U$1&lt;Automakers!$D$24,NA(),IF(U$1=Automakers!$D$24,Automakers!$D$25,IF(AND(Automakers!$D$24&lt;=2020,U$1&gt;Automakers!$D$24),Automakers!$D$25*(1-$D$6*U13),IF(AND(Automakers!$D$24&gt;2020,U$1&gt;Automakers!$D$24),Automakers!$D$25*(1-$D$7*U13),NA()))))</f>
        <v>30509.090909090908</v>
      </c>
      <c r="V14" s="2">
        <f>IF(V$1&lt;Automakers!$D$24,NA(),IF(V$1=Automakers!$D$24,Automakers!$D$25,IF(AND(Automakers!$D$24&lt;=2020,V$1&gt;Automakers!$D$24),Automakers!$D$25*(1-$D$6*V13),IF(AND(Automakers!$D$24&gt;2020,V$1&gt;Automakers!$D$24),Automakers!$D$25*(1-$D$7*V13),NA()))))</f>
        <v>25545.454545454537</v>
      </c>
      <c r="W14" s="2">
        <f>IF(W$1&lt;Automakers!$D$24,NA(),IF(W$1=Automakers!$D$24,Automakers!$D$25,IF(AND(Automakers!$D$24&lt;=2020,W$1&gt;Automakers!$D$24),Automakers!$D$25*(1-$D$6*W13),IF(AND(Automakers!$D$24&gt;2020,W$1&gt;Automakers!$D$24),Automakers!$D$25*(1-$D$7*W13),NA()))))</f>
        <v>20581.81818181818</v>
      </c>
      <c r="X14" s="2">
        <f>IF(X$1&lt;Automakers!$D$24,NA(),IF(X$1=Automakers!$D$24,Automakers!$D$25,IF(AND(Automakers!$D$24&lt;=2020,X$1&gt;Automakers!$D$24),Automakers!$D$25*(1-$D$6*X13),IF(AND(Automakers!$D$24&gt;2020,X$1&gt;Automakers!$D$24),Automakers!$D$25*(1-$D$7*X13),NA()))))</f>
        <v>15618.18181818182</v>
      </c>
      <c r="Y14" s="2">
        <f>IF(Y$1&lt;Automakers!$D$24,NA(),IF(Y$1=Automakers!$D$24,Automakers!$D$25,IF(AND(Automakers!$D$24&lt;=2020,Y$1&gt;Automakers!$D$24),Automakers!$D$25*(1-$D$6*Y13),IF(AND(Automakers!$D$24&gt;2020,Y$1&gt;Automakers!$D$24),Automakers!$D$25*(1-$D$7*Y13),NA()))))</f>
        <v>10654.54545454545</v>
      </c>
      <c r="Z14" s="2">
        <f>IF(Z$1&lt;Automakers!$D$24,NA(),IF(Z$1=Automakers!$D$24,Automakers!$D$25,IF(AND(Automakers!$D$24&lt;=2020,Z$1&gt;Automakers!$D$24),Automakers!$D$25*(1-$D$6*Z13),IF(AND(Automakers!$D$24&gt;2020,Z$1&gt;Automakers!$D$24),Automakers!$D$25*(1-$D$7*Z13),NA()))))</f>
        <v>5690.909090909091</v>
      </c>
      <c r="AA14" s="2">
        <f>IF(AA$1&lt;Automakers!$D$24,NA(),IF(AA$1=Automakers!$D$24,Automakers!$D$25,IF(AND(Automakers!$D$24&lt;=2020,AA$1&gt;Automakers!$D$24),Automakers!$D$25*(1-$D$6*AA13),IF(AND(Automakers!$D$24&gt;2020,AA$1&gt;Automakers!$D$24),Automakers!$D$25*(1-$D$7*AA13),NA()))))</f>
        <v>727.27272727272089</v>
      </c>
      <c r="AB14" s="2">
        <f>IF(AB$1&lt;Automakers!$D$24,NA(),IF(AB$1=Automakers!$D$24,Automakers!$D$25,IF(AND(Automakers!$D$24&lt;=2020,AB$1&gt;Automakers!$D$24),Automakers!$D$25*(1-$D$6*AB13),IF(AND(Automakers!$D$24&gt;2020,AB$1&gt;Automakers!$D$24),Automakers!$D$25*(1-$D$7*AB13),NA()))))</f>
        <v>-4236.3636363636379</v>
      </c>
      <c r="AC14" s="2">
        <f>IF(AC$1&lt;Automakers!$D$24,NA(),IF(AC$1=Automakers!$D$24,Automakers!$D$25,IF(AND(Automakers!$D$24&lt;=2020,AC$1&gt;Automakers!$D$24),Automakers!$D$25*(1-$D$6*AC13),IF(AND(Automakers!$D$24&gt;2020,AC$1&gt;Automakers!$D$24),Automakers!$D$25*(1-$D$7*AC13),NA()))))</f>
        <v>-9200.0000000000073</v>
      </c>
      <c r="AD14" s="2">
        <f>IF(AD$1&lt;Automakers!$D$24,NA(),IF(AD$1=Automakers!$D$24,Automakers!$D$25,IF(AND(Automakers!$D$24&lt;=2020,AD$1&gt;Automakers!$D$24),Automakers!$D$25*(1-$D$6*AD13),IF(AND(Automakers!$D$24&gt;2020,AD$1&gt;Automakers!$D$24),Automakers!$D$25*(1-$D$7*AD13),NA()))))</f>
        <v>-14163.636363636379</v>
      </c>
      <c r="AE14" s="2">
        <f>IF(AE$1&lt;Automakers!$D$24,NA(),IF(AE$1=Automakers!$D$24,Automakers!$D$25,IF(AND(Automakers!$D$24&lt;=2020,AE$1&gt;Automakers!$D$24),Automakers!$D$25*(1-$D$6*AE13),IF(AND(Automakers!$D$24&gt;2020,AE$1&gt;Automakers!$D$24),Automakers!$D$25*(1-$D$7*AE13),NA()))))</f>
        <v>-19127.272727272724</v>
      </c>
      <c r="AF14" s="2">
        <f>IF(AF$1&lt;Automakers!$D$24,NA(),IF(AF$1=Automakers!$D$24,Automakers!$D$25,IF(AND(Automakers!$D$24&lt;=2020,AF$1&gt;Automakers!$D$24),Automakers!$D$25*(1-$D$6*AF13),IF(AND(Automakers!$D$24&gt;2020,AF$1&gt;Automakers!$D$24),Automakers!$D$25*(1-$D$7*AF13),NA()))))</f>
        <v>-24090.909090909096</v>
      </c>
      <c r="AG14" s="2">
        <f>IF(AG$1&lt;Automakers!$D$24,NA(),IF(AG$1=Automakers!$D$24,Automakers!$D$25,IF(AND(Automakers!$D$24&lt;=2020,AG$1&gt;Automakers!$D$24),Automakers!$D$25*(1-$D$6*AG13),IF(AND(Automakers!$D$24&gt;2020,AG$1&gt;Automakers!$D$24),Automakers!$D$25*(1-$D$7*AG13),NA()))))</f>
        <v>-29054.545454545467</v>
      </c>
      <c r="AH14" s="2">
        <f>IF(AH$1&lt;Automakers!$D$24,NA(),IF(AH$1=Automakers!$D$24,Automakers!$D$25,IF(AND(Automakers!$D$24&lt;=2020,AH$1&gt;Automakers!$D$24),Automakers!$D$25*(1-$D$6*AH13),IF(AND(Automakers!$D$24&gt;2020,AH$1&gt;Automakers!$D$24),Automakers!$D$25*(1-$D$7*AH13),NA()))))</f>
        <v>-34018.181818181816</v>
      </c>
      <c r="AI14" s="2">
        <f>IF(AI$1&lt;Automakers!$D$24,NA(),IF(AI$1=Automakers!$D$24,Automakers!$D$25,IF(AND(Automakers!$D$24&lt;=2020,AI$1&gt;Automakers!$D$24),Automakers!$D$25*(1-$D$6*AI13),IF(AND(Automakers!$D$24&gt;2020,AI$1&gt;Automakers!$D$24),Automakers!$D$25*(1-$D$7*AI13),NA()))))</f>
        <v>-38981.818181818184</v>
      </c>
    </row>
    <row r="15" spans="1:35" s="2" customFormat="1" hidden="1" x14ac:dyDescent="0.15">
      <c r="A15"/>
      <c r="B15" t="s">
        <v>96</v>
      </c>
      <c r="C15" t="s">
        <v>29</v>
      </c>
      <c r="D15" s="180">
        <f>IF(D9&gt;0,D9+(((Automakers!$D$27-Automakers!$D$28)/(2050-Automakers!$D$28))*(D11-D9))-D17,0%)</f>
        <v>0</v>
      </c>
    </row>
    <row r="16" spans="1:35" s="2" customFormat="1" hidden="1" x14ac:dyDescent="0.15">
      <c r="A16"/>
      <c r="B16" t="s">
        <v>98</v>
      </c>
      <c r="C16" t="s">
        <v>47</v>
      </c>
      <c r="D16" s="183">
        <f>IF(Automakers!$D$25&lt;&gt;0,HLOOKUP(Automakers!$D$27,Calculations!$J$1:$AI$22,ROW(Calculations!B14)),"")</f>
        <v>45399.999999999993</v>
      </c>
      <c r="E16" s="184"/>
      <c r="F16" s="184"/>
      <c r="G16" s="184"/>
      <c r="H16" s="184"/>
      <c r="I16" s="184"/>
      <c r="J16" s="184"/>
      <c r="K16" s="184"/>
      <c r="L16" s="184"/>
      <c r="M16" s="184"/>
      <c r="N16" s="184"/>
      <c r="O16" s="184"/>
      <c r="P16" s="184"/>
      <c r="Q16" s="184"/>
      <c r="R16" s="184"/>
      <c r="S16" s="184"/>
      <c r="T16" s="184"/>
      <c r="U16" s="184"/>
      <c r="V16" s="184"/>
      <c r="W16" s="184"/>
      <c r="X16" s="184"/>
      <c r="Y16" s="184"/>
      <c r="Z16" s="184"/>
      <c r="AA16" s="184"/>
      <c r="AB16" s="184"/>
      <c r="AC16" s="184"/>
      <c r="AD16" s="184"/>
      <c r="AE16" s="184"/>
      <c r="AF16" s="184"/>
      <c r="AG16" s="184"/>
      <c r="AH16" s="184"/>
      <c r="AI16" s="184"/>
    </row>
    <row r="17" spans="1:35" s="2" customFormat="1" hidden="1" x14ac:dyDescent="0.15">
      <c r="A17"/>
      <c r="B17" t="s">
        <v>98</v>
      </c>
      <c r="C17" t="s">
        <v>29</v>
      </c>
      <c r="D17" s="180">
        <f>(1-$D$16/Automakers!$D$25)</f>
        <v>0.54600000000000004</v>
      </c>
      <c r="E17" s="184"/>
      <c r="F17" s="184"/>
      <c r="G17" s="184"/>
      <c r="H17" s="184"/>
      <c r="I17" s="184"/>
      <c r="J17" s="184"/>
      <c r="K17" s="184"/>
      <c r="L17" s="184"/>
      <c r="M17" s="184"/>
      <c r="N17" s="184"/>
      <c r="O17" s="184"/>
      <c r="P17" s="184"/>
      <c r="Q17" s="184"/>
      <c r="R17" s="184"/>
      <c r="S17" s="184"/>
      <c r="T17" s="184"/>
      <c r="U17" s="184"/>
      <c r="V17" s="184"/>
      <c r="W17" s="184"/>
      <c r="X17" s="184"/>
      <c r="Y17" s="184"/>
      <c r="Z17" s="184"/>
      <c r="AA17" s="184"/>
      <c r="AB17" s="184"/>
      <c r="AC17" s="184"/>
      <c r="AD17" s="184"/>
      <c r="AE17" s="184"/>
      <c r="AF17" s="184"/>
      <c r="AG17" s="184"/>
      <c r="AH17" s="184"/>
      <c r="AI17" s="184"/>
    </row>
    <row r="18" spans="1:35" s="2" customFormat="1" hidden="1" x14ac:dyDescent="0.15">
      <c r="A18"/>
      <c r="B18" t="s">
        <v>97</v>
      </c>
      <c r="C18" t="s">
        <v>29</v>
      </c>
      <c r="D18" s="180">
        <f>IF($D$9&gt;=0.9,$D$9,IF($D$15&gt;0,(1-$D$16/Automakers!$D$25)+$D$15,(1-$D$16/Automakers!$D$25)))</f>
        <v>0.54600000000000004</v>
      </c>
      <c r="E18" s="184"/>
      <c r="F18" s="184"/>
      <c r="G18" s="184"/>
      <c r="H18" s="184"/>
      <c r="I18" s="184"/>
      <c r="J18" s="184"/>
      <c r="K18" s="184"/>
      <c r="L18" s="184"/>
      <c r="M18" s="184"/>
      <c r="N18" s="184"/>
      <c r="O18" s="184"/>
      <c r="P18" s="184"/>
      <c r="Q18" s="184"/>
      <c r="R18" s="184"/>
      <c r="S18" s="184"/>
      <c r="T18" s="184"/>
      <c r="U18" s="184"/>
      <c r="V18" s="184"/>
      <c r="W18" s="184"/>
      <c r="X18" s="184"/>
      <c r="Y18" s="184"/>
      <c r="Z18" s="184"/>
      <c r="AA18" s="184"/>
      <c r="AB18" s="184"/>
      <c r="AC18" s="184"/>
      <c r="AD18" s="184"/>
      <c r="AE18" s="184"/>
      <c r="AF18" s="184"/>
      <c r="AG18" s="184"/>
      <c r="AH18" s="184"/>
      <c r="AI18" s="184"/>
    </row>
    <row r="19" spans="1:35" s="2" customFormat="1" hidden="1" x14ac:dyDescent="0.15">
      <c r="A19"/>
      <c r="B19" t="s">
        <v>151</v>
      </c>
      <c r="C19" t="s">
        <v>47</v>
      </c>
      <c r="D19"/>
      <c r="E19" s="2" t="e">
        <f>IF(E$1&lt;Automakers!$D$24,NA(),IF($D$15&lt;=0,E14,IF(E$1=Automakers!$D$24,Automakers!$D$25,IF(E$1=Automakers!$D$28,Automakers!$D$29,IF(E$1=Automakers!$D$27,Automakers!$H$35,IF(E$1=2050,Automakers!$D$25*(1-$D$11),NA()))))))</f>
        <v>#N/A</v>
      </c>
      <c r="F19" s="2" t="e">
        <f>IF(F$1&lt;Automakers!$D$24,NA(),IF($D$15&lt;=0,F14,IF(F$1=Automakers!$D$24,Automakers!$D$25,IF(F$1=Automakers!$D$28,Automakers!$D$29,IF(F$1=Automakers!$D$27,Automakers!$H$35,IF(F$1=2050,Automakers!$D$25*(1-$D$11),NA()))))))</f>
        <v>#N/A</v>
      </c>
      <c r="G19" s="2">
        <f>IF(G$1&lt;Automakers!$D$24,NA(),IF($D$15&lt;=0,G14,IF(G$1=Automakers!$D$24,Automakers!$D$25,IF(G$1=Automakers!$D$28,Automakers!$D$29,IF(G$1=Automakers!$D$27,Automakers!$H$35,IF(G$1=2050,Automakers!$D$25*(1-$D$11),NA()))))))</f>
        <v>100000</v>
      </c>
      <c r="H19" s="2">
        <f>IF(H$1&lt;Automakers!$D$24,NA(),IF($D$15&lt;=0,H14,IF(H$1=Automakers!$D$24,Automakers!$D$25,IF(H$1=Automakers!$D$28,Automakers!$D$29,IF(H$1=Automakers!$D$27,Automakers!$H$35,IF(H$1=2050,Automakers!$D$25*(1-$D$11),NA()))))))</f>
        <v>95036.363636363647</v>
      </c>
      <c r="I19" s="2">
        <f>IF(I$1&lt;Automakers!$D$24,NA(),IF($D$15&lt;=0,I14,IF(I$1=Automakers!$D$24,Automakers!$D$25,IF(I$1=Automakers!$D$28,Automakers!$D$29,IF(I$1=Automakers!$D$27,Automakers!$H$35,IF(I$1=2050,Automakers!$D$25*(1-$D$11),NA()))))))</f>
        <v>90072.727272727265</v>
      </c>
      <c r="J19" s="2">
        <f>IF(J$1&lt;Automakers!$D$24,NA(),IF($D$15&lt;=0,J14,IF(J$1=Automakers!$D$24,Automakers!$D$25,IF(J$1=Automakers!$D$28,Automakers!$D$29,IF(J$1=Automakers!$D$27,Automakers!$H$35,IF(J$1=2050,Automakers!$D$25*(1-$D$11),NA()))))))</f>
        <v>85109.090909090912</v>
      </c>
      <c r="K19" s="2">
        <f>IF(K$1&lt;Automakers!$D$24,NA(),IF($D$15&lt;=0,K14,IF(K$1=Automakers!$D$24,Automakers!$D$25,IF(K$1=Automakers!$D$28,Automakers!$D$29,IF(K$1=Automakers!$D$27,Automakers!$H$35,IF(K$1=2050,Automakers!$D$25*(1-$D$11),NA()))))))</f>
        <v>80145.454545454544</v>
      </c>
      <c r="L19" s="2">
        <f>IF(L$1&lt;Automakers!$D$24,NA(),IF($D$15&lt;=0,L14,IF(L$1=Automakers!$D$24,Automakers!$D$25,IF(L$1=Automakers!$D$28,Automakers!$D$29,IF(L$1=Automakers!$D$27,Automakers!$H$35,IF(L$1=2050,Automakers!$D$25*(1-$D$11),NA()))))))</f>
        <v>75181.818181818177</v>
      </c>
      <c r="M19" s="2">
        <f>IF(M$1&lt;Automakers!$D$24,NA(),IF($D$15&lt;=0,M14,IF(M$1=Automakers!$D$24,Automakers!$D$25,IF(M$1=Automakers!$D$28,Automakers!$D$29,IF(M$1=Automakers!$D$27,Automakers!$H$35,IF(M$1=2050,Automakers!$D$25*(1-$D$11),NA()))))))</f>
        <v>70218.181818181823</v>
      </c>
      <c r="N19" s="2">
        <f>IF(N$1&lt;Automakers!$D$24,NA(),IF($D$15&lt;=0,N14,IF(N$1=Automakers!$D$24,Automakers!$D$25,IF(N$1=Automakers!$D$28,Automakers!$D$29,IF(N$1=Automakers!$D$27,Automakers!$H$35,IF(N$1=2050,Automakers!$D$25*(1-$D$11),NA()))))))</f>
        <v>65254.545454545456</v>
      </c>
      <c r="O19" s="2">
        <f>IF(O$1&lt;Automakers!$D$24,NA(),IF($D$15&lt;=0,O14,IF(O$1=Automakers!$D$24,Automakers!$D$25,IF(O$1=Automakers!$D$28,Automakers!$D$29,IF(O$1=Automakers!$D$27,Automakers!$H$35,IF(O$1=2050,Automakers!$D$25*(1-$D$11),NA()))))))</f>
        <v>60290.909090909081</v>
      </c>
      <c r="P19" s="2">
        <f>IF(P$1&lt;Automakers!$D$24,NA(),IF($D$15&lt;=0,P14,IF(P$1=Automakers!$D$24,Automakers!$D$25,IF(P$1=Automakers!$D$28,Automakers!$D$29,IF(P$1=Automakers!$D$27,Automakers!$H$35,IF(P$1=2050,Automakers!$D$25*(1-$D$11),NA()))))))</f>
        <v>55327.272727272728</v>
      </c>
      <c r="Q19" s="2">
        <f>IF(Q$1&lt;Automakers!$D$24,NA(),IF($D$15&lt;=0,Q14,IF(Q$1=Automakers!$D$24,Automakers!$D$25,IF(Q$1=Automakers!$D$28,Automakers!$D$29,IF(Q$1=Automakers!$D$27,Automakers!$H$35,IF(Q$1=2050,Automakers!$D$25*(1-$D$11),NA()))))))</f>
        <v>50363.636363636368</v>
      </c>
      <c r="R19" s="2">
        <f>IF(R$1&lt;Automakers!$D$24,NA(),IF($D$15&lt;=0,R14,IF(R$1=Automakers!$D$24,Automakers!$D$25,IF(R$1=Automakers!$D$28,Automakers!$D$29,IF(R$1=Automakers!$D$27,Automakers!$H$35,IF(R$1=2050,Automakers!$D$25*(1-$D$11),NA()))))))</f>
        <v>45399.999999999993</v>
      </c>
      <c r="S19" s="2">
        <f>IF(S$1&lt;Automakers!$D$24,NA(),IF($D$15&lt;=0,S14,IF(S$1=Automakers!$D$24,Automakers!$D$25,IF(S$1=Automakers!$D$28,Automakers!$D$29,IF(S$1=Automakers!$D$27,Automakers!$H$35,IF(S$1=2050,Automakers!$D$25*(1-$D$11),NA()))))))</f>
        <v>40436.36363636364</v>
      </c>
      <c r="T19" s="2">
        <f>IF(T$1&lt;Automakers!$D$24,NA(),IF($D$15&lt;=0,T14,IF(T$1=Automakers!$D$24,Automakers!$D$25,IF(T$1=Automakers!$D$28,Automakers!$D$29,IF(T$1=Automakers!$D$27,Automakers!$H$35,IF(T$1=2050,Automakers!$D$25*(1-$D$11),NA()))))))</f>
        <v>35472.727272727265</v>
      </c>
      <c r="U19" s="2" t="e">
        <f>IF(U$1&lt;Automakers!$D$24,NA(),IF($D$15&lt;0,U14,IF(U$1=Automakers!$D$24,Automakers!$D$25,IF(U$1=Automakers!$D$28,Automakers!$D$29,IF(U$1=Automakers!$D$27,Automakers!$H$35,IF(U$1=2050,Automakers!$D$25*(1-Calculations!$D$11),NA()))))))</f>
        <v>#N/A</v>
      </c>
      <c r="V19" s="2" t="e">
        <f>IF(V$1&lt;Automakers!$D$24,NA(),IF($D$15&lt;0,V14,IF(V$1=Automakers!$D$24,Automakers!$D$25,IF(V$1=Automakers!$D$28,Automakers!$D$29,IF(V$1=Automakers!$D$27,Automakers!$H$35,IF(V$1=2050,Automakers!$D$25*(1-Calculations!$D$11),NA()))))))</f>
        <v>#N/A</v>
      </c>
      <c r="W19" s="2" t="e">
        <f>IF(W$1&lt;Automakers!$D$24,NA(),IF($D$15&lt;0,W14,IF(W$1=Automakers!$D$24,Automakers!$D$25,IF(W$1=Automakers!$D$28,Automakers!$D$29,IF(W$1=Automakers!$D$27,Automakers!$H$35,IF(W$1=2050,Automakers!$D$25*(1-Calculations!$D$11),NA()))))))</f>
        <v>#N/A</v>
      </c>
      <c r="X19" s="2" t="e">
        <f>IF(X$1&lt;Automakers!$D$24,NA(),IF($D$15&lt;0,X14,IF(X$1=Automakers!$D$24,Automakers!$D$25,IF(X$1=Automakers!$D$28,Automakers!$D$29,IF(X$1=Automakers!$D$27,Automakers!$H$35,IF(X$1=2050,Automakers!$D$25*(1-Calculations!$D$11),NA()))))))</f>
        <v>#N/A</v>
      </c>
      <c r="Y19" s="2" t="e">
        <f>IF(Y$1&lt;Automakers!$D$24,NA(),IF($D$15&lt;0,Y14,IF(Y$1=Automakers!$D$24,Automakers!$D$25,IF(Y$1=Automakers!$D$28,Automakers!$D$29,IF(Y$1=Automakers!$D$27,Automakers!$H$35,IF(Y$1=2050,Automakers!$D$25*(1-Calculations!$D$11),NA()))))))</f>
        <v>#N/A</v>
      </c>
      <c r="Z19" s="2" t="e">
        <f>IF(Z$1&lt;Automakers!$D$24,NA(),IF($D$15&lt;0,Z14,IF(Z$1=Automakers!$D$24,Automakers!$D$25,IF(Z$1=Automakers!$D$28,Automakers!$D$29,IF(Z$1=Automakers!$D$27,Automakers!$H$35,IF(Z$1=2050,Automakers!$D$25*(1-Calculations!$D$11),NA()))))))</f>
        <v>#N/A</v>
      </c>
      <c r="AA19" s="2" t="e">
        <f>IF(AA$1&lt;Automakers!$D$24,NA(),IF($D$15&lt;0,AA14,IF(AA$1=Automakers!$D$24,Automakers!$D$25,IF(AA$1=Automakers!$D$28,Automakers!$D$29,IF(AA$1=Automakers!$D$27,Automakers!$H$35,IF(AA$1=2050,Automakers!$D$25*(1-Calculations!$D$11),NA()))))))</f>
        <v>#N/A</v>
      </c>
      <c r="AB19" s="2" t="e">
        <f>IF(AB$1&lt;Automakers!$D$24,NA(),IF($D$15&lt;0,AB14,IF(AB$1=Automakers!$D$24,Automakers!$D$25,IF(AB$1=Automakers!$D$28,Automakers!$D$29,IF(AB$1=Automakers!$D$27,Automakers!$H$35,IF(AB$1=2050,Automakers!$D$25*(1-Calculations!$D$11),NA()))))))</f>
        <v>#N/A</v>
      </c>
      <c r="AC19" s="2" t="e">
        <f>IF(AC$1&lt;Automakers!$D$24,NA(),IF($D$15&lt;0,AC14,IF(AC$1=Automakers!$D$24,Automakers!$D$25,IF(AC$1=Automakers!$D$28,Automakers!$D$29,IF(AC$1=Automakers!$D$27,Automakers!$H$35,IF(AC$1=2050,Automakers!$D$25*(1-Calculations!$D$11),NA()))))))</f>
        <v>#N/A</v>
      </c>
      <c r="AD19" s="2" t="e">
        <f>IF(AD$1&lt;Automakers!$D$24,NA(),IF($D$15&lt;0,AD14,IF(AD$1=Automakers!$D$24,Automakers!$D$25,IF(AD$1=Automakers!$D$28,Automakers!$D$29,IF(AD$1=Automakers!$D$27,Automakers!$H$35,IF(AD$1=2050,Automakers!$D$25*(1-Calculations!$D$11),NA()))))))</f>
        <v>#N/A</v>
      </c>
      <c r="AE19" s="2" t="e">
        <f>IF(AE$1&lt;Automakers!$D$24,NA(),IF($D$15&lt;0,AE14,IF(AE$1=Automakers!$D$24,Automakers!$D$25,IF(AE$1=Automakers!$D$28,Automakers!$D$29,IF(AE$1=Automakers!$D$27,Automakers!$H$35,IF(AE$1=2050,Automakers!$D$25*(1-Calculations!$D$11),NA()))))))</f>
        <v>#N/A</v>
      </c>
      <c r="AF19" s="2" t="e">
        <f>IF(AF$1&lt;Automakers!$D$24,NA(),IF($D$15&lt;0,AF14,IF(AF$1=Automakers!$D$24,Automakers!$D$25,IF(AF$1=Automakers!$D$28,Automakers!$D$29,IF(AF$1=Automakers!$D$27,Automakers!$H$35,IF(AF$1=2050,Automakers!$D$25*(1-Calculations!$D$11),NA()))))))</f>
        <v>#N/A</v>
      </c>
      <c r="AG19" s="2" t="e">
        <f>IF(AG$1&lt;Automakers!$D$24,NA(),IF($D$15&lt;0,AG14,IF(AG$1=Automakers!$D$24,Automakers!$D$25,IF(AG$1=Automakers!$D$28,Automakers!$D$29,IF(AG$1=Automakers!$D$27,Automakers!$H$35,IF(AG$1=2050,Automakers!$D$25*(1-Calculations!$D$11),NA()))))))</f>
        <v>#N/A</v>
      </c>
      <c r="AH19" s="2" t="e">
        <f>IF(AH$1&lt;Automakers!$D$24,NA(),IF($D$15&lt;0,AH14,IF(AH$1=Automakers!$D$24,Automakers!$D$25,IF(AH$1=Automakers!$D$28,Automakers!$D$29,IF(AH$1=Automakers!$D$27,Automakers!$H$35,IF(AH$1=2050,Automakers!$D$25*(1-Calculations!$D$11),NA()))))))</f>
        <v>#N/A</v>
      </c>
      <c r="AI19" s="2">
        <f>IF(AI$1&lt;Automakers!$D$24,NA(),IF($D$15&lt;0,AI14,IF(AI$1=Automakers!$D$24,Automakers!$D$25,IF(AI$1=Automakers!$D$28,Automakers!$D$29,IF(AI$1=Automakers!$D$27,Automakers!$H$35,IF(AI$1=2050,Automakers!$D$25*(1-Calculations!$D$11),NA()))))))</f>
        <v>9999.9999999999982</v>
      </c>
    </row>
    <row r="20" spans="1:35" s="2" customFormat="1" hidden="1" x14ac:dyDescent="0.15">
      <c r="A20"/>
      <c r="B20"/>
      <c r="C20"/>
      <c r="D20"/>
      <c r="E20" s="184"/>
      <c r="F20" s="184"/>
      <c r="G20" s="184"/>
      <c r="H20" s="184"/>
      <c r="I20" s="184"/>
      <c r="J20" s="184"/>
      <c r="K20" s="184"/>
      <c r="L20" s="184"/>
      <c r="M20" s="184"/>
      <c r="N20" s="184"/>
      <c r="O20" s="184"/>
      <c r="P20" s="184"/>
      <c r="Q20" s="184"/>
      <c r="R20" s="184"/>
      <c r="S20" s="184"/>
      <c r="T20" s="184"/>
      <c r="U20" s="184"/>
      <c r="V20" s="184"/>
      <c r="W20" s="184"/>
      <c r="X20" s="184"/>
      <c r="Y20" s="184"/>
      <c r="Z20" s="184"/>
      <c r="AA20" s="184"/>
      <c r="AB20" s="184"/>
      <c r="AC20" s="184"/>
      <c r="AD20" s="184"/>
      <c r="AE20" s="184"/>
      <c r="AF20" s="184"/>
      <c r="AG20" s="184"/>
      <c r="AH20" s="184"/>
      <c r="AI20" s="184"/>
    </row>
    <row r="21" spans="1:35" s="2" customFormat="1" hidden="1" x14ac:dyDescent="0.15">
      <c r="A21"/>
      <c r="B21" t="s">
        <v>152</v>
      </c>
      <c r="C21" t="s">
        <v>47</v>
      </c>
      <c r="D21"/>
      <c r="E21" s="2" t="e">
        <f>IF(E$1&lt;Automakers!$D$24,NA(),IF(E$1=Automakers!$D$24,Automakers!$D$26,IF(AND(Automakers!$D$24&lt;=2020,E$1&gt;Automakers!$D$24),Automakers!$D$26*(1-$D$6*E13),IF(AND(Automakers!$D$24&gt;2020,E$1&gt;Automakers!$D$24),Automakers!$D$26*(1-$D$7*E13),NA()))))</f>
        <v>#N/A</v>
      </c>
      <c r="F21" s="2" t="e">
        <f>IF(F$1&lt;Automakers!$D$24,NA(),IF(F$1=Automakers!$D$24,Automakers!$D$26,IF(AND(Automakers!$D$24&lt;=2020,F$1&gt;Automakers!$D$24),Automakers!$D$26*(1-$D$6*F13),IF(AND(Automakers!$D$24&gt;2020,F$1&gt;Automakers!$D$24),Automakers!$D$26*(1-$D$7*F13),NA()))))</f>
        <v>#N/A</v>
      </c>
      <c r="G21" s="2">
        <f>IF(G$1&lt;Automakers!$D$24,NA(),IF(G$1=Automakers!$D$24,Automakers!$D$26,IF(AND(Automakers!$D$24&lt;=2020,G$1&gt;Automakers!$D$24),Automakers!$D$26*(1-$D$6*G13),IF(AND(Automakers!$D$24&gt;2020,G$1&gt;Automakers!$D$24),Automakers!$D$26*(1-$D$7*G13),NA()))))</f>
        <v>500000</v>
      </c>
      <c r="H21" s="2">
        <f>IF(H$1&lt;Automakers!$D$24,NA(),IF(H$1=Automakers!$D$24,Automakers!$D$26,IF(AND(Automakers!$D$24&lt;=2020,H$1&gt;Automakers!$D$24),Automakers!$D$26*(1-$D$6*H13),IF(AND(Automakers!$D$24&gt;2020,H$1&gt;Automakers!$D$24),Automakers!$D$26*(1-$D$7*H13),NA()))))</f>
        <v>475181.81818181818</v>
      </c>
      <c r="I21" s="2">
        <f>IF(I$1&lt;Automakers!$D$24,NA(),IF(I$1=Automakers!$D$24,Automakers!$D$26,IF(AND(Automakers!$D$24&lt;=2020,I$1&gt;Automakers!$D$24),Automakers!$D$26*(1-$D$6*I13),IF(AND(Automakers!$D$24&gt;2020,I$1&gt;Automakers!$D$24),Automakers!$D$26*(1-$D$7*I13),NA()))))</f>
        <v>450363.63636363635</v>
      </c>
      <c r="J21" s="2">
        <f>IF(J$1&lt;Automakers!$D$24,NA(),IF(J$1=Automakers!$D$24,Automakers!$D$26,IF(AND(Automakers!$D$24&lt;=2020,J$1&gt;Automakers!$D$24),Automakers!$D$26*(1-$D$6*J13),IF(AND(Automakers!$D$24&gt;2020,J$1&gt;Automakers!$D$24),Automakers!$D$26*(1-$D$7*J13),NA()))))</f>
        <v>425545.45454545459</v>
      </c>
      <c r="K21" s="2">
        <f>IF(K$1&lt;Automakers!$D$24,NA(),IF(K$1=Automakers!$D$24,Automakers!$D$26,IF(AND(Automakers!$D$24&lt;=2020,K$1&gt;Automakers!$D$24),Automakers!$D$26*(1-$D$6*K13),IF(AND(Automakers!$D$24&gt;2020,K$1&gt;Automakers!$D$24),Automakers!$D$26*(1-$D$7*K13),NA()))))</f>
        <v>400727.27272727271</v>
      </c>
      <c r="L21" s="2">
        <f>IF(L$1&lt;Automakers!$D$24,NA(),IF(L$1=Automakers!$D$24,Automakers!$D$26,IF(AND(Automakers!$D$24&lt;=2020,L$1&gt;Automakers!$D$24),Automakers!$D$26*(1-$D$6*L13),IF(AND(Automakers!$D$24&gt;2020,L$1&gt;Automakers!$D$24),Automakers!$D$26*(1-$D$7*L13),NA()))))</f>
        <v>375909.09090909094</v>
      </c>
      <c r="M21" s="2">
        <f>IF(M$1&lt;Automakers!$D$24,NA(),IF(M$1=Automakers!$D$24,Automakers!$D$26,IF(AND(Automakers!$D$24&lt;=2020,M$1&gt;Automakers!$D$24),Automakers!$D$26*(1-$D$6*M13),IF(AND(Automakers!$D$24&gt;2020,M$1&gt;Automakers!$D$24),Automakers!$D$26*(1-$D$7*M13),NA()))))</f>
        <v>351090.90909090912</v>
      </c>
      <c r="N21" s="2">
        <f>IF(N$1&lt;Automakers!$D$24,NA(),IF(N$1=Automakers!$D$24,Automakers!$D$26,IF(AND(Automakers!$D$24&lt;=2020,N$1&gt;Automakers!$D$24),Automakers!$D$26*(1-$D$6*N13),IF(AND(Automakers!$D$24&gt;2020,N$1&gt;Automakers!$D$24),Automakers!$D$26*(1-$D$7*N13),NA()))))</f>
        <v>326272.72727272729</v>
      </c>
      <c r="O21" s="2">
        <f>IF(O$1&lt;Automakers!$D$24,NA(),IF(O$1=Automakers!$D$24,Automakers!$D$26,IF(AND(Automakers!$D$24&lt;=2020,O$1&gt;Automakers!$D$24),Automakers!$D$26*(1-$D$6*O13),IF(AND(Automakers!$D$24&gt;2020,O$1&gt;Automakers!$D$24),Automakers!$D$26*(1-$D$7*O13),NA()))))</f>
        <v>301454.54545454541</v>
      </c>
      <c r="P21" s="2">
        <f>IF(P$1&lt;Automakers!$D$24,NA(),IF(P$1=Automakers!$D$24,Automakers!$D$26,IF(AND(Automakers!$D$24&lt;=2020,P$1&gt;Automakers!$D$24),Automakers!$D$26*(1-$D$6*P13),IF(AND(Automakers!$D$24&gt;2020,P$1&gt;Automakers!$D$24),Automakers!$D$26*(1-$D$7*P13),NA()))))</f>
        <v>276636.36363636365</v>
      </c>
      <c r="Q21" s="2">
        <f>IF(Q$1&lt;Automakers!$D$24,NA(),IF(Q$1=Automakers!$D$24,Automakers!$D$26,IF(AND(Automakers!$D$24&lt;=2020,Q$1&gt;Automakers!$D$24),Automakers!$D$26*(1-$D$6*Q13),IF(AND(Automakers!$D$24&gt;2020,Q$1&gt;Automakers!$D$24),Automakers!$D$26*(1-$D$7*Q13),NA()))))</f>
        <v>251818.18181818182</v>
      </c>
      <c r="R21" s="2">
        <f>IF(R$1&lt;Automakers!$D$24,NA(),IF(R$1=Automakers!$D$24,Automakers!$D$26,IF(AND(Automakers!$D$24&lt;=2020,R$1&gt;Automakers!$D$24),Automakers!$D$26*(1-$D$6*R13),IF(AND(Automakers!$D$24&gt;2020,R$1&gt;Automakers!$D$24),Automakers!$D$26*(1-$D$7*R13),NA()))))</f>
        <v>226999.99999999997</v>
      </c>
      <c r="S21" s="2">
        <f>IF(S$1&lt;Automakers!$D$24,NA(),IF(S$1=Automakers!$D$24,Automakers!$D$26,IF(AND(Automakers!$D$24&lt;=2020,S$1&gt;Automakers!$D$24),Automakers!$D$26*(1-$D$6*S13),IF(AND(Automakers!$D$24&gt;2020,S$1&gt;Automakers!$D$24),Automakers!$D$26*(1-$D$7*S13),NA()))))</f>
        <v>202181.81818181818</v>
      </c>
      <c r="T21" s="2">
        <f>IF(T$1&lt;Automakers!$D$24,NA(),IF(T$1=Automakers!$D$24,Automakers!$D$26,IF(AND(Automakers!$D$24&lt;=2020,T$1&gt;Automakers!$D$24),Automakers!$D$26*(1-$D$6*T13),IF(AND(Automakers!$D$24&gt;2020,T$1&gt;Automakers!$D$24),Automakers!$D$26*(1-$D$7*T13),NA()))))</f>
        <v>177363.63636363632</v>
      </c>
      <c r="U21" s="2">
        <f>IF(U$1&lt;Automakers!$D$24,NA(),IF(U$1=Automakers!$D$24,Automakers!$D$26,IF(AND(Automakers!$D$24&lt;=2020,U$1&gt;Automakers!$D$24),Automakers!$D$26*(1-$D$6*U13),IF(AND(Automakers!$D$24&gt;2020,U$1&gt;Automakers!$D$24),Automakers!$D$26*(1-$D$7*U13),NA()))))</f>
        <v>152545.45454545453</v>
      </c>
      <c r="V21" s="2">
        <f>IF(V$1&lt;Automakers!$D$24,NA(),IF(V$1=Automakers!$D$24,Automakers!$D$26,IF(AND(Automakers!$D$24&lt;=2020,V$1&gt;Automakers!$D$24),Automakers!$D$26*(1-$D$6*V13),IF(AND(Automakers!$D$24&gt;2020,V$1&gt;Automakers!$D$24),Automakers!$D$26*(1-$D$7*V13),NA()))))</f>
        <v>127727.27272727269</v>
      </c>
      <c r="W21" s="2">
        <f>IF(W$1&lt;Automakers!$D$24,NA(),IF(W$1=Automakers!$D$24,Automakers!$D$26,IF(AND(Automakers!$D$24&lt;=2020,W$1&gt;Automakers!$D$24),Automakers!$D$26*(1-$D$6*W13),IF(AND(Automakers!$D$24&gt;2020,W$1&gt;Automakers!$D$24),Automakers!$D$26*(1-$D$7*W13),NA()))))</f>
        <v>102909.0909090909</v>
      </c>
      <c r="X21" s="2">
        <f>IF(X$1&lt;Automakers!$D$24,NA(),IF(X$1=Automakers!$D$24,Automakers!$D$26,IF(AND(Automakers!$D$24&lt;=2020,X$1&gt;Automakers!$D$24),Automakers!$D$26*(1-$D$6*X13),IF(AND(Automakers!$D$24&gt;2020,X$1&gt;Automakers!$D$24),Automakers!$D$26*(1-$D$7*X13),NA()))))</f>
        <v>78090.909090909103</v>
      </c>
      <c r="Y21" s="2">
        <f>IF(Y$1&lt;Automakers!$D$24,NA(),IF(Y$1=Automakers!$D$24,Automakers!$D$26,IF(AND(Automakers!$D$24&lt;=2020,Y$1&gt;Automakers!$D$24),Automakers!$D$26*(1-$D$6*Y13),IF(AND(Automakers!$D$24&gt;2020,Y$1&gt;Automakers!$D$24),Automakers!$D$26*(1-$D$7*Y13),NA()))))</f>
        <v>53272.72727272725</v>
      </c>
      <c r="Z21" s="2">
        <f>IF(Z$1&lt;Automakers!$D$24,NA(),IF(Z$1=Automakers!$D$24,Automakers!$D$26,IF(AND(Automakers!$D$24&lt;=2020,Z$1&gt;Automakers!$D$24),Automakers!$D$26*(1-$D$6*Z13),IF(AND(Automakers!$D$24&gt;2020,Z$1&gt;Automakers!$D$24),Automakers!$D$26*(1-$D$7*Z13),NA()))))</f>
        <v>28454.545454545456</v>
      </c>
      <c r="AA21" s="2">
        <f>IF(AA$1&lt;Automakers!$D$24,NA(),IF(AA$1=Automakers!$D$24,Automakers!$D$26,IF(AND(Automakers!$D$24&lt;=2020,AA$1&gt;Automakers!$D$24),Automakers!$D$26*(1-$D$6*AA13),IF(AND(Automakers!$D$24&gt;2020,AA$1&gt;Automakers!$D$24),Automakers!$D$26*(1-$D$7*AA13),NA()))))</f>
        <v>3636.3636363636042</v>
      </c>
      <c r="AB21" s="2">
        <f>IF(AB$1&lt;Automakers!$D$24,NA(),IF(AB$1=Automakers!$D$24,Automakers!$D$26,IF(AND(Automakers!$D$24&lt;=2020,AB$1&gt;Automakers!$D$24),Automakers!$D$26*(1-$D$6*AB13),IF(AND(Automakers!$D$24&gt;2020,AB$1&gt;Automakers!$D$24),Automakers!$D$26*(1-$D$7*AB13),NA()))))</f>
        <v>-21181.818181818191</v>
      </c>
      <c r="AC21" s="2">
        <f>IF(AC$1&lt;Automakers!$D$24,NA(),IF(AC$1=Automakers!$D$24,Automakers!$D$26,IF(AND(Automakers!$D$24&lt;=2020,AC$1&gt;Automakers!$D$24),Automakers!$D$26*(1-$D$6*AC13),IF(AND(Automakers!$D$24&gt;2020,AC$1&gt;Automakers!$D$24),Automakers!$D$26*(1-$D$7*AC13),NA()))))</f>
        <v>-46000.000000000044</v>
      </c>
      <c r="AD21" s="2">
        <f>IF(AD$1&lt;Automakers!$D$24,NA(),IF(AD$1=Automakers!$D$24,Automakers!$D$26,IF(AND(Automakers!$D$24&lt;=2020,AD$1&gt;Automakers!$D$24),Automakers!$D$26*(1-$D$6*AD13),IF(AND(Automakers!$D$24&gt;2020,AD$1&gt;Automakers!$D$24),Automakers!$D$26*(1-$D$7*AD13),NA()))))</f>
        <v>-70818.181818181896</v>
      </c>
      <c r="AE21" s="2">
        <f>IF(AE$1&lt;Automakers!$D$24,NA(),IF(AE$1=Automakers!$D$24,Automakers!$D$26,IF(AND(Automakers!$D$24&lt;=2020,AE$1&gt;Automakers!$D$24),Automakers!$D$26*(1-$D$6*AE13),IF(AND(Automakers!$D$24&gt;2020,AE$1&gt;Automakers!$D$24),Automakers!$D$26*(1-$D$7*AE13),NA()))))</f>
        <v>-95636.363636363632</v>
      </c>
      <c r="AF21" s="2">
        <f>IF(AF$1&lt;Automakers!$D$24,NA(),IF(AF$1=Automakers!$D$24,Automakers!$D$26,IF(AND(Automakers!$D$24&lt;=2020,AF$1&gt;Automakers!$D$24),Automakers!$D$26*(1-$D$6*AF13),IF(AND(Automakers!$D$24&gt;2020,AF$1&gt;Automakers!$D$24),Automakers!$D$26*(1-$D$7*AF13),NA()))))</f>
        <v>-120454.54545454548</v>
      </c>
      <c r="AG21" s="2">
        <f>IF(AG$1&lt;Automakers!$D$24,NA(),IF(AG$1=Automakers!$D$24,Automakers!$D$26,IF(AND(Automakers!$D$24&lt;=2020,AG$1&gt;Automakers!$D$24),Automakers!$D$26*(1-$D$6*AG13),IF(AND(Automakers!$D$24&gt;2020,AG$1&gt;Automakers!$D$24),Automakers!$D$26*(1-$D$7*AG13),NA()))))</f>
        <v>-145272.72727272732</v>
      </c>
      <c r="AH21" s="2">
        <f>IF(AH$1&lt;Automakers!$D$24,NA(),IF(AH$1=Automakers!$D$24,Automakers!$D$26,IF(AND(Automakers!$D$24&lt;=2020,AH$1&gt;Automakers!$D$24),Automakers!$D$26*(1-$D$6*AH13),IF(AND(Automakers!$D$24&gt;2020,AH$1&gt;Automakers!$D$24),Automakers!$D$26*(1-$D$7*AH13),NA()))))</f>
        <v>-170090.90909090906</v>
      </c>
      <c r="AI21" s="2">
        <f>IF(AI$1&lt;Automakers!$D$24,NA(),IF(AI$1=Automakers!$D$24,Automakers!$D$26,IF(AND(Automakers!$D$24&lt;=2020,AI$1&gt;Automakers!$D$24),Automakers!$D$26*(1-$D$6*AI13),IF(AND(Automakers!$D$24&gt;2020,AI$1&gt;Automakers!$D$24),Automakers!$D$26*(1-$D$7*AI13),NA()))))</f>
        <v>-194909.09090909091</v>
      </c>
    </row>
    <row r="22" spans="1:35" s="2" customFormat="1" hidden="1" x14ac:dyDescent="0.15">
      <c r="A22"/>
      <c r="B22" t="s">
        <v>154</v>
      </c>
      <c r="C22" t="s">
        <v>29</v>
      </c>
      <c r="D22" s="180">
        <f>IF(D10&gt;0,D10+(((Automakers!$D$27-Automakers!$D$28)/(2050-Automakers!$D$28))*(D11-D10))-D24,0)</f>
        <v>0</v>
      </c>
    </row>
    <row r="23" spans="1:35" s="2" customFormat="1" hidden="1" x14ac:dyDescent="0.15">
      <c r="A23"/>
      <c r="B23" t="s">
        <v>99</v>
      </c>
      <c r="C23" t="s">
        <v>47</v>
      </c>
      <c r="D23" s="183">
        <f>IF(Automakers!$D$26&lt;&gt;0,HLOOKUP(Automakers!$D$27,Calculations!$H$1:$AI$25,ROW(Calculations!B21)),0)</f>
        <v>226999.99999999997</v>
      </c>
    </row>
    <row r="24" spans="1:35" s="2" customFormat="1" hidden="1" x14ac:dyDescent="0.15">
      <c r="A24"/>
      <c r="B24" t="s">
        <v>99</v>
      </c>
      <c r="C24" t="s">
        <v>29</v>
      </c>
      <c r="D24" s="180">
        <f>IF(Automakers!$D$26&lt;&gt;0,(1-$D$23/Automakers!$D$26),0)</f>
        <v>0.54600000000000004</v>
      </c>
    </row>
    <row r="25" spans="1:35" s="2" customFormat="1" hidden="1" x14ac:dyDescent="0.15">
      <c r="A25"/>
      <c r="B25" t="s">
        <v>100</v>
      </c>
      <c r="C25" t="s">
        <v>29</v>
      </c>
      <c r="D25" s="180">
        <f>IF($D$10&gt;=0.9,$D$10,IF($D$22&gt;0,$D$24+$D$22,$D$24))</f>
        <v>0.54600000000000004</v>
      </c>
    </row>
    <row r="26" spans="1:35" s="2" customFormat="1" hidden="1" x14ac:dyDescent="0.15">
      <c r="A26"/>
      <c r="B26" t="s">
        <v>153</v>
      </c>
      <c r="C26" t="s">
        <v>47</v>
      </c>
      <c r="D26"/>
      <c r="E26" s="2" t="e">
        <f>IF(E$1&lt;Automakers!$D$24,NA(),IF($D$22&lt;=0,E21,IF(E$1=Automakers!$D$24,Automakers!$D$26,IF(E$1=Automakers!$D$28,Automakers!$D$30,IF(E$1=Automakers!$D$27,Automakers!$H$36,IF(E$1=2050,Automakers!$D$26*(1-Calculations!$D$11),NA()))))))</f>
        <v>#N/A</v>
      </c>
      <c r="F26" s="2" t="e">
        <f>IF(F$1&lt;Automakers!$D$24,NA(),IF($D$22&lt;=0,F21,IF(F$1=Automakers!$D$24,Automakers!$D$26,IF(F$1=Automakers!$D$28,Automakers!$D$30,IF(F$1=Automakers!$D$27,Automakers!$H$36,IF(F$1=2050,Automakers!$D$26*(1-Calculations!$D$11),NA()))))))</f>
        <v>#N/A</v>
      </c>
      <c r="G26" s="2">
        <f>IF(G$1&lt;Automakers!$D$24,NA(),IF($D$22&lt;=0,G21,IF(G$1=Automakers!$D$24,Automakers!$D$26,IF(G$1=Automakers!$D$28,Automakers!$D$30,IF(G$1=Automakers!$D$27,Automakers!$H$36,IF(G$1=2050,Automakers!$D$26*(1-Calculations!$D$11),NA()))))))</f>
        <v>500000</v>
      </c>
      <c r="H26" s="2">
        <f>IF(H$1&lt;Automakers!$D$24,NA(),IF($D$22&lt;=0,H21,IF(H$1=Automakers!$D$24,Automakers!$D$26,IF(H$1=Automakers!$D$28,Automakers!$D$30,IF(H$1=Automakers!$D$27,Automakers!$H$36,IF(H$1=2050,Automakers!$D$26*(1-Calculations!$D$11),NA()))))))</f>
        <v>475181.81818181818</v>
      </c>
      <c r="I26" s="2">
        <f>IF(I$1&lt;Automakers!$D$24,NA(),IF($D$22&lt;=0,I21,IF(I$1=Automakers!$D$24,Automakers!$D$26,IF(I$1=Automakers!$D$28,Automakers!$D$30,IF(I$1=Automakers!$D$27,Automakers!$H$36,IF(I$1=2050,Automakers!$D$26*(1-Calculations!$D$11),NA()))))))</f>
        <v>450363.63636363635</v>
      </c>
      <c r="J26" s="2">
        <f>IF(J$1&lt;Automakers!$D$24,NA(),IF($D$22&lt;=0,J21,IF(J$1=Automakers!$D$24,Automakers!$D$26,IF(J$1=Automakers!$D$28,Automakers!$D$30,IF(J$1=Automakers!$D$27,Automakers!$H$36,IF(J$1=2050,Automakers!$D$26*(1-Calculations!$D$11),NA()))))))</f>
        <v>425545.45454545459</v>
      </c>
      <c r="K26" s="2">
        <f>IF(K$1&lt;Automakers!$D$24,NA(),IF($D$22&lt;=0,K21,IF(K$1=Automakers!$D$24,Automakers!$D$26,IF(K$1=Automakers!$D$28,Automakers!$D$30,IF(K$1=Automakers!$D$27,Automakers!$H$36,IF(K$1=2050,Automakers!$D$26*(1-Calculations!$D$11),NA()))))))</f>
        <v>400727.27272727271</v>
      </c>
      <c r="L26" s="2">
        <f>IF(L$1&lt;Automakers!$D$24,NA(),IF($D$22&lt;=0,L21,IF(L$1=Automakers!$D$24,Automakers!$D$26,IF(L$1=Automakers!$D$28,Automakers!$D$30,IF(L$1=Automakers!$D$27,Automakers!$H$36,IF(L$1=2050,Automakers!$D$26*(1-Calculations!$D$11),NA()))))))</f>
        <v>375909.09090909094</v>
      </c>
      <c r="M26" s="2">
        <f>IF(M$1&lt;Automakers!$D$24,NA(),IF($D$22&lt;=0,M21,IF(M$1=Automakers!$D$24,Automakers!$D$26,IF(M$1=Automakers!$D$28,Automakers!$D$30,IF(M$1=Automakers!$D$27,Automakers!$H$36,IF(M$1=2050,Automakers!$D$26*(1-Calculations!$D$11),NA()))))))</f>
        <v>351090.90909090912</v>
      </c>
      <c r="N26" s="2">
        <f>IF(N$1&lt;Automakers!$D$24,NA(),IF($D$22&lt;=0,N21,IF(N$1=Automakers!$D$24,Automakers!$D$26,IF(N$1=Automakers!$D$28,Automakers!$D$30,IF(N$1=Automakers!$D$27,Automakers!$H$36,IF(N$1=2050,Automakers!$D$26*(1-Calculations!$D$11),NA()))))))</f>
        <v>326272.72727272729</v>
      </c>
      <c r="O26" s="2">
        <f>IF(O$1&lt;Automakers!$D$24,NA(),IF($D$22&lt;=0,O21,IF(O$1=Automakers!$D$24,Automakers!$D$26,IF(O$1=Automakers!$D$28,Automakers!$D$30,IF(O$1=Automakers!$D$27,Automakers!$H$36,IF(O$1=2050,Automakers!$D$26*(1-Calculations!$D$11),NA()))))))</f>
        <v>301454.54545454541</v>
      </c>
      <c r="P26" s="2">
        <f>IF(P$1&lt;Automakers!$D$24,NA(),IF($D$22&lt;=0,P21,IF(P$1=Automakers!$D$24,Automakers!$D$26,IF(P$1=Automakers!$D$28,Automakers!$D$30,IF(P$1=Automakers!$D$27,Automakers!$H$36,IF(P$1=2050,Automakers!$D$26*(1-Calculations!$D$11),NA()))))))</f>
        <v>276636.36363636365</v>
      </c>
      <c r="Q26" s="2">
        <f>IF(Q$1&lt;Automakers!$D$24,NA(),IF($D$22&lt;=0,Q21,IF(Q$1=Automakers!$D$24,Automakers!$D$26,IF(Q$1=Automakers!$D$28,Automakers!$D$30,IF(Q$1=Automakers!$D$27,Automakers!$H$36,IF(Q$1=2050,Automakers!$D$26*(1-Calculations!$D$11),NA()))))))</f>
        <v>251818.18181818182</v>
      </c>
      <c r="R26" s="2">
        <f>IF(R$1&lt;Automakers!$D$24,NA(),IF($D$22&lt;=0,R21,IF(R$1=Automakers!$D$24,Automakers!$D$26,IF(R$1=Automakers!$D$28,Automakers!$D$30,IF(R$1=Automakers!$D$27,Automakers!$H$36,IF(R$1=2050,Automakers!$D$26*(1-Calculations!$D$11),NA()))))))</f>
        <v>226999.99999999997</v>
      </c>
      <c r="S26" s="2">
        <f>IF(S$1&lt;Automakers!$D$24,NA(),IF($D$22&lt;=0,S21,IF(S$1=Automakers!$D$24,Automakers!$D$26,IF(S$1=Automakers!$D$28,Automakers!$D$30,IF(S$1=Automakers!$D$27,Automakers!$H$36,IF(S$1=2050,Automakers!$D$26*(1-Calculations!$D$11),NA()))))))</f>
        <v>202181.81818181818</v>
      </c>
      <c r="T26" s="2">
        <f>IF(T$1&lt;Automakers!$D$24,NA(),IF($D$22&lt;=0,T21,IF(T$1=Automakers!$D$24,Automakers!$D$26,IF(T$1=Automakers!$D$28,Automakers!$D$30,IF(T$1=Automakers!$D$27,Automakers!$H$36,IF(T$1=2050,Automakers!$D$26*(1-Calculations!$D$11),NA()))))))</f>
        <v>177363.63636363632</v>
      </c>
      <c r="U26" s="2" t="e">
        <f>IF(U$1&lt;Automakers!$D$24,NA(),IF($D$22&lt;0,U21,IF(U$1=Automakers!$D$24,Automakers!$D$26,IF(U$1=Automakers!$D$28,Automakers!$D$30,IF(U$1=Automakers!$D$27,Automakers!$H$36,IF(U$1=2050,Automakers!$D$26*(1-Calculations!$D$11),NA()))))))</f>
        <v>#N/A</v>
      </c>
      <c r="V26" s="2" t="e">
        <f>IF(V$1&lt;Automakers!$D$24,NA(),IF($D$22&lt;0,V21,IF(V$1=Automakers!$D$24,Automakers!$D$26,IF(V$1=Automakers!$D$28,Automakers!$D$30,IF(V$1=Automakers!$D$27,Automakers!$H$36,IF(V$1=2050,Automakers!$D$26*(1-Calculations!$D$11),NA()))))))</f>
        <v>#N/A</v>
      </c>
      <c r="W26" s="2" t="e">
        <f>IF(W$1&lt;Automakers!$D$24,NA(),IF($D$22&lt;0,W21,IF(W$1=Automakers!$D$24,Automakers!$D$26,IF(W$1=Automakers!$D$28,Automakers!$D$30,IF(W$1=Automakers!$D$27,Automakers!$H$36,IF(W$1=2050,Automakers!$D$26*(1-Calculations!$D$11),NA()))))))</f>
        <v>#N/A</v>
      </c>
      <c r="X26" s="2" t="e">
        <f>IF(X$1&lt;Automakers!$D$24,NA(),IF($D$22&lt;0,X21,IF(X$1=Automakers!$D$24,Automakers!$D$26,IF(X$1=Automakers!$D$28,Automakers!$D$30,IF(X$1=Automakers!$D$27,Automakers!$H$36,IF(X$1=2050,Automakers!$D$26*(1-Calculations!$D$11),NA()))))))</f>
        <v>#N/A</v>
      </c>
      <c r="Y26" s="2" t="e">
        <f>IF(Y$1&lt;Automakers!$D$24,NA(),IF($D$22&lt;0,Y21,IF(Y$1=Automakers!$D$24,Automakers!$D$26,IF(Y$1=Automakers!$D$28,Automakers!$D$30,IF(Y$1=Automakers!$D$27,Automakers!$H$36,IF(Y$1=2050,Automakers!$D$26*(1-Calculations!$D$11),NA()))))))</f>
        <v>#N/A</v>
      </c>
      <c r="Z26" s="2" t="e">
        <f>IF(Z$1&lt;Automakers!$D$24,NA(),IF($D$22&lt;0,Z21,IF(Z$1=Automakers!$D$24,Automakers!$D$26,IF(Z$1=Automakers!$D$28,Automakers!$D$30,IF(Z$1=Automakers!$D$27,Automakers!$H$36,IF(Z$1=2050,Automakers!$D$26*(1-Calculations!$D$11),NA()))))))</f>
        <v>#N/A</v>
      </c>
      <c r="AA26" s="2" t="e">
        <f>IF(AA$1&lt;Automakers!$D$24,NA(),IF($D$22&lt;0,AA21,IF(AA$1=Automakers!$D$24,Automakers!$D$26,IF(AA$1=Automakers!$D$28,Automakers!$D$30,IF(AA$1=Automakers!$D$27,Automakers!$H$36,IF(AA$1=2050,Automakers!$D$26*(1-Calculations!$D$11),NA()))))))</f>
        <v>#N/A</v>
      </c>
      <c r="AB26" s="2" t="e">
        <f>IF(AB$1&lt;Automakers!$D$24,NA(),IF($D$22&lt;0,AB21,IF(AB$1=Automakers!$D$24,Automakers!$D$26,IF(AB$1=Automakers!$D$28,Automakers!$D$30,IF(AB$1=Automakers!$D$27,Automakers!$H$36,IF(AB$1=2050,Automakers!$D$26*(1-Calculations!$D$11),NA()))))))</f>
        <v>#N/A</v>
      </c>
      <c r="AC26" s="2" t="e">
        <f>IF(AC$1&lt;Automakers!$D$24,NA(),IF($D$22&lt;0,AC21,IF(AC$1=Automakers!$D$24,Automakers!$D$26,IF(AC$1=Automakers!$D$28,Automakers!$D$30,IF(AC$1=Automakers!$D$27,Automakers!$H$36,IF(AC$1=2050,Automakers!$D$26*(1-Calculations!$D$11),NA()))))))</f>
        <v>#N/A</v>
      </c>
      <c r="AD26" s="2" t="e">
        <f>IF(AD$1&lt;Automakers!$D$24,NA(),IF($D$22&lt;0,AD21,IF(AD$1=Automakers!$D$24,Automakers!$D$26,IF(AD$1=Automakers!$D$28,Automakers!$D$30,IF(AD$1=Automakers!$D$27,Automakers!$H$36,IF(AD$1=2050,Automakers!$D$26*(1-Calculations!$D$11),NA()))))))</f>
        <v>#N/A</v>
      </c>
      <c r="AE26" s="2" t="e">
        <f>IF(AE$1&lt;Automakers!$D$24,NA(),IF($D$22&lt;0,AE21,IF(AE$1=Automakers!$D$24,Automakers!$D$26,IF(AE$1=Automakers!$D$28,Automakers!$D$30,IF(AE$1=Automakers!$D$27,Automakers!$H$36,IF(AE$1=2050,Automakers!$D$26*(1-Calculations!$D$11),NA()))))))</f>
        <v>#N/A</v>
      </c>
      <c r="AF26" s="2" t="e">
        <f>IF(AF$1&lt;Automakers!$D$24,NA(),IF($D$22&lt;0,AF21,IF(AF$1=Automakers!$D$24,Automakers!$D$26,IF(AF$1=Automakers!$D$28,Automakers!$D$30,IF(AF$1=Automakers!$D$27,Automakers!$H$36,IF(AF$1=2050,Automakers!$D$26*(1-Calculations!$D$11),NA()))))))</f>
        <v>#N/A</v>
      </c>
      <c r="AG26" s="2" t="e">
        <f>IF(AG$1&lt;Automakers!$D$24,NA(),IF($D$22&lt;0,AG21,IF(AG$1=Automakers!$D$24,Automakers!$D$26,IF(AG$1=Automakers!$D$28,Automakers!$D$30,IF(AG$1=Automakers!$D$27,Automakers!$H$36,IF(AG$1=2050,Automakers!$D$26*(1-Calculations!$D$11),NA()))))))</f>
        <v>#N/A</v>
      </c>
      <c r="AH26" s="2" t="e">
        <f>IF(AH$1&lt;Automakers!$D$24,NA(),IF($D$22&lt;0,AH21,IF(AH$1=Automakers!$D$24,Automakers!$D$26,IF(AH$1=Automakers!$D$28,Automakers!$D$30,IF(AH$1=Automakers!$D$27,Automakers!$H$36,IF(AH$1=2050,Automakers!$D$26*(1-Calculations!$D$11),NA()))))))</f>
        <v>#N/A</v>
      </c>
      <c r="AI26" s="2">
        <f>IF(AI$1&lt;Automakers!$D$24,NA(),IF($D$22&lt;0,AI21,IF(AI$1=Automakers!$D$24,Automakers!$D$26,IF(AI$1=Automakers!$D$28,Automakers!$D$30,IF(AI$1=Automakers!$D$27,Automakers!$H$36,IF(AI$1=2050,Automakers!$D$26*(1-Calculations!$D$11),NA()))))))</f>
        <v>49999.999999999985</v>
      </c>
    </row>
    <row r="27" spans="1:35" hidden="1" x14ac:dyDescent="0.15"/>
    <row r="28" spans="1:35" s="178" customFormat="1" ht="23" x14ac:dyDescent="0.25">
      <c r="A28" s="177" t="s">
        <v>391</v>
      </c>
      <c r="E28" s="179"/>
      <c r="F28" s="179"/>
      <c r="G28" s="179"/>
      <c r="H28" s="179"/>
      <c r="I28" s="179"/>
      <c r="J28" s="179"/>
      <c r="K28" s="179"/>
      <c r="L28" s="179"/>
      <c r="M28" s="179"/>
      <c r="N28" s="179"/>
      <c r="O28" s="179"/>
      <c r="P28" s="179"/>
      <c r="Q28" s="179"/>
      <c r="R28" s="179"/>
      <c r="S28" s="179"/>
      <c r="T28" s="179"/>
      <c r="U28" s="179"/>
      <c r="V28" s="179"/>
      <c r="W28" s="179"/>
      <c r="X28" s="179"/>
      <c r="Y28" s="179"/>
      <c r="Z28" s="179"/>
      <c r="AA28" s="179"/>
      <c r="AB28" s="179"/>
      <c r="AC28" s="179"/>
      <c r="AD28" s="179"/>
      <c r="AE28" s="179"/>
      <c r="AF28" s="179"/>
      <c r="AG28" s="179"/>
      <c r="AH28" s="179"/>
      <c r="AI28" s="179"/>
    </row>
    <row r="29" spans="1:35" x14ac:dyDescent="0.15">
      <c r="A29" s="1" t="str">
        <f>"Sector: "&amp;Automakers!$D$73&amp;""</f>
        <v xml:space="preserve">Sector: </v>
      </c>
      <c r="E29"/>
      <c r="F29"/>
      <c r="G29"/>
      <c r="H29"/>
      <c r="I29"/>
      <c r="J29"/>
      <c r="K29"/>
      <c r="L29"/>
      <c r="M29"/>
      <c r="N29"/>
      <c r="O29"/>
      <c r="P29"/>
      <c r="Q29"/>
      <c r="R29"/>
      <c r="S29"/>
      <c r="T29"/>
      <c r="U29"/>
      <c r="V29"/>
      <c r="W29"/>
      <c r="X29"/>
      <c r="Y29"/>
      <c r="Z29"/>
      <c r="AA29"/>
      <c r="AB29"/>
      <c r="AC29"/>
      <c r="AD29"/>
      <c r="AE29"/>
      <c r="AF29"/>
      <c r="AG29"/>
      <c r="AH29"/>
      <c r="AI29"/>
    </row>
    <row r="30" spans="1:35" x14ac:dyDescent="0.15">
      <c r="A30" s="1" t="str">
        <f>"Region: "&amp;Automakers!D72&amp;""</f>
        <v xml:space="preserve">Region: </v>
      </c>
      <c r="C30" s="184"/>
      <c r="D30" s="184"/>
      <c r="E30"/>
      <c r="F30"/>
      <c r="G30"/>
      <c r="H30"/>
      <c r="I30"/>
      <c r="J30"/>
      <c r="K30"/>
      <c r="L30"/>
      <c r="M30"/>
      <c r="N30"/>
      <c r="O30"/>
      <c r="P30"/>
      <c r="Q30"/>
      <c r="R30"/>
      <c r="S30"/>
      <c r="T30"/>
      <c r="U30"/>
      <c r="V30"/>
      <c r="W30"/>
      <c r="X30"/>
      <c r="Y30"/>
      <c r="Z30"/>
      <c r="AA30"/>
      <c r="AB30"/>
      <c r="AC30"/>
      <c r="AD30"/>
      <c r="AE30"/>
      <c r="AF30"/>
      <c r="AG30"/>
      <c r="AH30"/>
      <c r="AI30"/>
    </row>
    <row r="31" spans="1:35" x14ac:dyDescent="0.15">
      <c r="A31" s="1"/>
      <c r="B31" t="s">
        <v>30</v>
      </c>
      <c r="E31" s="1"/>
      <c r="F31" s="1"/>
      <c r="G31" s="1">
        <f>IF(AND(G$1&gt;=Automakers!$D$74,G$1&lt;=2050),IF(G$1=Automakers!$D$74,Automakers!$D$74,G$1),NA())</f>
        <v>2022</v>
      </c>
      <c r="H31" s="1">
        <f>IF(AND(H$1&gt;=Automakers!$D$74,H$1&lt;=2050),IF(H$1=Automakers!$D$74,Automakers!$D$74,H$1),NA())</f>
        <v>2023</v>
      </c>
      <c r="I31" s="1">
        <f>IF(AND(I$1&gt;=Automakers!$D$74,I$1&lt;=2050),IF(I$1=Automakers!$D$74,Automakers!$D$74,I$1),NA())</f>
        <v>2024</v>
      </c>
      <c r="J31" s="1">
        <f>IF(AND(J$1&gt;=Automakers!$D$74,J$1&lt;=2050),IF(J$1=Automakers!$D$74,Automakers!$D$74,J$1),NA())</f>
        <v>2025</v>
      </c>
      <c r="K31" s="1">
        <f>IF(AND(K$1&gt;=Automakers!$D$74,K$1&lt;=2050),IF(K$1=Automakers!$D$74,Automakers!$D$74,K$1),NA())</f>
        <v>2026</v>
      </c>
      <c r="L31" s="1">
        <f>IF(AND(L$1&gt;=Automakers!$D$74,L$1&lt;=2050),IF(L$1=Automakers!$D$74,Automakers!$D$74,L$1),NA())</f>
        <v>2027</v>
      </c>
      <c r="M31" s="1">
        <f>IF(AND(M$1&gt;=Automakers!$D$74,M$1&lt;=2050),IF(M$1=Automakers!$D$74,Automakers!$D$74,M$1),NA())</f>
        <v>2028</v>
      </c>
      <c r="N31" s="1">
        <f>IF(AND(N$1&gt;=Automakers!$D$74,N$1&lt;=2050),IF(N$1=Automakers!$D$74,Automakers!$D$74,N$1),NA())</f>
        <v>2029</v>
      </c>
      <c r="O31" s="1">
        <f>IF(AND(O$1&gt;=Automakers!$D$74,O$1&lt;=2050),IF(O$1=Automakers!$D$74,Automakers!$D$74,O$1),NA())</f>
        <v>2030</v>
      </c>
      <c r="P31" s="1">
        <f>IF(AND(P$1&gt;=Automakers!$D$74,P$1&lt;=2050),IF(P$1=Automakers!$D$74,Automakers!$D$74,P$1),NA())</f>
        <v>2031</v>
      </c>
      <c r="Q31" s="1">
        <f>IF(AND(Q$1&gt;=Automakers!$D$74,Q$1&lt;=2050),IF(Q$1=Automakers!$D$74,Automakers!$D$74,Q$1),NA())</f>
        <v>2032</v>
      </c>
      <c r="R31" s="1">
        <f>IF(AND(R$1&gt;=Automakers!$D$74,R$1&lt;=2050),IF(R$1=Automakers!$D$74,Automakers!$D$74,R$1),NA())</f>
        <v>2033</v>
      </c>
      <c r="S31" s="1">
        <f>IF(AND(S$1&gt;=Automakers!$D$74,S$1&lt;=2050),IF(S$1=Automakers!$D$74,Automakers!$D$74,S$1),NA())</f>
        <v>2034</v>
      </c>
      <c r="T31" s="1">
        <f>IF(AND(T$1&gt;=Automakers!$D$74,T$1&lt;=2050),IF(T$1=Automakers!$D$74,Automakers!$D$74,T$1),NA())</f>
        <v>2035</v>
      </c>
      <c r="U31" s="1">
        <f>IF(AND(U$1&gt;=Automakers!$D$74,U$1&lt;=2050),IF(U$1=Automakers!$D$74,Automakers!$D$74,U$1),NA())</f>
        <v>2036</v>
      </c>
      <c r="V31" s="1">
        <f>IF(AND(V$1&gt;=Automakers!$D$74,V$1&lt;=2050),IF(V$1=Automakers!$D$74,Automakers!$D$74,V$1),NA())</f>
        <v>2037</v>
      </c>
      <c r="W31" s="1">
        <f>IF(AND(W$1&gt;=Automakers!$D$74,W$1&lt;=2050),IF(W$1=Automakers!$D$74,Automakers!$D$74,W$1),NA())</f>
        <v>2038</v>
      </c>
      <c r="X31" s="1">
        <f>IF(AND(X$1&gt;=Automakers!$D$74,X$1&lt;=2050),IF(X$1=Automakers!$D$74,Automakers!$D$74,X$1),NA())</f>
        <v>2039</v>
      </c>
      <c r="Y31" s="1">
        <f>IF(AND(Y$1&gt;=Automakers!$D$74,Y$1&lt;=2050),IF(Y$1=Automakers!$D$74,Automakers!$D$74,Y$1),NA())</f>
        <v>2040</v>
      </c>
      <c r="Z31" s="1">
        <f>IF(AND(Z$1&gt;=Automakers!$D$74,Z$1&lt;=2050),IF(Z$1=Automakers!$D$74,Automakers!$D$74,Z$1),NA())</f>
        <v>2041</v>
      </c>
      <c r="AA31" s="1">
        <f>IF(AND(AA$1&gt;=Automakers!$D$74,AA$1&lt;=2050),IF(AA$1=Automakers!$D$74,Automakers!$D$74,AA$1),NA())</f>
        <v>2042</v>
      </c>
      <c r="AB31" s="1">
        <f>IF(AND(AB$1&gt;=Automakers!$D$74,AB$1&lt;=2050),IF(AB$1=Automakers!$D$74,Automakers!$D$74,AB$1),NA())</f>
        <v>2043</v>
      </c>
      <c r="AC31" s="1">
        <f>IF(AND(AC$1&gt;=Automakers!$D$74,AC$1&lt;=2050),IF(AC$1=Automakers!$D$74,Automakers!$D$74,AC$1),NA())</f>
        <v>2044</v>
      </c>
      <c r="AD31" s="1">
        <f>IF(AND(AD$1&gt;=Automakers!$D$74,AD$1&lt;=2050),IF(AD$1=Automakers!$D$74,Automakers!$D$74,AD$1),NA())</f>
        <v>2045</v>
      </c>
      <c r="AE31" s="1">
        <f>IF(AND(AE$1&gt;=Automakers!$D$74,AE$1&lt;=2050),IF(AE$1=Automakers!$D$74,Automakers!$D$74,AE$1),NA())</f>
        <v>2046</v>
      </c>
      <c r="AF31" s="1">
        <f>IF(AND(AF$1&gt;=Automakers!$D$74,AF$1&lt;=2050),IF(AF$1=Automakers!$D$74,Automakers!$D$74,AF$1),NA())</f>
        <v>2047</v>
      </c>
      <c r="AG31" s="1">
        <f>IF(AND(AG$1&gt;=Automakers!$D$74,AG$1&lt;=2050),IF(AG$1=Automakers!$D$74,Automakers!$D$74,AG$1),NA())</f>
        <v>2048</v>
      </c>
      <c r="AH31" s="1">
        <f>IF(AND(AH$1&gt;=Automakers!$D$74,AH$1&lt;=2050),IF(AH$1=Automakers!$D$74,Automakers!$D$74,AH$1),NA())</f>
        <v>2049</v>
      </c>
      <c r="AI31" s="1">
        <f>IF(AND(AI$1&gt;=Automakers!$D$74,AI$1&lt;=2050),IF(AI$1=Automakers!$D$74,Automakers!$D$74,AI$1),NA())</f>
        <v>2050</v>
      </c>
    </row>
    <row r="32" spans="1:35" x14ac:dyDescent="0.15">
      <c r="A32" s="1"/>
      <c r="E32"/>
      <c r="F32"/>
      <c r="G32"/>
      <c r="H32"/>
      <c r="I32"/>
      <c r="J32"/>
      <c r="K32"/>
      <c r="L32"/>
      <c r="M32"/>
      <c r="N32"/>
      <c r="O32"/>
      <c r="P32"/>
      <c r="Q32"/>
      <c r="R32"/>
      <c r="S32"/>
      <c r="T32"/>
      <c r="U32"/>
      <c r="V32"/>
      <c r="W32"/>
      <c r="X32"/>
      <c r="Y32"/>
      <c r="Z32"/>
      <c r="AA32"/>
      <c r="AB32"/>
      <c r="AC32"/>
      <c r="AD32"/>
      <c r="AE32"/>
      <c r="AF32"/>
      <c r="AG32"/>
      <c r="AH32"/>
      <c r="AI32"/>
    </row>
    <row r="33" spans="1:35" x14ac:dyDescent="0.15">
      <c r="A33" s="1" t="s">
        <v>452</v>
      </c>
      <c r="D33" s="185"/>
      <c r="E33" s="185"/>
      <c r="F33" s="185"/>
      <c r="G33" s="185"/>
      <c r="H33" s="185"/>
      <c r="I33" s="185"/>
      <c r="J33" s="185"/>
      <c r="K33" s="185"/>
      <c r="L33" s="185"/>
      <c r="M33" s="185"/>
      <c r="N33" s="185"/>
      <c r="O33" s="185"/>
      <c r="P33" s="185"/>
      <c r="Q33" s="185"/>
      <c r="R33" s="185"/>
      <c r="S33" s="185"/>
      <c r="T33" s="185"/>
      <c r="U33" s="185"/>
      <c r="V33" s="185"/>
      <c r="W33" s="185"/>
      <c r="X33" s="185"/>
      <c r="Y33" s="185"/>
      <c r="Z33" s="185"/>
      <c r="AA33" s="185"/>
      <c r="AB33" s="185"/>
      <c r="AC33" s="185"/>
      <c r="AD33" s="185"/>
      <c r="AE33" s="185"/>
      <c r="AF33" s="185"/>
      <c r="AG33" s="185"/>
      <c r="AH33" s="185"/>
      <c r="AI33" s="185"/>
    </row>
    <row r="34" spans="1:35" x14ac:dyDescent="0.15">
      <c r="A34" t="s">
        <v>259</v>
      </c>
      <c r="B34" t="s">
        <v>450</v>
      </c>
      <c r="C34" t="s">
        <v>264</v>
      </c>
      <c r="D34" s="186" t="s">
        <v>306</v>
      </c>
      <c r="E34" s="1"/>
      <c r="F34" s="1"/>
      <c r="G34" s="185" t="e">
        <f t="array" ref="G34">INDEX(Database!T$2:AX$17,MATCH($A$34&amp;Automakers!$D$72&amp;Automakers!$D$73,Database!$A2:$A17&amp;Database!$C2:$C17&amp;Database!$G2:$G17,0),1)</f>
        <v>#N/A</v>
      </c>
      <c r="H34" s="185" t="e">
        <f t="array" ref="H34">INDEX(Database!U$2:AY$17,MATCH($A$34&amp;Automakers!$D$72&amp;Automakers!$D$73,Database!$A2:$A17&amp;Database!$C2:$C17&amp;Database!$G2:$G17,0),1)</f>
        <v>#N/A</v>
      </c>
      <c r="I34" s="185" t="e">
        <f t="array" ref="I34">INDEX(Database!V$2:AZ$17,MATCH($A$34&amp;Automakers!$D$72&amp;Automakers!$D$73,Database!$A2:$A17&amp;Database!$C2:$C17&amp;Database!$G2:$G17,0),1)</f>
        <v>#N/A</v>
      </c>
      <c r="J34" s="185" t="e">
        <f t="array" ref="J34">INDEX(Database!W$2:BA$17,MATCH($A$34&amp;Automakers!$D$72&amp;Automakers!$D$73,Database!$A2:$A17&amp;Database!$C2:$C17&amp;Database!$G2:$G17,0),1)</f>
        <v>#N/A</v>
      </c>
      <c r="K34" s="185" t="e">
        <f t="array" ref="K34">INDEX(Database!X$2:BB$17,MATCH($A$34&amp;Automakers!$D$72&amp;Automakers!$D$73,Database!$A2:$A17&amp;Database!$C2:$C17&amp;Database!$G2:$G17,0),1)</f>
        <v>#N/A</v>
      </c>
      <c r="L34" s="185" t="e">
        <f t="array" ref="L34">INDEX(Database!Y$2:BC$17,MATCH($A$34&amp;Automakers!$D$72&amp;Automakers!$D$73,Database!$A2:$A17&amp;Database!$C2:$C17&amp;Database!$G2:$G17,0),1)</f>
        <v>#N/A</v>
      </c>
      <c r="M34" s="185" t="e">
        <f t="array" ref="M34">INDEX(Database!Z$2:BD$17,MATCH($A$34&amp;Automakers!$D$72&amp;Automakers!$D$73,Database!$A2:$A17&amp;Database!$C2:$C17&amp;Database!$G2:$G17,0),1)</f>
        <v>#N/A</v>
      </c>
      <c r="N34" s="185" t="e">
        <f t="array" ref="N34">INDEX(Database!AA$2:BE$17,MATCH($A$34&amp;Automakers!$D$72&amp;Automakers!$D$73,Database!$A2:$A17&amp;Database!$C2:$C17&amp;Database!$G2:$G17,0),1)</f>
        <v>#N/A</v>
      </c>
      <c r="O34" s="185" t="e">
        <f t="array" ref="O34">INDEX(Database!AB$2:BF$17,MATCH($A$34&amp;Automakers!$D$72&amp;Automakers!$D$73,Database!$A2:$A17&amp;Database!$C2:$C17&amp;Database!$G2:$G17,0),1)</f>
        <v>#N/A</v>
      </c>
      <c r="P34" s="185" t="e">
        <f t="array" ref="P34">INDEX(Database!AC$2:BG$17,MATCH($A$34&amp;Automakers!$D$72&amp;Automakers!$D$73,Database!$A2:$A17&amp;Database!$C2:$C17&amp;Database!$G2:$G17,0),1)</f>
        <v>#N/A</v>
      </c>
      <c r="Q34" s="185" t="e">
        <f t="array" ref="Q34">INDEX(Database!AD$2:BH$17,MATCH($A$34&amp;Automakers!$D$72&amp;Automakers!$D$73,Database!$A2:$A17&amp;Database!$C2:$C17&amp;Database!$G2:$G17,0),1)</f>
        <v>#N/A</v>
      </c>
      <c r="R34" s="185" t="e">
        <f t="array" ref="R34">INDEX(Database!AE$2:BI$17,MATCH($A$34&amp;Automakers!$D$72&amp;Automakers!$D$73,Database!$A2:$A17&amp;Database!$C2:$C17&amp;Database!$G2:$G17,0),1)</f>
        <v>#N/A</v>
      </c>
      <c r="S34" s="185" t="e">
        <f t="array" ref="S34">INDEX(Database!AF$2:BJ$17,MATCH($A$34&amp;Automakers!$D$72&amp;Automakers!$D$73,Database!$A2:$A17&amp;Database!$C2:$C17&amp;Database!$G2:$G17,0),1)</f>
        <v>#N/A</v>
      </c>
      <c r="T34" s="185" t="e">
        <f t="array" ref="T34">INDEX(Database!AG$2:BK$17,MATCH($A$34&amp;Automakers!$D$72&amp;Automakers!$D$73,Database!$A2:$A17&amp;Database!$C2:$C17&amp;Database!$G2:$G17,0),1)</f>
        <v>#N/A</v>
      </c>
      <c r="U34" s="185" t="e">
        <f t="array" ref="U34">INDEX(Database!AH$2:BL$17,MATCH($A$34&amp;Automakers!$D$72&amp;Automakers!$D$73,Database!$A2:$A17&amp;Database!$C2:$C17&amp;Database!$G2:$G17,0),1)</f>
        <v>#N/A</v>
      </c>
      <c r="V34" s="185" t="e">
        <f t="array" ref="V34">INDEX(Database!AI$2:BM$17,MATCH($A$34&amp;Automakers!$D$72&amp;Automakers!$D$73,Database!$A2:$A17&amp;Database!$C2:$C17&amp;Database!$G2:$G17,0),1)</f>
        <v>#N/A</v>
      </c>
      <c r="W34" s="185" t="e">
        <f t="array" ref="W34">INDEX(Database!AJ$2:BN$17,MATCH($A$34&amp;Automakers!$D$72&amp;Automakers!$D$73,Database!$A2:$A17&amp;Database!$C2:$C17&amp;Database!$G2:$G17,0),1)</f>
        <v>#N/A</v>
      </c>
      <c r="X34" s="185" t="e">
        <f t="array" ref="X34">INDEX(Database!AK$2:BO$17,MATCH($A$34&amp;Automakers!$D$72&amp;Automakers!$D$73,Database!$A2:$A17&amp;Database!$C2:$C17&amp;Database!$G2:$G17,0),1)</f>
        <v>#N/A</v>
      </c>
      <c r="Y34" s="185" t="e">
        <f t="array" ref="Y34">INDEX(Database!AL$2:BP$17,MATCH($A$34&amp;Automakers!$D$72&amp;Automakers!$D$73,Database!$A2:$A17&amp;Database!$C2:$C17&amp;Database!$G2:$G17,0),1)</f>
        <v>#N/A</v>
      </c>
      <c r="Z34" s="185" t="e">
        <f t="array" ref="Z34">INDEX(Database!AM$2:BQ$17,MATCH($A$34&amp;Automakers!$D$72&amp;Automakers!$D$73,Database!$A2:$A17&amp;Database!$C2:$C17&amp;Database!$G2:$G17,0),1)</f>
        <v>#N/A</v>
      </c>
      <c r="AA34" s="185" t="e">
        <f t="array" ref="AA34">INDEX(Database!AN$2:BR$17,MATCH($A$34&amp;Automakers!$D$72&amp;Automakers!$D$73,Database!$A2:$A17&amp;Database!$C2:$C17&amp;Database!$G2:$G17,0),1)</f>
        <v>#N/A</v>
      </c>
      <c r="AB34" s="185" t="e">
        <f t="array" ref="AB34">INDEX(Database!AO$2:BS$17,MATCH($A$34&amp;Automakers!$D$72&amp;Automakers!$D$73,Database!$A2:$A17&amp;Database!$C2:$C17&amp;Database!$G2:$G17,0),1)</f>
        <v>#N/A</v>
      </c>
      <c r="AC34" s="185" t="e">
        <f t="array" ref="AC34">INDEX(Database!AP$2:BT$17,MATCH($A$34&amp;Automakers!$D$72&amp;Automakers!$D$73,Database!$A2:$A17&amp;Database!$C2:$C17&amp;Database!$G2:$G17,0),1)</f>
        <v>#N/A</v>
      </c>
      <c r="AD34" s="185" t="e">
        <f t="array" ref="AD34">INDEX(Database!AQ$2:BU$17,MATCH($A$34&amp;Automakers!$D$72&amp;Automakers!$D$73,Database!$A2:$A17&amp;Database!$C2:$C17&amp;Database!$G2:$G17,0),1)</f>
        <v>#N/A</v>
      </c>
      <c r="AE34" s="185" t="e">
        <f t="array" ref="AE34">INDEX(Database!AR$2:BV$17,MATCH($A$34&amp;Automakers!$D$72&amp;Automakers!$D$73,Database!$A2:$A17&amp;Database!$C2:$C17&amp;Database!$G2:$G17,0),1)</f>
        <v>#N/A</v>
      </c>
      <c r="AF34" s="185" t="e">
        <f t="array" ref="AF34">INDEX(Database!AS$2:BW$17,MATCH($A$34&amp;Automakers!$D$72&amp;Automakers!$D$73,Database!$A2:$A17&amp;Database!$C2:$C17&amp;Database!$G2:$G17,0),1)</f>
        <v>#N/A</v>
      </c>
      <c r="AG34" s="185" t="e">
        <f t="array" ref="AG34">INDEX(Database!AT$2:BX$17,MATCH($A$34&amp;Automakers!$D$72&amp;Automakers!$D$73,Database!$A2:$A17&amp;Database!$C2:$C17&amp;Database!$G2:$G17,0),1)</f>
        <v>#N/A</v>
      </c>
      <c r="AH34" s="185" t="e">
        <f t="array" ref="AH34">INDEX(Database!AU$2:BY$17,MATCH($A$34&amp;Automakers!$D$72&amp;Automakers!$D$73,Database!$A2:$A17&amp;Database!$C2:$C17&amp;Database!$G2:$G17,0),1)</f>
        <v>#N/A</v>
      </c>
      <c r="AI34" s="185" t="e">
        <f t="array" ref="AI34">INDEX(Database!AV$2:BZ$17,MATCH($A$34&amp;Automakers!$D$72&amp;Automakers!$D$73,Database!$A2:$A17&amp;Database!$C2:$C17&amp;Database!$G2:$G17,0),1)</f>
        <v>#N/A</v>
      </c>
    </row>
    <row r="35" spans="1:35" x14ac:dyDescent="0.15">
      <c r="A35" t="s">
        <v>278</v>
      </c>
      <c r="B35" t="s">
        <v>279</v>
      </c>
      <c r="C35" t="s">
        <v>264</v>
      </c>
      <c r="D35" s="187" t="e">
        <f>HLOOKUP(Automakers!$D$74,G1:AI44,ROW(A34))</f>
        <v>#N/A</v>
      </c>
      <c r="E35" s="185"/>
      <c r="F35" s="185"/>
      <c r="G35" s="185"/>
      <c r="H35" s="185"/>
      <c r="I35" s="185"/>
      <c r="J35" s="185"/>
      <c r="K35" s="185"/>
      <c r="L35" s="185"/>
      <c r="M35" s="185"/>
      <c r="N35" s="185"/>
      <c r="O35" s="185"/>
      <c r="P35" s="185"/>
      <c r="Q35" s="185"/>
      <c r="R35" s="185"/>
      <c r="S35" s="185"/>
      <c r="T35" s="185"/>
      <c r="U35" s="185"/>
      <c r="V35" s="185"/>
      <c r="W35" s="185"/>
      <c r="X35" s="185"/>
      <c r="Y35" s="185"/>
      <c r="Z35" s="185"/>
      <c r="AA35" s="185"/>
      <c r="AB35" s="185"/>
      <c r="AC35" s="185"/>
      <c r="AD35" s="185"/>
      <c r="AE35" s="185"/>
      <c r="AF35" s="185"/>
      <c r="AG35" s="185"/>
      <c r="AH35" s="185"/>
      <c r="AI35" s="185"/>
    </row>
    <row r="36" spans="1:35" x14ac:dyDescent="0.15">
      <c r="A36" s="97" t="s">
        <v>272</v>
      </c>
      <c r="B36" t="str">
        <f>IF(ISTEXT(Automakers!$D$73)=TRUE,IF(Automakers!D73=Lists!$B$2,"Passenger cars | Aggregated emissions intensity, in base year",IF(Automakers!$D$73=Lists!$B$3,"LCVs | Aggregated emissions intensity, in base year","select a LDV category")),"select a LDV category")</f>
        <v>select a LDV category</v>
      </c>
      <c r="C36" t="s">
        <v>264</v>
      </c>
      <c r="D36" s="187" t="e">
        <f>IF(Automakers!D76&gt;0,Automakers!D76,NA())</f>
        <v>#N/A</v>
      </c>
      <c r="E36" s="185"/>
      <c r="F36" s="185"/>
      <c r="G36" s="185"/>
      <c r="H36" s="185" t="str">
        <f>IF(H$1&gt;=Automakers!$D$24,IFERROR(#REF!*1000000/H$34,""),NA())</f>
        <v/>
      </c>
      <c r="I36" s="185" t="str">
        <f>IF(I$1&gt;=Automakers!$D$24,IFERROR(#REF!*1000000/I$34,""),NA())</f>
        <v/>
      </c>
      <c r="J36" s="185" t="str">
        <f>IF(J$1&gt;=Automakers!$D$24,IFERROR(#REF!*1000000/J$34,""),NA())</f>
        <v/>
      </c>
      <c r="K36" s="185" t="str">
        <f>IF(K$1&gt;=Automakers!$D$24,IFERROR(#REF!*1000000/K$34,""),NA())</f>
        <v/>
      </c>
      <c r="L36" s="185" t="str">
        <f>IF(L$1&gt;=Automakers!$D$24,IFERROR(#REF!*1000000/L$34,""),NA())</f>
        <v/>
      </c>
      <c r="M36" s="185" t="str">
        <f>IF(M$1&gt;=Automakers!$D$24,IFERROR(#REF!*1000000/M$34,""),NA())</f>
        <v/>
      </c>
      <c r="N36" s="185" t="str">
        <f>IF(N$1&gt;=Automakers!$D$24,IFERROR(#REF!*1000000/N$34,""),NA())</f>
        <v/>
      </c>
      <c r="O36" s="185" t="str">
        <f>IF(O$1&gt;=Automakers!$D$24,IFERROR(#REF!*1000000/O$34,""),NA())</f>
        <v/>
      </c>
      <c r="P36" s="185" t="str">
        <f>IF(P$1&gt;=Automakers!$D$24,IFERROR(#REF!*1000000/P$34,""),NA())</f>
        <v/>
      </c>
      <c r="Q36" s="185" t="str">
        <f>IF(Q$1&gt;=Automakers!$D$24,IFERROR(#REF!*1000000/Q$34,""),NA())</f>
        <v/>
      </c>
      <c r="R36" s="185" t="str">
        <f>IF(R$1&gt;=Automakers!$D$24,IFERROR(#REF!*1000000/R$34,""),NA())</f>
        <v/>
      </c>
      <c r="S36" s="185" t="str">
        <f>IF(S$1&gt;=Automakers!$D$24,IFERROR(#REF!*1000000/S$34,""),NA())</f>
        <v/>
      </c>
      <c r="T36" s="185" t="str">
        <f>IF(T$1&gt;=Automakers!$D$24,IFERROR(#REF!*1000000/T$34,""),NA())</f>
        <v/>
      </c>
      <c r="U36" s="185" t="str">
        <f>IF(U$1&gt;=Automakers!$D$24,IFERROR(#REF!*1000000/U$34,""),NA())</f>
        <v/>
      </c>
      <c r="V36" s="185" t="str">
        <f>IF(V$1&gt;=Automakers!$D$24,IFERROR(#REF!*1000000/V$34,""),NA())</f>
        <v/>
      </c>
      <c r="W36" s="185" t="str">
        <f>IF(W$1&gt;=Automakers!$D$24,IFERROR(#REF!*1000000/W$34,""),NA())</f>
        <v/>
      </c>
      <c r="X36" s="185" t="str">
        <f>IF(X$1&gt;=Automakers!$D$24,IFERROR(#REF!*1000000/X$34,""),NA())</f>
        <v/>
      </c>
      <c r="Y36" s="185" t="str">
        <f>IF(Y$1&gt;=Automakers!$D$24,IFERROR(#REF!*1000000/Y$34,""),NA())</f>
        <v/>
      </c>
      <c r="Z36" s="185" t="str">
        <f>IF(Z$1&gt;=Automakers!$D$24,IFERROR(#REF!*1000000/Z$34,""),NA())</f>
        <v/>
      </c>
      <c r="AA36" s="185" t="str">
        <f>IF(AA$1&gt;=Automakers!$D$24,IFERROR(#REF!*1000000/AA$34,""),NA())</f>
        <v/>
      </c>
      <c r="AB36" s="185" t="str">
        <f>IF(AB$1&gt;=Automakers!$D$24,IFERROR(#REF!*1000000/AB$34,""),NA())</f>
        <v/>
      </c>
      <c r="AC36" s="185" t="str">
        <f>IF(AC$1&gt;=Automakers!$D$24,IFERROR(#REF!*1000000/AC$34,""),NA())</f>
        <v/>
      </c>
      <c r="AD36" s="185" t="str">
        <f>IF(AD$1&gt;=Automakers!$D$24,IFERROR(#REF!*1000000/AD$34,""),NA())</f>
        <v/>
      </c>
      <c r="AE36" s="185" t="str">
        <f>IF(AE$1&gt;=Automakers!$D$24,IFERROR(#REF!*1000000/AE$34,""),NA())</f>
        <v/>
      </c>
      <c r="AF36" s="185" t="str">
        <f>IF(AF$1&gt;=Automakers!$D$24,IFERROR(#REF!*1000000/AF$34,""),NA())</f>
        <v/>
      </c>
      <c r="AG36" s="185" t="str">
        <f>IF(AG$1&gt;=Automakers!$D$24,IFERROR(#REF!*1000000/AG$34,""),NA())</f>
        <v/>
      </c>
      <c r="AH36" s="185" t="str">
        <f>IF(AH$1&gt;=Automakers!$D$24,IFERROR(#REF!*1000000/AH$34,""),NA())</f>
        <v/>
      </c>
      <c r="AI36" s="185" t="str">
        <f>IF(AI$1&gt;=Automakers!$D$24,IFERROR(#REF!*1000000/AI$34,""),NA())</f>
        <v/>
      </c>
    </row>
    <row r="37" spans="1:35" x14ac:dyDescent="0.15">
      <c r="A37" t="s">
        <v>273</v>
      </c>
      <c r="B37" t="str">
        <f>IF(ISTEXT(Automakers!$D$73)=TRUE,IF(Automakers!D73=Lists!$B$2,"Passenger cars | Aggregated emissions intensity, in year y",IF(Automakers!$D$73=Lists!$B$3,"LCVs | Aggregated emissions intensity, in year y","select a LDV category")),"select a LDV category")</f>
        <v>select a LDV category</v>
      </c>
      <c r="C37" t="s">
        <v>264</v>
      </c>
      <c r="D37" s="186"/>
      <c r="E37" s="185"/>
      <c r="F37" s="185"/>
      <c r="G37" s="185" t="e">
        <f>IF(G31=Automakers!$D$74,Automakers!$D$76,IF(AND(G31&gt;Automakers!$D$74,G31&lt;2035),($D$36-$T$34)*((G34-$T$34)/($D$35-$T$34))+$T$34,G34))</f>
        <v>#N/A</v>
      </c>
      <c r="H37" s="185" t="e">
        <f>IF(H31=Automakers!$D$74,Automakers!$D$76,IF(AND(H31&gt;Automakers!$D$74,H31&lt;2035),($D$36-$T$34)*((H34-$T$34)/($D$35-$T$34))+$T$34,H34))</f>
        <v>#N/A</v>
      </c>
      <c r="I37" s="185" t="e">
        <f>IF(I31=Automakers!$D$74,Automakers!$D$76,IF(AND(I31&gt;Automakers!$D$74,I31&lt;2035),($D$36-$T$34)*((I34-$T$34)/($D$35-$T$34))+$T$34,I34))</f>
        <v>#N/A</v>
      </c>
      <c r="J37" s="185" t="e">
        <f>IF(J31=Automakers!$D$74,Automakers!$D$76,IF(AND(J31&gt;Automakers!$D$74,J31&lt;2035),($D$36-$T$34)*((J34-$T$34)/($D$35-$T$34))+$T$34,J34))</f>
        <v>#N/A</v>
      </c>
      <c r="K37" s="185" t="e">
        <f>IF(K31=Automakers!$D$74,Automakers!$D$76,IF(AND(K31&gt;Automakers!$D$74,K31&lt;2035),($D$36-$T$34)*((K34-$T$34)/($D$35-$T$34))+$T$34,K34))</f>
        <v>#N/A</v>
      </c>
      <c r="L37" s="185" t="e">
        <f>IF(L31=Automakers!$D$74,Automakers!$D$76,IF(AND(L31&gt;Automakers!$D$74,L31&lt;2035),($D$36-$T$34)*((L34-$T$34)/($D$35-$T$34))+$T$34,L34))</f>
        <v>#N/A</v>
      </c>
      <c r="M37" s="185" t="e">
        <f>IF(M31=Automakers!$D$74,Automakers!$D$76,IF(AND(M31&gt;Automakers!$D$74,M31&lt;2035),($D$36-$T$34)*((M34-$T$34)/($D$35-$T$34))+$T$34,M34))</f>
        <v>#N/A</v>
      </c>
      <c r="N37" s="185" t="e">
        <f>IF(N31=Automakers!$D$74,Automakers!$D$76,IF(AND(N31&gt;Automakers!$D$74,N31&lt;2035),($D$36-$T$34)*((N34-$T$34)/($D$35-$T$34))+$T$34,N34))</f>
        <v>#N/A</v>
      </c>
      <c r="O37" s="185" t="e">
        <f>IF(O31=Automakers!$D$74,Automakers!$D$76,IF(AND(O31&gt;Automakers!$D$74,O31&lt;2035),($D$36-$T$34)*((O34-$T$34)/($D$35-$T$34))+$T$34,O34))</f>
        <v>#N/A</v>
      </c>
      <c r="P37" s="185" t="e">
        <f>IF(P31=Automakers!$D$74,Automakers!$D$76,IF(AND(P31&gt;Automakers!$D$74,P31&lt;2035),($D$36-$T$34)*((P34-$T$34)/($D$35-$T$34))+$T$34,P34))</f>
        <v>#N/A</v>
      </c>
      <c r="Q37" s="185" t="e">
        <f>IF(Q31=Automakers!$D$74,Automakers!$D$76,IF(AND(Q31&gt;Automakers!$D$74,Q31&lt;2035),($D$36-$T$34)*((Q34-$T$34)/($D$35-$T$34))+$T$34,Q34))</f>
        <v>#N/A</v>
      </c>
      <c r="R37" s="185" t="e">
        <f>IF(R31=Automakers!$D$74,Automakers!$D$76,IF(AND(R31&gt;Automakers!$D$74,R31&lt;2035),($D$36-$T$34)*((R34-$T$34)/($D$35-$T$34))+$T$34,R34))</f>
        <v>#N/A</v>
      </c>
      <c r="S37" s="185" t="e">
        <f>IF(S31=Automakers!$D$74,Automakers!$D$76,IF(AND(S31&gt;Automakers!$D$74,S31&lt;2035),($D$36-$T$34)*((S34-$T$34)/($D$35-$T$34))+$T$34,S34))</f>
        <v>#N/A</v>
      </c>
      <c r="T37" s="185" t="e">
        <f>IF(T31=Automakers!$D$74,Automakers!$D$76,IF(AND(T31&gt;Automakers!$D$74,T31&lt;2035),($D$36-$T$34)*((T34-$T$34)/($D$35-$T$34))+$T$34,T34))</f>
        <v>#N/A</v>
      </c>
      <c r="U37" s="185" t="e">
        <f>IF(U31=Automakers!$D$74,Automakers!$D$76,IF(AND(U31&gt;Automakers!$D$74,U31&lt;2035),($D$36-$T$34)*((U34-$T$34)/($D$35-$T$34))+$T$34,U34))</f>
        <v>#N/A</v>
      </c>
      <c r="V37" s="185" t="e">
        <f>IF(V31=Automakers!$D$74,Automakers!$D$76,IF(AND(V31&gt;Automakers!$D$74,V31&lt;2035),($D$36-$T$34)*((V34-$T$34)/($D$35-$T$34))+$T$34,V34))</f>
        <v>#N/A</v>
      </c>
      <c r="W37" s="185" t="e">
        <f>IF(W31=Automakers!$D$74,Automakers!$D$76,IF(AND(W31&gt;Automakers!$D$74,W31&lt;2035),($D$36-$T$34)*((W34-$T$34)/($D$35-$T$34))+$T$34,W34))</f>
        <v>#N/A</v>
      </c>
      <c r="X37" s="185" t="e">
        <f>IF(X31=Automakers!$D$74,Automakers!$D$76,IF(AND(X31&gt;Automakers!$D$74,X31&lt;2035),($D$36-$T$34)*((X34-$T$34)/($D$35-$T$34))+$T$34,X34))</f>
        <v>#N/A</v>
      </c>
      <c r="Y37" s="185" t="e">
        <f>IF(Y31=Automakers!$D$74,Automakers!$D$76,IF(AND(Y31&gt;Automakers!$D$74,Y31&lt;2035),($D$36-$T$34)*((Y34-$T$34)/($D$35-$T$34))+$T$34,Y34))</f>
        <v>#N/A</v>
      </c>
      <c r="Z37" s="185" t="e">
        <f>IF(Z31=Automakers!$D$74,Automakers!$D$76,IF(AND(Z31&gt;Automakers!$D$74,Z31&lt;2035),($D$36-$T$34)*((Z34-$T$34)/($D$35-$T$34))+$T$34,Z34))</f>
        <v>#N/A</v>
      </c>
      <c r="AA37" s="185" t="e">
        <f>IF(AA31=Automakers!$D$74,Automakers!$D$76,IF(AND(AA31&gt;Automakers!$D$74,AA31&lt;2035),($D$36-$T$34)*((AA34-$T$34)/($D$35-$T$34))+$T$34,AA34))</f>
        <v>#N/A</v>
      </c>
      <c r="AB37" s="185" t="e">
        <f>IF(AB31=Automakers!$D$74,Automakers!$D$76,IF(AND(AB31&gt;Automakers!$D$74,AB31&lt;2035),($D$36-$T$34)*((AB34-$T$34)/($D$35-$T$34))+$T$34,AB34))</f>
        <v>#N/A</v>
      </c>
      <c r="AC37" s="185" t="e">
        <f>IF(AC31=Automakers!$D$74,Automakers!$D$76,IF(AND(AC31&gt;Automakers!$D$74,AC31&lt;2035),($D$36-$T$34)*((AC34-$T$34)/($D$35-$T$34))+$T$34,AC34))</f>
        <v>#N/A</v>
      </c>
      <c r="AD37" s="185" t="e">
        <f>IF(AD31=Automakers!$D$74,Automakers!$D$76,IF(AND(AD31&gt;Automakers!$D$74,AD31&lt;2035),($D$36-$T$34)*((AD34-$T$34)/($D$35-$T$34))+$T$34,AD34))</f>
        <v>#N/A</v>
      </c>
      <c r="AE37" s="185" t="e">
        <f>IF(AE31=Automakers!$D$74,Automakers!$D$76,IF(AND(AE31&gt;Automakers!$D$74,AE31&lt;2035),($D$36-$T$34)*((AE34-$T$34)/($D$35-$T$34))+$T$34,AE34))</f>
        <v>#N/A</v>
      </c>
      <c r="AF37" s="185" t="e">
        <f>IF(AF31=Automakers!$D$74,Automakers!$D$76,IF(AND(AF31&gt;Automakers!$D$74,AF31&lt;2035),($D$36-$T$34)*((AF34-$T$34)/($D$35-$T$34))+$T$34,AF34))</f>
        <v>#N/A</v>
      </c>
      <c r="AG37" s="185" t="e">
        <f>IF(AG31=Automakers!$D$74,Automakers!$D$76,IF(AND(AG31&gt;Automakers!$D$74,AG31&lt;2035),($D$36-$T$34)*((AG34-$T$34)/($D$35-$T$34))+$T$34,AG34))</f>
        <v>#N/A</v>
      </c>
      <c r="AH37" s="185" t="e">
        <f>IF(AH31=Automakers!$D$74,Automakers!$D$76,IF(AND(AH31&gt;Automakers!$D$74,AH31&lt;2035),($D$36-$T$34)*((AH34-$T$34)/($D$35-$T$34))+$T$34,AH34))</f>
        <v>#N/A</v>
      </c>
      <c r="AI37" s="185" t="e">
        <f>IF(AI31=Automakers!$D$74,Automakers!$D$76,IF(AND(AI31&gt;Automakers!$D$74,AI31&lt;2035),($D$36-$T$34)*((AI34-$T$34)/($D$35-$T$34))+$T$34,AI34))</f>
        <v>#N/A</v>
      </c>
    </row>
    <row r="38" spans="1:35" x14ac:dyDescent="0.15">
      <c r="B38" t="str">
        <f>IF(ISTEXT(Automakers!$D$73)=TRUE,IF(Automakers!D73=Lists!$B$2,"Passenger cars | Aggregated emissions intensity target",IF(Automakers!$D$73=Lists!$B$3,"LCVs | Aggregated emissions intensity target","select a LDV category")),"select a LDV category")</f>
        <v>select a LDV category</v>
      </c>
      <c r="C38" t="s">
        <v>264</v>
      </c>
      <c r="D38" s="187" t="e">
        <f>HLOOKUP(Automakers!$D$75,G1:AI44,ROW(A37))</f>
        <v>#N/A</v>
      </c>
      <c r="E38" s="185"/>
      <c r="F38" s="185"/>
      <c r="G38" s="185"/>
      <c r="H38" s="185"/>
      <c r="I38" s="185"/>
      <c r="J38" s="185"/>
      <c r="K38" s="185"/>
      <c r="L38" s="185"/>
      <c r="M38" s="185"/>
      <c r="N38" s="185"/>
      <c r="O38" s="185"/>
      <c r="P38" s="185"/>
      <c r="Q38" s="185"/>
      <c r="R38" s="185"/>
      <c r="S38" s="185"/>
      <c r="T38" s="185"/>
      <c r="U38" s="185"/>
      <c r="V38" s="185"/>
      <c r="W38" s="185"/>
      <c r="X38" s="185"/>
      <c r="Y38" s="185"/>
      <c r="Z38" s="185"/>
      <c r="AA38" s="185"/>
      <c r="AB38" s="185"/>
      <c r="AC38" s="185"/>
      <c r="AD38" s="185"/>
      <c r="AE38" s="185"/>
      <c r="AF38" s="185"/>
      <c r="AG38" s="185"/>
      <c r="AH38" s="185"/>
      <c r="AI38" s="185"/>
    </row>
    <row r="39" spans="1:35" x14ac:dyDescent="0.15">
      <c r="D39" s="185"/>
      <c r="E39" s="185"/>
      <c r="F39" s="185"/>
      <c r="G39" s="185"/>
      <c r="H39" s="185"/>
      <c r="I39" s="185"/>
      <c r="J39" s="185"/>
      <c r="K39" s="185"/>
      <c r="L39" s="185"/>
      <c r="M39" s="185"/>
      <c r="N39" s="185"/>
      <c r="O39" s="185"/>
      <c r="P39" s="185"/>
      <c r="Q39" s="185"/>
      <c r="R39" s="185"/>
      <c r="S39" s="185"/>
      <c r="T39" s="185"/>
      <c r="U39" s="185"/>
      <c r="V39" s="185"/>
      <c r="W39" s="185"/>
      <c r="X39" s="185"/>
      <c r="Y39" s="185"/>
      <c r="Z39" s="185"/>
      <c r="AA39" s="185"/>
      <c r="AB39" s="185"/>
      <c r="AC39" s="185"/>
      <c r="AD39" s="185"/>
      <c r="AE39" s="185"/>
      <c r="AF39" s="185"/>
      <c r="AG39" s="185"/>
      <c r="AH39" s="185"/>
      <c r="AI39" s="185"/>
    </row>
    <row r="40" spans="1:35" x14ac:dyDescent="0.15">
      <c r="A40" s="1" t="s">
        <v>453</v>
      </c>
      <c r="D40" s="185"/>
      <c r="E40" s="185"/>
      <c r="F40" s="185"/>
      <c r="G40" s="185"/>
      <c r="H40" s="185"/>
      <c r="I40" s="185"/>
      <c r="J40" s="185"/>
      <c r="K40" s="185"/>
      <c r="L40" s="185"/>
      <c r="M40" s="185"/>
      <c r="N40" s="185"/>
      <c r="O40" s="185"/>
      <c r="P40" s="185"/>
      <c r="Q40" s="185"/>
      <c r="R40" s="185"/>
      <c r="S40" s="185"/>
      <c r="T40" s="185"/>
      <c r="U40" s="185"/>
      <c r="V40" s="185"/>
      <c r="W40" s="185"/>
      <c r="X40" s="185"/>
      <c r="Y40" s="185"/>
      <c r="Z40" s="185"/>
      <c r="AA40" s="185"/>
      <c r="AB40" s="185"/>
      <c r="AC40" s="185"/>
      <c r="AD40" s="185"/>
      <c r="AE40" s="185"/>
      <c r="AF40" s="185"/>
      <c r="AG40" s="185"/>
      <c r="AH40" s="185"/>
      <c r="AI40" s="185"/>
    </row>
    <row r="41" spans="1:35" x14ac:dyDescent="0.15">
      <c r="A41" t="s">
        <v>256</v>
      </c>
      <c r="B41" t="s">
        <v>275</v>
      </c>
      <c r="C41" t="s">
        <v>29</v>
      </c>
      <c r="D41" s="186" t="s">
        <v>306</v>
      </c>
      <c r="E41" s="1"/>
      <c r="F41" s="1"/>
      <c r="G41" s="185" t="e">
        <f t="array" ref="G41">INDEX(Database!T$2:AX$17,MATCH($A$41&amp;Automakers!$D$72&amp;Automakers!$D$73,Database!$A2:$A17&amp;Database!$C2:$C17&amp;Database!$G2:$G17,0),1)</f>
        <v>#N/A</v>
      </c>
      <c r="H41" s="185" t="e">
        <f t="array" ref="H41">INDEX(Database!U$2:AY$17,MATCH($A$41&amp;Automakers!$D$72&amp;Automakers!$D$73,Database!$A2:$A17&amp;Database!$C2:$C17&amp;Database!$G2:$G17,0),1)</f>
        <v>#N/A</v>
      </c>
      <c r="I41" s="185" t="e">
        <f t="array" ref="I41">INDEX(Database!V$2:AZ$17,MATCH($A$41&amp;Automakers!$D$72&amp;Automakers!$D$73,Database!$A2:$A17&amp;Database!$C2:$C17&amp;Database!$G2:$G17,0),1)</f>
        <v>#N/A</v>
      </c>
      <c r="J41" s="185" t="e">
        <f t="array" ref="J41">INDEX(Database!W$2:BA$17,MATCH($A$41&amp;Automakers!$D$72&amp;Automakers!$D$73,Database!$A2:$A17&amp;Database!$C2:$C17&amp;Database!$G2:$G17,0),1)</f>
        <v>#N/A</v>
      </c>
      <c r="K41" s="185" t="e">
        <f t="array" ref="K41">INDEX(Database!X$2:BB$17,MATCH($A$41&amp;Automakers!$D$72&amp;Automakers!$D$73,Database!$A2:$A17&amp;Database!$C2:$C17&amp;Database!$G2:$G17,0),1)</f>
        <v>#N/A</v>
      </c>
      <c r="L41" s="185" t="e">
        <f t="array" ref="L41">INDEX(Database!Y$2:BC$17,MATCH($A$41&amp;Automakers!$D$72&amp;Automakers!$D$73,Database!$A2:$A17&amp;Database!$C2:$C17&amp;Database!$G2:$G17,0),1)</f>
        <v>#N/A</v>
      </c>
      <c r="M41" s="185" t="e">
        <f t="array" ref="M41">INDEX(Database!Z$2:BD$17,MATCH($A$41&amp;Automakers!$D$72&amp;Automakers!$D$73,Database!$A2:$A17&amp;Database!$C2:$C17&amp;Database!$G2:$G17,0),1)</f>
        <v>#N/A</v>
      </c>
      <c r="N41" s="185" t="e">
        <f t="array" ref="N41">INDEX(Database!AA$2:BE$17,MATCH($A$41&amp;Automakers!$D$72&amp;Automakers!$D$73,Database!$A2:$A17&amp;Database!$C2:$C17&amp;Database!$G2:$G17,0),1)</f>
        <v>#N/A</v>
      </c>
      <c r="O41" s="185" t="e">
        <f t="array" ref="O41">INDEX(Database!AB$2:BF$17,MATCH($A$41&amp;Automakers!$D$72&amp;Automakers!$D$73,Database!$A2:$A17&amp;Database!$C2:$C17&amp;Database!$G2:$G17,0),1)</f>
        <v>#N/A</v>
      </c>
      <c r="P41" s="185" t="e">
        <f t="array" ref="P41">INDEX(Database!AC$2:BG$17,MATCH($A$41&amp;Automakers!$D$72&amp;Automakers!$D$73,Database!$A2:$A17&amp;Database!$C2:$C17&amp;Database!$G2:$G17,0),1)</f>
        <v>#N/A</v>
      </c>
      <c r="Q41" s="185" t="e">
        <f t="array" ref="Q41">INDEX(Database!AD$2:BH$17,MATCH($A$41&amp;Automakers!$D$72&amp;Automakers!$D$73,Database!$A2:$A17&amp;Database!$C2:$C17&amp;Database!$G2:$G17,0),1)</f>
        <v>#N/A</v>
      </c>
      <c r="R41" s="185" t="e">
        <f t="array" ref="R41">INDEX(Database!AE$2:BI$17,MATCH($A$41&amp;Automakers!$D$72&amp;Automakers!$D$73,Database!$A2:$A17&amp;Database!$C2:$C17&amp;Database!$G2:$G17,0),1)</f>
        <v>#N/A</v>
      </c>
      <c r="S41" s="185" t="e">
        <f t="array" ref="S41">INDEX(Database!AF$2:BJ$17,MATCH($A$41&amp;Automakers!$D$72&amp;Automakers!$D$73,Database!$A2:$A17&amp;Database!$C2:$C17&amp;Database!$G2:$G17,0),1)</f>
        <v>#N/A</v>
      </c>
      <c r="T41" s="185" t="e">
        <f t="array" ref="T41">INDEX(Database!AG$2:BK$17,MATCH($A$41&amp;Automakers!$D$72&amp;Automakers!$D$73,Database!$A2:$A17&amp;Database!$C2:$C17&amp;Database!$G2:$G17,0),1)</f>
        <v>#N/A</v>
      </c>
      <c r="U41" s="185" t="e">
        <f t="array" ref="U41">INDEX(Database!AH$2:BL$17,MATCH($A$41&amp;Automakers!$D$72&amp;Automakers!$D$73,Database!$A2:$A17&amp;Database!$C2:$C17&amp;Database!$G2:$G17,0),1)</f>
        <v>#N/A</v>
      </c>
      <c r="V41" s="185" t="e">
        <f t="array" ref="V41">INDEX(Database!AI$2:BM$17,MATCH($A$41&amp;Automakers!$D$72&amp;Automakers!$D$73,Database!$A2:$A17&amp;Database!$C2:$C17&amp;Database!$G2:$G17,0),1)</f>
        <v>#N/A</v>
      </c>
      <c r="W41" s="185" t="e">
        <f t="array" ref="W41">INDEX(Database!AJ$2:BN$17,MATCH($A$41&amp;Automakers!$D$72&amp;Automakers!$D$73,Database!$A2:$A17&amp;Database!$C2:$C17&amp;Database!$G2:$G17,0),1)</f>
        <v>#N/A</v>
      </c>
      <c r="X41" s="185" t="e">
        <f t="array" ref="X41">INDEX(Database!AK$2:BO$17,MATCH($A$41&amp;Automakers!$D$72&amp;Automakers!$D$73,Database!$A2:$A17&amp;Database!$C2:$C17&amp;Database!$G2:$G17,0),1)</f>
        <v>#N/A</v>
      </c>
      <c r="Y41" s="185" t="e">
        <f t="array" ref="Y41">INDEX(Database!AL$2:BP$17,MATCH($A$41&amp;Automakers!$D$72&amp;Automakers!$D$73,Database!$A2:$A17&amp;Database!$C2:$C17&amp;Database!$G2:$G17,0),1)</f>
        <v>#N/A</v>
      </c>
      <c r="Z41" s="185" t="e">
        <f t="array" ref="Z41">INDEX(Database!AM$2:BQ$17,MATCH($A$41&amp;Automakers!$D$72&amp;Automakers!$D$73,Database!$A2:$A17&amp;Database!$C2:$C17&amp;Database!$G2:$G17,0),1)</f>
        <v>#N/A</v>
      </c>
      <c r="AA41" s="185" t="e">
        <f t="array" ref="AA41">INDEX(Database!AN$2:BR$17,MATCH($A$41&amp;Automakers!$D$72&amp;Automakers!$D$73,Database!$A2:$A17&amp;Database!$C2:$C17&amp;Database!$G2:$G17,0),1)</f>
        <v>#N/A</v>
      </c>
      <c r="AB41" s="185" t="e">
        <f t="array" ref="AB41">INDEX(Database!AO$2:BS$17,MATCH($A$41&amp;Automakers!$D$72&amp;Automakers!$D$73,Database!$A2:$A17&amp;Database!$C2:$C17&amp;Database!$G2:$G17,0),1)</f>
        <v>#N/A</v>
      </c>
      <c r="AC41" s="185" t="e">
        <f t="array" ref="AC41">INDEX(Database!AP$2:BT$17,MATCH($A$41&amp;Automakers!$D$72&amp;Automakers!$D$73,Database!$A2:$A17&amp;Database!$C2:$C17&amp;Database!$G2:$G17,0),1)</f>
        <v>#N/A</v>
      </c>
      <c r="AD41" s="185" t="e">
        <f t="array" ref="AD41">INDEX(Database!AQ$2:BU$17,MATCH($A$41&amp;Automakers!$D$72&amp;Automakers!$D$73,Database!$A2:$A17&amp;Database!$C2:$C17&amp;Database!$G2:$G17,0),1)</f>
        <v>#N/A</v>
      </c>
      <c r="AE41" s="185" t="e">
        <f t="array" ref="AE41">INDEX(Database!AR$2:BV$17,MATCH($A$41&amp;Automakers!$D$72&amp;Automakers!$D$73,Database!$A2:$A17&amp;Database!$C2:$C17&amp;Database!$G2:$G17,0),1)</f>
        <v>#N/A</v>
      </c>
      <c r="AF41" s="185" t="e">
        <f t="array" ref="AF41">INDEX(Database!AS$2:BW$17,MATCH($A$41&amp;Automakers!$D$72&amp;Automakers!$D$73,Database!$A2:$A17&amp;Database!$C2:$C17&amp;Database!$G2:$G17,0),1)</f>
        <v>#N/A</v>
      </c>
      <c r="AG41" s="185" t="e">
        <f t="array" ref="AG41">INDEX(Database!AT$2:BX$17,MATCH($A$41&amp;Automakers!$D$72&amp;Automakers!$D$73,Database!$A2:$A17&amp;Database!$C2:$C17&amp;Database!$G2:$G17,0),1)</f>
        <v>#N/A</v>
      </c>
      <c r="AH41" s="185" t="e">
        <f t="array" ref="AH41">INDEX(Database!AU$2:BY$17,MATCH($A$41&amp;Automakers!$D$72&amp;Automakers!$D$73,Database!$A2:$A17&amp;Database!$C2:$C17&amp;Database!$G2:$G17,0),1)</f>
        <v>#N/A</v>
      </c>
      <c r="AI41" s="185" t="e">
        <f t="array" ref="AI41">INDEX(Database!AV$2:BZ$17,MATCH($A$41&amp;Automakers!$D$72&amp;Automakers!$D$73,Database!$A2:$A17&amp;Database!$C2:$C17&amp;Database!$G2:$G17,0),1)</f>
        <v>#N/A</v>
      </c>
    </row>
    <row r="42" spans="1:35" x14ac:dyDescent="0.15">
      <c r="A42" t="s">
        <v>278</v>
      </c>
      <c r="B42" t="s">
        <v>279</v>
      </c>
      <c r="C42" t="s">
        <v>29</v>
      </c>
      <c r="D42" s="187" t="e">
        <f>HLOOKUP(Automakers!$D$74,G1:AI44,ROW(A41))</f>
        <v>#N/A</v>
      </c>
      <c r="E42" s="185"/>
      <c r="F42" s="185"/>
      <c r="G42" s="185"/>
      <c r="H42" s="185"/>
      <c r="I42" s="185"/>
      <c r="J42" s="185"/>
      <c r="K42" s="185"/>
      <c r="L42" s="185"/>
      <c r="M42" s="185"/>
      <c r="N42" s="185"/>
      <c r="O42" s="185"/>
      <c r="P42" s="185"/>
      <c r="Q42" s="185"/>
      <c r="R42" s="185"/>
      <c r="S42" s="185"/>
      <c r="T42" s="185"/>
      <c r="U42" s="185"/>
      <c r="V42" s="185"/>
      <c r="W42" s="185"/>
      <c r="X42" s="185"/>
      <c r="Y42" s="185"/>
      <c r="Z42" s="185"/>
      <c r="AA42" s="185"/>
      <c r="AB42" s="185"/>
      <c r="AC42" s="185"/>
      <c r="AD42" s="185"/>
      <c r="AE42" s="185"/>
      <c r="AF42" s="185"/>
      <c r="AG42" s="185"/>
      <c r="AH42" s="185"/>
      <c r="AI42" s="185"/>
    </row>
    <row r="43" spans="1:35" x14ac:dyDescent="0.15">
      <c r="A43" s="97" t="s">
        <v>272</v>
      </c>
      <c r="B43" t="str">
        <f>IF(ISTEXT(Automakers!$D$73)=TRUE,IF(Automakers!D73=Lists!$B$2,"Passenger cars | LEV sales share, in base year",IF(Automakers!$D$73=Lists!$B$3,"LCVs | LEV sales share, in base year","select a LDV category")),"select a LDV category")</f>
        <v>select a LDV category</v>
      </c>
      <c r="C43" t="e">
        <f>INDEX(Lists!$E$2:$E$50,MATCH(Automakers!$D$73,Lists!$B$2:$B$50,0))</f>
        <v>#N/A</v>
      </c>
      <c r="D43" s="187" t="e">
        <f>IF(Automakers!D77&gt;0,Automakers!D77,NA())</f>
        <v>#N/A</v>
      </c>
      <c r="E43" s="185"/>
      <c r="F43" s="185"/>
      <c r="G43" s="185"/>
      <c r="H43" s="185"/>
      <c r="I43" s="185"/>
      <c r="J43" s="185"/>
      <c r="K43" s="185"/>
      <c r="L43" s="185"/>
      <c r="M43" s="185"/>
      <c r="N43" s="185"/>
      <c r="O43" s="185"/>
      <c r="P43" s="185"/>
      <c r="Q43" s="185"/>
      <c r="R43" s="185"/>
      <c r="S43" s="185"/>
      <c r="T43" s="185"/>
      <c r="U43" s="185"/>
      <c r="V43" s="185"/>
      <c r="W43" s="185"/>
      <c r="X43" s="185"/>
      <c r="Y43" s="185"/>
      <c r="Z43" s="185"/>
      <c r="AA43" s="185"/>
      <c r="AB43" s="185"/>
      <c r="AC43" s="185"/>
      <c r="AD43" s="185"/>
      <c r="AE43" s="185"/>
      <c r="AF43" s="185"/>
      <c r="AG43" s="185"/>
      <c r="AH43" s="185"/>
      <c r="AI43" s="185"/>
    </row>
    <row r="44" spans="1:35" x14ac:dyDescent="0.15">
      <c r="A44" t="s">
        <v>273</v>
      </c>
      <c r="B44" t="str">
        <f>IF(ISTEXT(Automakers!$D$73)=TRUE,IF(Automakers!D73=Lists!$B$2,"Passenger cars | LEV sales share, in year y",IF(Automakers!$D$73=Lists!$B$3,"LCVs | LEV sales share, in year y","select a LDV category")),"select a LDV category")</f>
        <v>select a LDV category</v>
      </c>
      <c r="C44" t="e">
        <f>INDEX(Lists!$E$2:$E$50,MATCH(Automakers!$D$73,Lists!$B$2:$B$50,0))</f>
        <v>#N/A</v>
      </c>
      <c r="D44" s="186"/>
      <c r="E44" s="185"/>
      <c r="F44" s="185"/>
      <c r="G44" s="185" t="e">
        <f>IF(G31=Automakers!$D$74,Automakers!$D$77,IF(AND(G31&gt;Automakers!$D$74,G31&lt;2035),($D$43-$T$41)*((G41-$T$41)/($D$42-$T$41))+$T$41,G41))</f>
        <v>#N/A</v>
      </c>
      <c r="H44" s="185" t="e">
        <f>IF(H31=Automakers!$D$74,Automakers!$D$77,IF(AND(H31&gt;Automakers!$D$74,H31&lt;2035),($D$43-$T$41)*((H41-$T$41)/($D$42-$T$41))+$T$41,H41))</f>
        <v>#N/A</v>
      </c>
      <c r="I44" s="185" t="e">
        <f>IF(I31=Automakers!$D$74,Automakers!$D$77,IF(AND(I31&gt;Automakers!$D$74,I31&lt;2035),($D$43-$T$41)*((I41-$T$41)/($D$42-$T$41))+$T$41,I41))</f>
        <v>#N/A</v>
      </c>
      <c r="J44" s="185" t="e">
        <f>IF(J31=Automakers!$D$74,Automakers!$D$77,IF(AND(J31&gt;Automakers!$D$74,J31&lt;2035),($D$43-$T$41)*((J41-$T$41)/($D$42-$T$41))+$T$41,J41))</f>
        <v>#N/A</v>
      </c>
      <c r="K44" s="185" t="e">
        <f>IF(K31=Automakers!$D$74,Automakers!$D$77,IF(AND(K31&gt;Automakers!$D$74,K31&lt;2035),($D$43-$T$41)*((K41-$T$41)/($D$42-$T$41))+$T$41,K41))</f>
        <v>#N/A</v>
      </c>
      <c r="L44" s="185" t="e">
        <f>IF(L31=Automakers!$D$74,Automakers!$D$77,IF(AND(L31&gt;Automakers!$D$74,L31&lt;2035),($D$43-$T$41)*((L41-$T$41)/($D$42-$T$41))+$T$41,L41))</f>
        <v>#N/A</v>
      </c>
      <c r="M44" s="185" t="e">
        <f>IF(M31=Automakers!$D$74,Automakers!$D$77,IF(AND(M31&gt;Automakers!$D$74,M31&lt;2035),($D$43-$T$41)*((M41-$T$41)/($D$42-$T$41))+$T$41,M41))</f>
        <v>#N/A</v>
      </c>
      <c r="N44" s="185" t="e">
        <f>IF(N31=Automakers!$D$74,Automakers!$D$77,IF(AND(N31&gt;Automakers!$D$74,N31&lt;2035),($D$43-$T$41)*((N41-$T$41)/($D$42-$T$41))+$T$41,N41))</f>
        <v>#N/A</v>
      </c>
      <c r="O44" s="185" t="e">
        <f>IF(O31=Automakers!$D$74,Automakers!$D$77,IF(AND(O31&gt;Automakers!$D$74,O31&lt;2035),($D$43-$T$41)*((O41-$T$41)/($D$42-$T$41))+$T$41,O41))</f>
        <v>#N/A</v>
      </c>
      <c r="P44" s="185" t="e">
        <f>IF(P31=Automakers!$D$74,Automakers!$D$77,IF(AND(P31&gt;Automakers!$D$74,P31&lt;2035),($D$43-$T$41)*((P41-$T$41)/($D$42-$T$41))+$T$41,P41))</f>
        <v>#N/A</v>
      </c>
      <c r="Q44" s="185" t="e">
        <f>IF(Q31=Automakers!$D$74,Automakers!$D$77,IF(AND(Q31&gt;Automakers!$D$74,Q31&lt;2035),($D$43-$T$41)*((Q41-$T$41)/($D$42-$T$41))+$T$41,Q41))</f>
        <v>#N/A</v>
      </c>
      <c r="R44" s="185" t="e">
        <f>IF(R31=Automakers!$D$74,Automakers!$D$77,IF(AND(R31&gt;Automakers!$D$74,R31&lt;2035),($D$43-$T$41)*((R41-$T$41)/($D$42-$T$41))+$T$41,R41))</f>
        <v>#N/A</v>
      </c>
      <c r="S44" s="185" t="e">
        <f>IF(S31=Automakers!$D$74,Automakers!$D$77,IF(AND(S31&gt;Automakers!$D$74,S31&lt;2035),($D$43-$T$41)*((S41-$T$41)/($D$42-$T$41))+$T$41,S41))</f>
        <v>#N/A</v>
      </c>
      <c r="T44" s="185" t="e">
        <f>IF(T31=Automakers!$D$74,Automakers!$D$77,IF(AND(T31&gt;Automakers!$D$74,T31&lt;2035),($D$43-$T$41)*((T41-$T$41)/($D$42-$T$41))+$T$41,T41))</f>
        <v>#N/A</v>
      </c>
      <c r="U44" s="185" t="e">
        <f>IF(U31=Automakers!$D$74,Automakers!$D$77,IF(AND(U31&gt;Automakers!$D$74,U31&lt;2035),($D$43-$T$41)*((U41-$T$41)/($D$42-$T$41))+$T$41,U41))</f>
        <v>#N/A</v>
      </c>
      <c r="V44" s="185" t="e">
        <f>IF(V31=Automakers!$D$74,Automakers!$D$77,IF(AND(V31&gt;Automakers!$D$74,V31&lt;2035),($D$43-$T$41)*((V41-$T$41)/($D$42-$T$41))+$T$41,V41))</f>
        <v>#N/A</v>
      </c>
      <c r="W44" s="185" t="e">
        <f>IF(W31=Automakers!$D$74,Automakers!$D$77,IF(AND(W31&gt;Automakers!$D$74,W31&lt;2035),($D$43-$T$41)*((W41-$T$41)/($D$42-$T$41))+$T$41,W41))</f>
        <v>#N/A</v>
      </c>
      <c r="X44" s="185" t="e">
        <f>IF(X31=Automakers!$D$74,Automakers!$D$77,IF(AND(X31&gt;Automakers!$D$74,X31&lt;2035),($D$43-$T$41)*((X41-$T$41)/($D$42-$T$41))+$T$41,X41))</f>
        <v>#N/A</v>
      </c>
      <c r="Y44" s="185" t="e">
        <f>IF(Y31=Automakers!$D$74,Automakers!$D$77,IF(AND(Y31&gt;Automakers!$D$74,Y31&lt;2035),($D$43-$T$41)*((Y41-$T$41)/($D$42-$T$41))+$T$41,Y41))</f>
        <v>#N/A</v>
      </c>
      <c r="Z44" s="185" t="e">
        <f>IF(Z31=Automakers!$D$74,Automakers!$D$77,IF(AND(Z31&gt;Automakers!$D$74,Z31&lt;2035),($D$43-$T$41)*((Z41-$T$41)/($D$42-$T$41))+$T$41,Z41))</f>
        <v>#N/A</v>
      </c>
      <c r="AA44" s="185" t="e">
        <f>IF(AA31=Automakers!$D$74,Automakers!$D$77,IF(AND(AA31&gt;Automakers!$D$74,AA31&lt;2035),($D$43-$T$41)*((AA41-$T$41)/($D$42-$T$41))+$T$41,AA41))</f>
        <v>#N/A</v>
      </c>
      <c r="AB44" s="185" t="e">
        <f>IF(AB31=Automakers!$D$74,Automakers!$D$77,IF(AND(AB31&gt;Automakers!$D$74,AB31&lt;2035),($D$43-$T$41)*((AB41-$T$41)/($D$42-$T$41))+$T$41,AB41))</f>
        <v>#N/A</v>
      </c>
      <c r="AC44" s="185" t="e">
        <f>IF(AC31=Automakers!$D$74,Automakers!$D$77,IF(AND(AC31&gt;Automakers!$D$74,AC31&lt;2035),($D$43-$T$41)*((AC41-$T$41)/($D$42-$T$41))+$T$41,AC41))</f>
        <v>#N/A</v>
      </c>
      <c r="AD44" s="185" t="e">
        <f>IF(AD31=Automakers!$D$74,Automakers!$D$77,IF(AND(AD31&gt;Automakers!$D$74,AD31&lt;2035),($D$43-$T$41)*((AD41-$T$41)/($D$42-$T$41))+$T$41,AD41))</f>
        <v>#N/A</v>
      </c>
      <c r="AE44" s="185" t="e">
        <f>IF(AE31=Automakers!$D$74,Automakers!$D$77,IF(AND(AE31&gt;Automakers!$D$74,AE31&lt;2035),($D$43-$T$41)*((AE41-$T$41)/($D$42-$T$41))+$T$41,AE41))</f>
        <v>#N/A</v>
      </c>
      <c r="AF44" s="185" t="e">
        <f>IF(AF31=Automakers!$D$74,Automakers!$D$77,IF(AND(AF31&gt;Automakers!$D$74,AF31&lt;2035),($D$43-$T$41)*((AF41-$T$41)/($D$42-$T$41))+$T$41,AF41))</f>
        <v>#N/A</v>
      </c>
      <c r="AG44" s="185" t="e">
        <f>IF(AG31=Automakers!$D$74,Automakers!$D$77,IF(AND(AG31&gt;Automakers!$D$74,AG31&lt;2035),($D$43-$T$41)*((AG41-$T$41)/($D$42-$T$41))+$T$41,AG41))</f>
        <v>#N/A</v>
      </c>
      <c r="AH44" s="185" t="e">
        <f>IF(AH31=Automakers!$D$74,Automakers!$D$77,IF(AND(AH31&gt;Automakers!$D$74,AH31&lt;2035),($D$43-$T$41)*((AH41-$T$41)/($D$42-$T$41))+$T$41,AH41))</f>
        <v>#N/A</v>
      </c>
      <c r="AI44" s="185" t="e">
        <f>IF(AI31=Automakers!$D$74,Automakers!$D$77,IF(AND(AI31&gt;Automakers!$D$74,AI31&lt;2035),($D$43-$T$41)*((AI41-$T$41)/($D$42-$T$41))+$T$41,AI41))</f>
        <v>#N/A</v>
      </c>
    </row>
    <row r="45" spans="1:35" x14ac:dyDescent="0.15">
      <c r="B45" t="str">
        <f>IF(ISTEXT(Automakers!$D$73)=TRUE,IF(Automakers!D73=Lists!$B$2,"Passenger cars | LEV sales share target",IF(Automakers!$D$73=Lists!$B$3,"LCVs | LEV sales share target","select a LDV category")),"select a LDV category")</f>
        <v>select a LDV category</v>
      </c>
      <c r="C45" t="e">
        <f>INDEX(Lists!$E$2:$E$50,MATCH(Automakers!$D$73,Lists!$B$2:$B$50,0))</f>
        <v>#N/A</v>
      </c>
      <c r="D45" s="188" t="e">
        <f>HLOOKUP(Automakers!$D$75,G1:AI44,ROW(A44))</f>
        <v>#N/A</v>
      </c>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row>
    <row r="46" spans="1:35" x14ac:dyDescent="0.15">
      <c r="D46" s="185"/>
      <c r="E46" s="185"/>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row>
    <row r="47" spans="1:35" s="178" customFormat="1" ht="23" x14ac:dyDescent="0.25">
      <c r="A47" s="177" t="s">
        <v>357</v>
      </c>
      <c r="E47" s="179"/>
      <c r="F47" s="179"/>
      <c r="G47" s="179"/>
      <c r="H47" s="179"/>
      <c r="I47" s="179"/>
      <c r="J47" s="179"/>
      <c r="K47" s="179"/>
      <c r="L47" s="179"/>
      <c r="M47" s="179"/>
      <c r="N47" s="179"/>
      <c r="O47" s="179"/>
      <c r="P47" s="179"/>
      <c r="Q47" s="179"/>
      <c r="R47" s="179"/>
      <c r="S47" s="179"/>
      <c r="T47" s="179"/>
      <c r="U47" s="179"/>
      <c r="V47" s="179"/>
      <c r="W47" s="179"/>
      <c r="X47" s="179"/>
      <c r="Y47" s="179"/>
      <c r="Z47" s="179"/>
      <c r="AA47" s="179"/>
      <c r="AB47" s="179"/>
      <c r="AC47" s="179"/>
      <c r="AD47" s="179"/>
      <c r="AE47" s="179"/>
      <c r="AF47" s="179"/>
      <c r="AG47" s="179"/>
      <c r="AH47" s="179"/>
      <c r="AI47" s="179"/>
    </row>
    <row r="48" spans="1:35" x14ac:dyDescent="0.15">
      <c r="A48" s="1" t="str">
        <f>"Sector: "&amp;Automakers!$D$113&amp;""</f>
        <v xml:space="preserve">Sector: </v>
      </c>
      <c r="E48"/>
      <c r="F48"/>
      <c r="G48"/>
      <c r="H48"/>
      <c r="I48"/>
      <c r="J48"/>
      <c r="K48"/>
      <c r="L48"/>
      <c r="M48"/>
      <c r="N48"/>
      <c r="O48"/>
      <c r="P48"/>
      <c r="Q48"/>
      <c r="R48"/>
      <c r="S48"/>
      <c r="T48"/>
      <c r="U48"/>
      <c r="V48"/>
      <c r="W48"/>
      <c r="X48"/>
      <c r="Y48"/>
      <c r="Z48"/>
      <c r="AA48"/>
      <c r="AB48"/>
      <c r="AC48"/>
      <c r="AD48"/>
      <c r="AE48"/>
      <c r="AF48"/>
      <c r="AG48"/>
      <c r="AH48"/>
      <c r="AI48"/>
    </row>
    <row r="49" spans="1:35" x14ac:dyDescent="0.15">
      <c r="A49" s="1" t="str">
        <f>"Region: "&amp;Automakers!D112&amp;""</f>
        <v xml:space="preserve">Region: </v>
      </c>
      <c r="C49" s="184"/>
      <c r="D49" s="184"/>
      <c r="E49"/>
      <c r="F49"/>
      <c r="G49"/>
      <c r="H49"/>
      <c r="I49"/>
      <c r="J49"/>
      <c r="K49"/>
      <c r="L49"/>
      <c r="M49"/>
      <c r="N49"/>
      <c r="O49"/>
      <c r="P49"/>
      <c r="Q49"/>
      <c r="R49"/>
      <c r="S49"/>
      <c r="T49"/>
      <c r="U49"/>
      <c r="V49"/>
      <c r="W49"/>
      <c r="X49"/>
      <c r="Y49"/>
      <c r="Z49"/>
      <c r="AA49"/>
      <c r="AB49"/>
      <c r="AC49"/>
      <c r="AD49"/>
      <c r="AE49"/>
      <c r="AF49"/>
      <c r="AG49"/>
      <c r="AH49"/>
      <c r="AI49"/>
    </row>
    <row r="50" spans="1:35" x14ac:dyDescent="0.15">
      <c r="A50" s="1"/>
      <c r="B50" t="s">
        <v>30</v>
      </c>
      <c r="E50" s="1"/>
      <c r="F50" s="1"/>
      <c r="G50" s="1">
        <f>IF(AND(G$1&gt;=Automakers!$D$114,G$1&lt;=2050),IF(G$1=Automakers!$D$114,Automakers!$D$114,G$1),NA())</f>
        <v>2022</v>
      </c>
      <c r="H50" s="1">
        <f>IF(AND(H$1&gt;=Automakers!$D$114,H$1&lt;=2050),IF(H$1=Automakers!$D$114,Automakers!$D$114,H$1),NA())</f>
        <v>2023</v>
      </c>
      <c r="I50" s="1">
        <f>IF(AND(I$1&gt;=Automakers!$D$114,I$1&lt;=2050),IF(I$1=Automakers!$D$114,Automakers!$D$114,I$1),NA())</f>
        <v>2024</v>
      </c>
      <c r="J50" s="1">
        <f>IF(AND(J$1&gt;=Automakers!$D$114,J$1&lt;=2050),IF(J$1=Automakers!$D$114,Automakers!$D$114,J$1),NA())</f>
        <v>2025</v>
      </c>
      <c r="K50" s="1">
        <f>IF(AND(K$1&gt;=Automakers!$D$114,K$1&lt;=2050),IF(K$1=Automakers!$D$114,Automakers!$D$114,K$1),NA())</f>
        <v>2026</v>
      </c>
      <c r="L50" s="1">
        <f>IF(AND(L$1&gt;=Automakers!$D$114,L$1&lt;=2050),IF(L$1=Automakers!$D$114,Automakers!$D$114,L$1),NA())</f>
        <v>2027</v>
      </c>
      <c r="M50" s="1">
        <f>IF(AND(M$1&gt;=Automakers!$D$114,M$1&lt;=2050),IF(M$1=Automakers!$D$114,Automakers!$D$114,M$1),NA())</f>
        <v>2028</v>
      </c>
      <c r="N50" s="1">
        <f>IF(AND(N$1&gt;=Automakers!$D$114,N$1&lt;=2050),IF(N$1=Automakers!$D$114,Automakers!$D$114,N$1),NA())</f>
        <v>2029</v>
      </c>
      <c r="O50" s="1">
        <f>IF(AND(O$1&gt;=Automakers!$D$114,O$1&lt;=2050),IF(O$1=Automakers!$D$114,Automakers!$D$114,O$1),NA())</f>
        <v>2030</v>
      </c>
      <c r="P50" s="1">
        <f>IF(AND(P$1&gt;=Automakers!$D$114,P$1&lt;=2050),IF(P$1=Automakers!$D$114,Automakers!$D$114,P$1),NA())</f>
        <v>2031</v>
      </c>
      <c r="Q50" s="1">
        <f>IF(AND(Q$1&gt;=Automakers!$D$114,Q$1&lt;=2050),IF(Q$1=Automakers!$D$114,Automakers!$D$114,Q$1),NA())</f>
        <v>2032</v>
      </c>
      <c r="R50" s="1">
        <f>IF(AND(R$1&gt;=Automakers!$D$114,R$1&lt;=2050),IF(R$1=Automakers!$D$114,Automakers!$D$114,R$1),NA())</f>
        <v>2033</v>
      </c>
      <c r="S50" s="1">
        <f>IF(AND(S$1&gt;=Automakers!$D$114,S$1&lt;=2050),IF(S$1=Automakers!$D$114,Automakers!$D$114,S$1),NA())</f>
        <v>2034</v>
      </c>
      <c r="T50" s="1">
        <f>IF(AND(T$1&gt;=Automakers!$D$114,T$1&lt;=2050),IF(T$1=Automakers!$D$114,Automakers!$D$114,T$1),NA())</f>
        <v>2035</v>
      </c>
      <c r="U50" s="1">
        <f>IF(AND(U$1&gt;=Automakers!$D$114,U$1&lt;=2050),IF(U$1=Automakers!$D$114,Automakers!$D$114,U$1),NA())</f>
        <v>2036</v>
      </c>
      <c r="V50" s="1">
        <f>IF(AND(V$1&gt;=Automakers!$D$114,V$1&lt;=2050),IF(V$1=Automakers!$D$114,Automakers!$D$114,V$1),NA())</f>
        <v>2037</v>
      </c>
      <c r="W50" s="1">
        <f>IF(AND(W$1&gt;=Automakers!$D$114,W$1&lt;=2050),IF(W$1=Automakers!$D$114,Automakers!$D$114,W$1),NA())</f>
        <v>2038</v>
      </c>
      <c r="X50" s="1">
        <f>IF(AND(X$1&gt;=Automakers!$D$114,X$1&lt;=2050),IF(X$1=Automakers!$D$114,Automakers!$D$114,X$1),NA())</f>
        <v>2039</v>
      </c>
      <c r="Y50" s="1">
        <f>IF(AND(Y$1&gt;=Automakers!$D$114,Y$1&lt;=2050),IF(Y$1=Automakers!$D$114,Automakers!$D$114,Y$1),NA())</f>
        <v>2040</v>
      </c>
      <c r="Z50" s="1">
        <f>IF(AND(Z$1&gt;=Automakers!$D$114,Z$1&lt;=2050),IF(Z$1=Automakers!$D$114,Automakers!$D$114,Z$1),NA())</f>
        <v>2041</v>
      </c>
      <c r="AA50" s="1">
        <f>IF(AND(AA$1&gt;=Automakers!$D$114,AA$1&lt;=2050),IF(AA$1=Automakers!$D$114,Automakers!$D$114,AA$1),NA())</f>
        <v>2042</v>
      </c>
      <c r="AB50" s="1">
        <f>IF(AND(AB$1&gt;=Automakers!$D$114,AB$1&lt;=2050),IF(AB$1=Automakers!$D$114,Automakers!$D$114,AB$1),NA())</f>
        <v>2043</v>
      </c>
      <c r="AC50" s="1">
        <f>IF(AND(AC$1&gt;=Automakers!$D$114,AC$1&lt;=2050),IF(AC$1=Automakers!$D$114,Automakers!$D$114,AC$1),NA())</f>
        <v>2044</v>
      </c>
      <c r="AD50" s="1">
        <f>IF(AND(AD$1&gt;=Automakers!$D$114,AD$1&lt;=2050),IF(AD$1=Automakers!$D$114,Automakers!$D$114,AD$1),NA())</f>
        <v>2045</v>
      </c>
      <c r="AE50" s="1">
        <f>IF(AND(AE$1&gt;=Automakers!$D$114,AE$1&lt;=2050),IF(AE$1=Automakers!$D$114,Automakers!$D$114,AE$1),NA())</f>
        <v>2046</v>
      </c>
      <c r="AF50" s="1">
        <f>IF(AND(AF$1&gt;=Automakers!$D$114,AF$1&lt;=2050),IF(AF$1=Automakers!$D$114,Automakers!$D$114,AF$1),NA())</f>
        <v>2047</v>
      </c>
      <c r="AG50" s="1">
        <f>IF(AND(AG$1&gt;=Automakers!$D$114,AG$1&lt;=2050),IF(AG$1=Automakers!$D$114,Automakers!$D$114,AG$1),NA())</f>
        <v>2048</v>
      </c>
      <c r="AH50" s="1">
        <f>IF(AND(AH$1&gt;=Automakers!$D$114,AH$1&lt;=2050),IF(AH$1=Automakers!$D$114,Automakers!$D$114,AH$1),NA())</f>
        <v>2049</v>
      </c>
      <c r="AI50" s="1">
        <f>IF(AND(AI$1&gt;=Automakers!$D$114,AI$1&lt;=2050),IF(AI$1=Automakers!$D$114,Automakers!$D$114,AI$1),NA())</f>
        <v>2050</v>
      </c>
    </row>
    <row r="51" spans="1:35" x14ac:dyDescent="0.15">
      <c r="A51" s="1"/>
      <c r="E51"/>
      <c r="F51"/>
      <c r="G51"/>
      <c r="H51"/>
      <c r="I51"/>
      <c r="J51"/>
      <c r="K51"/>
      <c r="L51"/>
      <c r="M51"/>
      <c r="N51"/>
      <c r="O51"/>
      <c r="P51"/>
      <c r="Q51"/>
      <c r="R51"/>
      <c r="S51"/>
      <c r="T51"/>
      <c r="U51"/>
      <c r="V51"/>
      <c r="W51"/>
      <c r="X51"/>
      <c r="Y51"/>
      <c r="Z51"/>
      <c r="AA51"/>
      <c r="AB51"/>
      <c r="AC51"/>
      <c r="AD51"/>
      <c r="AE51"/>
      <c r="AF51"/>
      <c r="AG51"/>
      <c r="AH51"/>
      <c r="AI51"/>
    </row>
    <row r="52" spans="1:35" x14ac:dyDescent="0.15">
      <c r="A52" s="1" t="s">
        <v>451</v>
      </c>
      <c r="D52" s="185"/>
      <c r="E52" s="185"/>
      <c r="F52" s="185"/>
      <c r="G52" s="185"/>
      <c r="H52" s="185"/>
      <c r="I52" s="185"/>
      <c r="J52" s="185"/>
      <c r="K52" s="185"/>
      <c r="L52" s="185"/>
      <c r="M52" s="185"/>
      <c r="N52" s="185"/>
      <c r="O52" s="185"/>
      <c r="P52" s="185"/>
      <c r="Q52" s="185"/>
      <c r="R52" s="185"/>
      <c r="S52" s="185"/>
      <c r="T52" s="185"/>
      <c r="U52" s="185"/>
      <c r="V52" s="185"/>
      <c r="W52" s="185"/>
      <c r="X52" s="185"/>
      <c r="Y52" s="185"/>
      <c r="Z52" s="185"/>
      <c r="AA52" s="185"/>
      <c r="AB52" s="185"/>
      <c r="AC52" s="185"/>
      <c r="AD52" s="185"/>
      <c r="AE52" s="185"/>
      <c r="AF52" s="185"/>
      <c r="AG52" s="185"/>
      <c r="AH52" s="185"/>
      <c r="AI52" s="185"/>
    </row>
    <row r="53" spans="1:35" x14ac:dyDescent="0.15">
      <c r="A53" t="s">
        <v>259</v>
      </c>
      <c r="B53" t="s">
        <v>274</v>
      </c>
      <c r="C53" t="s">
        <v>264</v>
      </c>
      <c r="D53" s="186" t="s">
        <v>306</v>
      </c>
      <c r="E53" s="1"/>
      <c r="F53" s="1"/>
      <c r="G53" s="185" t="e">
        <f t="array" ref="G53">INDEX(Database!T$2:AX$49,MATCH($A$53&amp;Automakers!$D$112&amp;Automakers!$D$113,Database!$A2:$A98&amp;Database!$C2:$C98&amp;Database!$G2:$G98,0),1)</f>
        <v>#N/A</v>
      </c>
      <c r="H53" s="185" t="e">
        <f t="array" ref="H53">INDEX(Database!U$2:AY$49,MATCH($A$53&amp;Automakers!$D$112&amp;Automakers!$D$113,Database!$A2:$A98&amp;Database!$C2:$C98&amp;Database!$G2:$G98,0),1)</f>
        <v>#N/A</v>
      </c>
      <c r="I53" s="185" t="e">
        <f t="array" ref="I53">INDEX(Database!V$2:AZ$49,MATCH($A$53&amp;Automakers!$D$112&amp;Automakers!$D$113,Database!$A2:$A98&amp;Database!$C2:$C98&amp;Database!$G2:$G98,0),1)</f>
        <v>#N/A</v>
      </c>
      <c r="J53" s="185" t="e">
        <f t="array" ref="J53">INDEX(Database!W$2:BA$49,MATCH($A$53&amp;Automakers!$D$112&amp;Automakers!$D$113,Database!$A2:$A98&amp;Database!$C2:$C98&amp;Database!$G2:$G98,0),1)</f>
        <v>#N/A</v>
      </c>
      <c r="K53" s="185" t="e">
        <f t="array" ref="K53">INDEX(Database!X$2:BB$49,MATCH($A$53&amp;Automakers!$D$112&amp;Automakers!$D$113,Database!$A2:$A98&amp;Database!$C2:$C98&amp;Database!$G2:$G98,0),1)</f>
        <v>#N/A</v>
      </c>
      <c r="L53" s="185" t="e">
        <f t="array" ref="L53">INDEX(Database!Y$2:BC$49,MATCH($A$53&amp;Automakers!$D$112&amp;Automakers!$D$113,Database!$A2:$A98&amp;Database!$C2:$C98&amp;Database!$G2:$G98,0),1)</f>
        <v>#N/A</v>
      </c>
      <c r="M53" s="185" t="e">
        <f t="array" ref="M53">INDEX(Database!Z$2:BD$49,MATCH($A$53&amp;Automakers!$D$112&amp;Automakers!$D$113,Database!$A2:$A98&amp;Database!$C2:$C98&amp;Database!$G2:$G98,0),1)</f>
        <v>#N/A</v>
      </c>
      <c r="N53" s="185" t="e">
        <f t="array" ref="N53">INDEX(Database!AA$2:BE$49,MATCH($A$53&amp;Automakers!$D$112&amp;Automakers!$D$113,Database!$A2:$A98&amp;Database!$C2:$C98&amp;Database!$G2:$G98,0),1)</f>
        <v>#N/A</v>
      </c>
      <c r="O53" s="185" t="e">
        <f t="array" ref="O53">INDEX(Database!AB$2:BF$49,MATCH($A$53&amp;Automakers!$D$112&amp;Automakers!$D$113,Database!$A2:$A98&amp;Database!$C2:$C98&amp;Database!$G2:$G98,0),1)</f>
        <v>#N/A</v>
      </c>
      <c r="P53" s="185" t="e">
        <f t="array" ref="P53">INDEX(Database!AC$2:BG$49,MATCH($A$53&amp;Automakers!$D$112&amp;Automakers!$D$113,Database!$A2:$A98&amp;Database!$C2:$C98&amp;Database!$G2:$G98,0),1)</f>
        <v>#N/A</v>
      </c>
      <c r="Q53" s="185" t="e">
        <f t="array" ref="Q53">INDEX(Database!AD$2:BH$49,MATCH($A$53&amp;Automakers!$D$112&amp;Automakers!$D$113,Database!$A2:$A98&amp;Database!$C2:$C98&amp;Database!$G2:$G98,0),1)</f>
        <v>#N/A</v>
      </c>
      <c r="R53" s="185" t="e">
        <f t="array" ref="R53">INDEX(Database!AE$2:BI$49,MATCH($A$53&amp;Automakers!$D$112&amp;Automakers!$D$113,Database!$A2:$A98&amp;Database!$C2:$C98&amp;Database!$G2:$G98,0),1)</f>
        <v>#N/A</v>
      </c>
      <c r="S53" s="185" t="e">
        <f t="array" ref="S53">INDEX(Database!AF$2:BJ$49,MATCH($A$53&amp;Automakers!$D$112&amp;Automakers!$D$113,Database!$A2:$A98&amp;Database!$C2:$C98&amp;Database!$G2:$G98,0),1)</f>
        <v>#N/A</v>
      </c>
      <c r="T53" s="185" t="e">
        <f t="array" ref="T53">INDEX(Database!AG$2:BK$49,MATCH($A$53&amp;Automakers!$D$112&amp;Automakers!$D$113,Database!$A2:$A98&amp;Database!$C2:$C98&amp;Database!$G2:$G98,0),1)</f>
        <v>#N/A</v>
      </c>
      <c r="U53" s="185" t="e">
        <f t="array" ref="U53">INDEX(Database!AH$2:BL$49,MATCH($A$53&amp;Automakers!$D$112&amp;Automakers!$D$113,Database!$A2:$A98&amp;Database!$C2:$C98&amp;Database!$G2:$G98,0),1)</f>
        <v>#N/A</v>
      </c>
      <c r="V53" s="185" t="e">
        <f t="array" ref="V53">INDEX(Database!AI$2:BM$49,MATCH($A$53&amp;Automakers!$D$112&amp;Automakers!$D$113,Database!$A2:$A98&amp;Database!$C2:$C98&amp;Database!$G2:$G98,0),1)</f>
        <v>#N/A</v>
      </c>
      <c r="W53" s="185" t="e">
        <f t="array" ref="W53">INDEX(Database!AJ$2:BN$49,MATCH($A$53&amp;Automakers!$D$112&amp;Automakers!$D$113,Database!$A2:$A98&amp;Database!$C2:$C98&amp;Database!$G2:$G98,0),1)</f>
        <v>#N/A</v>
      </c>
      <c r="X53" s="185" t="e">
        <f t="array" ref="X53">INDEX(Database!AK$2:BO$49,MATCH($A$53&amp;Automakers!$D$112&amp;Automakers!$D$113,Database!$A2:$A98&amp;Database!$C2:$C98&amp;Database!$G2:$G98,0),1)</f>
        <v>#N/A</v>
      </c>
      <c r="Y53" s="185" t="e">
        <f t="array" ref="Y53">INDEX(Database!AL$2:BP$49,MATCH($A$53&amp;Automakers!$D$112&amp;Automakers!$D$113,Database!$A2:$A98&amp;Database!$C2:$C98&amp;Database!$G2:$G98,0),1)</f>
        <v>#N/A</v>
      </c>
      <c r="Z53" s="185" t="e">
        <f t="array" ref="Z53">INDEX(Database!AM$2:BQ$49,MATCH($A$53&amp;Automakers!$D$112&amp;Automakers!$D$113,Database!$A2:$A98&amp;Database!$C2:$C98&amp;Database!$G2:$G98,0),1)</f>
        <v>#N/A</v>
      </c>
      <c r="AA53" s="185" t="e">
        <f t="array" ref="AA53">INDEX(Database!AN$2:BR$49,MATCH($A$53&amp;Automakers!$D$112&amp;Automakers!$D$113,Database!$A2:$A98&amp;Database!$C2:$C98&amp;Database!$G2:$G98,0),1)</f>
        <v>#N/A</v>
      </c>
      <c r="AB53" s="185" t="e">
        <f t="array" ref="AB53">INDEX(Database!AO$2:BS$49,MATCH($A$53&amp;Automakers!$D$112&amp;Automakers!$D$113,Database!$A2:$A98&amp;Database!$C2:$C98&amp;Database!$G2:$G98,0),1)</f>
        <v>#N/A</v>
      </c>
      <c r="AC53" s="185" t="e">
        <f t="array" ref="AC53">INDEX(Database!AP$2:BT$49,MATCH($A$53&amp;Automakers!$D$112&amp;Automakers!$D$113,Database!$A2:$A98&amp;Database!$C2:$C98&amp;Database!$G2:$G98,0),1)</f>
        <v>#N/A</v>
      </c>
      <c r="AD53" s="185" t="e">
        <f t="array" ref="AD53">INDEX(Database!AQ$2:BU$49,MATCH($A$53&amp;Automakers!$D$112&amp;Automakers!$D$113,Database!$A2:$A98&amp;Database!$C2:$C98&amp;Database!$G2:$G98,0),1)</f>
        <v>#N/A</v>
      </c>
      <c r="AE53" s="185" t="e">
        <f t="array" ref="AE53">INDEX(Database!AR$2:BV$49,MATCH($A$53&amp;Automakers!$D$112&amp;Automakers!$D$113,Database!$A2:$A98&amp;Database!$C2:$C98&amp;Database!$G2:$G98,0),1)</f>
        <v>#N/A</v>
      </c>
      <c r="AF53" s="185" t="e">
        <f t="array" ref="AF53">INDEX(Database!AS$2:BW$49,MATCH($A$53&amp;Automakers!$D$112&amp;Automakers!$D$113,Database!$A2:$A98&amp;Database!$C2:$C98&amp;Database!$G2:$G98,0),1)</f>
        <v>#N/A</v>
      </c>
      <c r="AG53" s="185" t="e">
        <f t="array" ref="AG53">INDEX(Database!AT$2:BX$49,MATCH($A$53&amp;Automakers!$D$112&amp;Automakers!$D$113,Database!$A2:$A98&amp;Database!$C2:$C98&amp;Database!$G2:$G98,0),1)</f>
        <v>#N/A</v>
      </c>
      <c r="AH53" s="185" t="e">
        <f t="array" ref="AH53">INDEX(Database!AU$2:BY$49,MATCH($A$53&amp;Automakers!$D$112&amp;Automakers!$D$113,Database!$A2:$A98&amp;Database!$C2:$C98&amp;Database!$G2:$G98,0),1)</f>
        <v>#N/A</v>
      </c>
      <c r="AI53" s="185" t="e">
        <f t="array" ref="AI53">INDEX(Database!AV$2:BZ$49,MATCH($A$53&amp;Automakers!$D$112&amp;Automakers!$D$113,Database!$A2:$A98&amp;Database!$C2:$C98&amp;Database!$G2:$G98,0),1)</f>
        <v>#N/A</v>
      </c>
    </row>
    <row r="54" spans="1:35" x14ac:dyDescent="0.15">
      <c r="A54" t="s">
        <v>278</v>
      </c>
      <c r="B54" t="s">
        <v>279</v>
      </c>
      <c r="C54" t="s">
        <v>264</v>
      </c>
      <c r="D54" s="187" t="e">
        <f>HLOOKUP(Automakers!$D$114,G1:AI63,ROW(A53))</f>
        <v>#N/A</v>
      </c>
      <c r="E54" s="185"/>
      <c r="F54" s="185"/>
      <c r="G54" s="185"/>
      <c r="H54" s="185"/>
      <c r="I54" s="185"/>
      <c r="J54" s="185"/>
      <c r="K54" s="185"/>
      <c r="L54" s="185"/>
      <c r="M54" s="185"/>
      <c r="N54" s="185"/>
      <c r="O54" s="185"/>
      <c r="P54" s="185"/>
      <c r="Q54" s="185"/>
      <c r="R54" s="185"/>
      <c r="S54" s="185"/>
      <c r="T54" s="185"/>
      <c r="U54" s="185"/>
      <c r="V54" s="185"/>
      <c r="W54" s="185"/>
      <c r="X54" s="185"/>
      <c r="Y54" s="185"/>
      <c r="Z54" s="185"/>
      <c r="AA54" s="185"/>
      <c r="AB54" s="185"/>
      <c r="AC54" s="185"/>
      <c r="AD54" s="185"/>
      <c r="AE54" s="185"/>
      <c r="AF54" s="185"/>
      <c r="AG54" s="185"/>
      <c r="AH54" s="185"/>
      <c r="AI54" s="185"/>
    </row>
    <row r="55" spans="1:35" x14ac:dyDescent="0.15">
      <c r="A55" t="s">
        <v>272</v>
      </c>
      <c r="B55" t="str">
        <f>IF(ISTEXT(Automakers!$D$113)=TRUE,Automakers!D113&amp;" | Aggregated emissions intensity, in base year","select a vehicle category")</f>
        <v>select a vehicle category</v>
      </c>
      <c r="C55" t="s">
        <v>264</v>
      </c>
      <c r="D55" s="187" t="e">
        <f>IF(Automakers!D116&gt;0,Automakers!D116,NA())</f>
        <v>#N/A</v>
      </c>
    </row>
    <row r="56" spans="1:35" x14ac:dyDescent="0.15">
      <c r="A56" t="s">
        <v>273</v>
      </c>
      <c r="B56" t="str">
        <f>IF(ISTEXT(Automakers!$D$113)=TRUE,Automakers!D113&amp;" | Aggregated emissions intensity, in year y","select a vehicle category")</f>
        <v>select a vehicle category</v>
      </c>
      <c r="C56" t="s">
        <v>264</v>
      </c>
      <c r="G56" s="2" t="e">
        <f>IF(G50=Automakers!$D$114,Automakers!$D$116,IF(AND(G50&gt;Automakers!$D$114,G50&lt;2050),$D55*G53/$D54,NA()))</f>
        <v>#N/A</v>
      </c>
      <c r="H56" s="2" t="e">
        <f>IF(H50=Automakers!$D$114,Automakers!$D$116,IF(AND(H50&gt;Automakers!$D$114,H50&lt;2050),$D55*H53/$D54,NA()))</f>
        <v>#N/A</v>
      </c>
      <c r="I56" s="2" t="e">
        <f>IF(I50=Automakers!$D$114,Automakers!$D$116,IF(AND(I50&gt;Automakers!$D$114,I50&lt;2050),$D55*I53/$D54,NA()))</f>
        <v>#N/A</v>
      </c>
      <c r="J56" s="2" t="e">
        <f>IF(J50=Automakers!$D$114,Automakers!$D$116,IF(AND(J50&gt;Automakers!$D$114,J50&lt;2050),$D55*J53/$D54,NA()))</f>
        <v>#N/A</v>
      </c>
      <c r="K56" s="2" t="e">
        <f>IF(K50=Automakers!$D$114,Automakers!$D$116,IF(AND(K50&gt;Automakers!$D$114,K50&lt;2050),$D55*K53/$D54,NA()))</f>
        <v>#N/A</v>
      </c>
      <c r="L56" s="2" t="e">
        <f>IF(L50=Automakers!$D$114,Automakers!$D$116,IF(AND(L50&gt;Automakers!$D$114,L50&lt;2050),$D55*L53/$D54,NA()))</f>
        <v>#N/A</v>
      </c>
      <c r="M56" s="2" t="e">
        <f>IF(M50=Automakers!$D$114,Automakers!$D$116,IF(AND(M50&gt;Automakers!$D$114,M50&lt;2050),$D55*M53/$D54,NA()))</f>
        <v>#N/A</v>
      </c>
      <c r="N56" s="2" t="e">
        <f>IF(N50=Automakers!$D$114,Automakers!$D$116,IF(AND(N50&gt;Automakers!$D$114,N50&lt;2050),$D55*N53/$D54,NA()))</f>
        <v>#N/A</v>
      </c>
      <c r="O56" s="2" t="e">
        <f>IF(O50=Automakers!$D$114,Automakers!$D$116,IF(AND(O50&gt;Automakers!$D$114,O50&lt;2050),$D55*O53/$D54,NA()))</f>
        <v>#N/A</v>
      </c>
      <c r="P56" s="2" t="e">
        <f>IF(P50=Automakers!$D$114,Automakers!$D$116,IF(AND(P50&gt;Automakers!$D$114,P50&lt;2050),$D55*P53/$D54,NA()))</f>
        <v>#N/A</v>
      </c>
      <c r="Q56" s="2" t="e">
        <f>IF(Q50=Automakers!$D$114,Automakers!$D$116,IF(AND(Q50&gt;Automakers!$D$114,Q50&lt;2050),$D55*Q53/$D54,NA()))</f>
        <v>#N/A</v>
      </c>
      <c r="R56" s="2" t="e">
        <f>IF(R50=Automakers!$D$114,Automakers!$D$116,IF(AND(R50&gt;Automakers!$D$114,R50&lt;2050),$D55*R53/$D54,NA()))</f>
        <v>#N/A</v>
      </c>
      <c r="S56" s="2" t="e">
        <f>IF(S50=Automakers!$D$114,Automakers!$D$116,IF(AND(S50&gt;Automakers!$D$114,S50&lt;2050),$D55*S53/$D54,NA()))</f>
        <v>#N/A</v>
      </c>
      <c r="T56" s="2" t="e">
        <f>IF(T50=Automakers!$D$114,Automakers!$D$116,IF(AND(T50&gt;Automakers!$D$114,T50&lt;2050),$D55*T53/$D54,NA()))</f>
        <v>#N/A</v>
      </c>
      <c r="U56" s="2" t="e">
        <f>IF(U50=Automakers!$D$114,Automakers!$D$116,IF(AND(U50&gt;Automakers!$D$114,U50&lt;2050),$D55*U53/$D54,NA()))</f>
        <v>#N/A</v>
      </c>
      <c r="V56" s="2" t="e">
        <f>IF(V50=Automakers!$D$114,Automakers!$D$116,IF(AND(V50&gt;Automakers!$D$114,V50&lt;2050),$D55*V53/$D54,NA()))</f>
        <v>#N/A</v>
      </c>
      <c r="W56" s="2" t="e">
        <f>IF(W50=Automakers!$D$114,Automakers!$D$116,IF(AND(W50&gt;Automakers!$D$114,W50&lt;2050),$D55*W53/$D54,NA()))</f>
        <v>#N/A</v>
      </c>
      <c r="X56" s="2" t="e">
        <f>IF(X50=Automakers!$D$114,Automakers!$D$116,IF(AND(X50&gt;Automakers!$D$114,X50&lt;2050),$D55*X53/$D54,NA()))</f>
        <v>#N/A</v>
      </c>
      <c r="Y56" s="2" t="e">
        <f>IF(Y50=Automakers!$D$114,Automakers!$D$116,IF(AND(Y50&gt;Automakers!$D$114,Y50&lt;2050),$D55*Y53/$D54,NA()))</f>
        <v>#N/A</v>
      </c>
      <c r="Z56" s="2" t="e">
        <f>IF(Z50=Automakers!$D$114,Automakers!$D$116,IF(AND(Z50&gt;Automakers!$D$114,Z50&lt;2050),$D55*Z53/$D54,NA()))</f>
        <v>#N/A</v>
      </c>
      <c r="AA56" s="2" t="e">
        <f>IF(AA50=Automakers!$D$114,Automakers!$D$116,IF(AND(AA50&gt;Automakers!$D$114,AA50&lt;2050),$D55*AA53/$D54,NA()))</f>
        <v>#N/A</v>
      </c>
      <c r="AB56" s="2" t="e">
        <f>IF(AB50=Automakers!$D$114,Automakers!$D$116,IF(AND(AB50&gt;Automakers!$D$114,AB50&lt;2050),$D55*AB53/$D54,NA()))</f>
        <v>#N/A</v>
      </c>
      <c r="AC56" s="2" t="e">
        <f>IF(AC50=Automakers!$D$114,Automakers!$D$116,IF(AND(AC50&gt;Automakers!$D$114,AC50&lt;2050),$D55*AC53/$D54,NA()))</f>
        <v>#N/A</v>
      </c>
      <c r="AD56" s="2" t="e">
        <f>IF(AD50=Automakers!$D$114,Automakers!$D$116,IF(AND(AD50&gt;Automakers!$D$114,AD50&lt;2050),$D55*AD53/$D54,NA()))</f>
        <v>#N/A</v>
      </c>
      <c r="AE56" s="2" t="e">
        <f>IF(AE50=Automakers!$D$114,Automakers!$D$116,IF(AND(AE50&gt;Automakers!$D$114,AE50&lt;2050),$D55*AE53/$D54,NA()))</f>
        <v>#N/A</v>
      </c>
      <c r="AF56" s="2" t="e">
        <f>IF(AF50=Automakers!$D$114,Automakers!$D$116,IF(AND(AF50&gt;Automakers!$D$114,AF50&lt;2050),$D55*AF53/$D54,NA()))</f>
        <v>#N/A</v>
      </c>
      <c r="AG56" s="2" t="e">
        <f>IF(AG50=Automakers!$D$114,Automakers!$D$116,IF(AND(AG50&gt;Automakers!$D$114,AG50&lt;2050),$D55*AG53/$D54,NA()))</f>
        <v>#N/A</v>
      </c>
      <c r="AH56" s="2" t="e">
        <f>IF(AH50=Automakers!$D$114,Automakers!$D$116,IF(AND(AH50&gt;Automakers!$D$114,AH50&lt;2050),$D55*AH53/$D54,NA()))</f>
        <v>#N/A</v>
      </c>
      <c r="AI56" s="2" t="e">
        <f>IF(AI50=Automakers!$D$114,Automakers!$D$116,IF(AND(AI50&gt;Automakers!$D$114,AI50&lt;2050),$D55*AI53/$D54,NA()))</f>
        <v>#N/A</v>
      </c>
    </row>
    <row r="57" spans="1:35" x14ac:dyDescent="0.15">
      <c r="B57" t="str">
        <f>IF(ISTEXT(Automakers!$D$113)=TRUE,Automakers!D113&amp;" | Aggregated emissions intensity target","select a vehicle category")</f>
        <v>select a vehicle category</v>
      </c>
      <c r="C57" t="s">
        <v>264</v>
      </c>
      <c r="D57" s="187" t="e">
        <f>HLOOKUP(Automakers!$D$115,G1:AI63,ROW(A56))</f>
        <v>#N/A</v>
      </c>
    </row>
    <row r="59" spans="1:35" x14ac:dyDescent="0.15">
      <c r="A59" s="1" t="s">
        <v>308</v>
      </c>
      <c r="D59" s="185"/>
      <c r="E59" s="185"/>
    </row>
    <row r="60" spans="1:35" x14ac:dyDescent="0.15">
      <c r="A60" t="s">
        <v>256</v>
      </c>
      <c r="B60" t="s">
        <v>275</v>
      </c>
      <c r="C60" t="s">
        <v>29</v>
      </c>
      <c r="D60" s="186" t="s">
        <v>306</v>
      </c>
      <c r="E60" s="185"/>
      <c r="F60" s="185"/>
      <c r="G60" s="2" t="e">
        <f t="array" ref="G60">INDEX(Database!T$2:AX$49,MATCH($A$60&amp;Automakers!$D$112&amp;Automakers!$D$113,Database!$A2:$A98&amp;Database!$C2:$C98&amp;Database!$G2:$G98,0),1)</f>
        <v>#N/A</v>
      </c>
      <c r="H60" s="2" t="e">
        <f t="array" ref="H60">INDEX(Database!U$2:AY$49,MATCH($A$60&amp;Automakers!$D$112&amp;Automakers!$D$113,Database!$A2:$A98&amp;Database!$C2:$C98&amp;Database!$G2:$G98,0),1)</f>
        <v>#N/A</v>
      </c>
      <c r="I60" s="2" t="e">
        <f t="array" ref="I60">INDEX(Database!V$2:AZ$49,MATCH($A$60&amp;Automakers!$D$112&amp;Automakers!$D$113,Database!$A2:$A98&amp;Database!$C2:$C98&amp;Database!$G2:$G98,0),1)</f>
        <v>#N/A</v>
      </c>
      <c r="J60" s="2" t="e">
        <f t="array" ref="J60">INDEX(Database!W$2:BA$49,MATCH($A$60&amp;Automakers!$D$112&amp;Automakers!$D$113,Database!$A2:$A98&amp;Database!$C2:$C98&amp;Database!$G2:$G98,0),1)</f>
        <v>#N/A</v>
      </c>
      <c r="K60" s="2" t="e">
        <f t="array" ref="K60">INDEX(Database!X$2:BB$49,MATCH($A$60&amp;Automakers!$D$112&amp;Automakers!$D$113,Database!$A2:$A98&amp;Database!$C2:$C98&amp;Database!$G2:$G98,0),1)</f>
        <v>#N/A</v>
      </c>
      <c r="L60" s="2" t="e">
        <f t="array" ref="L60">INDEX(Database!Y$2:BC$49,MATCH($A$60&amp;Automakers!$D$112&amp;Automakers!$D$113,Database!$A2:$A98&amp;Database!$C2:$C98&amp;Database!$G2:$G98,0),1)</f>
        <v>#N/A</v>
      </c>
      <c r="M60" s="2" t="e">
        <f t="array" ref="M60">INDEX(Database!Z$2:BD$49,MATCH($A$60&amp;Automakers!$D$112&amp;Automakers!$D$113,Database!$A2:$A98&amp;Database!$C2:$C98&amp;Database!$G2:$G98,0),1)</f>
        <v>#N/A</v>
      </c>
      <c r="N60" s="2" t="e">
        <f t="array" ref="N60">INDEX(Database!AA$2:BE$49,MATCH($A$60&amp;Automakers!$D$112&amp;Automakers!$D$113,Database!$A2:$A98&amp;Database!$C2:$C98&amp;Database!$G2:$G98,0),1)</f>
        <v>#N/A</v>
      </c>
      <c r="O60" s="2" t="e">
        <f t="array" ref="O60">INDEX(Database!AB$2:BF$49,MATCH($A$60&amp;Automakers!$D$112&amp;Automakers!$D$113,Database!$A2:$A98&amp;Database!$C2:$C98&amp;Database!$G2:$G98,0),1)</f>
        <v>#N/A</v>
      </c>
      <c r="P60" s="2" t="e">
        <f t="array" ref="P60">INDEX(Database!AC$2:BG$49,MATCH($A$60&amp;Automakers!$D$112&amp;Automakers!$D$113,Database!$A2:$A98&amp;Database!$C2:$C98&amp;Database!$G2:$G98,0),1)</f>
        <v>#N/A</v>
      </c>
      <c r="Q60" s="2" t="e">
        <f t="array" ref="Q60">INDEX(Database!AD$2:BH$49,MATCH($A$60&amp;Automakers!$D$112&amp;Automakers!$D$113,Database!$A2:$A98&amp;Database!$C2:$C98&amp;Database!$G2:$G98,0),1)</f>
        <v>#N/A</v>
      </c>
      <c r="R60" s="2" t="e">
        <f t="array" ref="R60">INDEX(Database!AE$2:BI$49,MATCH($A$60&amp;Automakers!$D$112&amp;Automakers!$D$113,Database!$A2:$A98&amp;Database!$C2:$C98&amp;Database!$G2:$G98,0),1)</f>
        <v>#N/A</v>
      </c>
      <c r="S60" s="2" t="e">
        <f t="array" ref="S60">INDEX(Database!AF$2:BJ$49,MATCH($A$60&amp;Automakers!$D$112&amp;Automakers!$D$113,Database!$A2:$A98&amp;Database!$C2:$C98&amp;Database!$G2:$G98,0),1)</f>
        <v>#N/A</v>
      </c>
      <c r="T60" s="2" t="e">
        <f t="array" ref="T60">INDEX(Database!AG$2:BK$49,MATCH($A$60&amp;Automakers!$D$112&amp;Automakers!$D$113,Database!$A2:$A98&amp;Database!$C2:$C98&amp;Database!$G2:$G98,0),1)</f>
        <v>#N/A</v>
      </c>
      <c r="U60" s="2" t="e">
        <f t="array" ref="U60">INDEX(Database!AH$2:BL$49,MATCH($A$60&amp;Automakers!$D$112&amp;Automakers!$D$113,Database!$A2:$A98&amp;Database!$C2:$C98&amp;Database!$G2:$G98,0),1)</f>
        <v>#N/A</v>
      </c>
      <c r="V60" s="2" t="e">
        <f t="array" ref="V60">INDEX(Database!AI$2:BM$49,MATCH($A$60&amp;Automakers!$D$112&amp;Automakers!$D$113,Database!$A2:$A98&amp;Database!$C2:$C98&amp;Database!$G2:$G98,0),1)</f>
        <v>#N/A</v>
      </c>
      <c r="W60" s="2" t="e">
        <f t="array" ref="W60">INDEX(Database!AJ$2:BN$49,MATCH($A$60&amp;Automakers!$D$112&amp;Automakers!$D$113,Database!$A2:$A98&amp;Database!$C2:$C98&amp;Database!$G2:$G98,0),1)</f>
        <v>#N/A</v>
      </c>
      <c r="X60" s="2" t="e">
        <f t="array" ref="X60">INDEX(Database!AK$2:BO$49,MATCH($A$60&amp;Automakers!$D$112&amp;Automakers!$D$113,Database!$A2:$A98&amp;Database!$C2:$C98&amp;Database!$G2:$G98,0),1)</f>
        <v>#N/A</v>
      </c>
      <c r="Y60" s="2" t="e">
        <f t="array" ref="Y60">INDEX(Database!AL$2:BP$49,MATCH($A$60&amp;Automakers!$D$112&amp;Automakers!$D$113,Database!$A2:$A98&amp;Database!$C2:$C98&amp;Database!$G2:$G98,0),1)</f>
        <v>#N/A</v>
      </c>
      <c r="Z60" s="2" t="e">
        <f t="array" ref="Z60">INDEX(Database!AM$2:BQ$49,MATCH($A$60&amp;Automakers!$D$112&amp;Automakers!$D$113,Database!$A2:$A98&amp;Database!$C2:$C98&amp;Database!$G2:$G98,0),1)</f>
        <v>#N/A</v>
      </c>
      <c r="AA60" s="2" t="e">
        <f t="array" ref="AA60">INDEX(Database!AN$2:BR$49,MATCH($A$60&amp;Automakers!$D$112&amp;Automakers!$D$113,Database!$A2:$A98&amp;Database!$C2:$C98&amp;Database!$G2:$G98,0),1)</f>
        <v>#N/A</v>
      </c>
      <c r="AB60" s="2" t="e">
        <f t="array" ref="AB60">INDEX(Database!AO$2:BS$49,MATCH($A$60&amp;Automakers!$D$112&amp;Automakers!$D$113,Database!$A2:$A98&amp;Database!$C2:$C98&amp;Database!$G2:$G98,0),1)</f>
        <v>#N/A</v>
      </c>
      <c r="AC60" s="2" t="e">
        <f t="array" ref="AC60">INDEX(Database!AP$2:BT$49,MATCH($A$60&amp;Automakers!$D$112&amp;Automakers!$D$113,Database!$A2:$A98&amp;Database!$C2:$C98&amp;Database!$G2:$G98,0),1)</f>
        <v>#N/A</v>
      </c>
      <c r="AD60" s="2" t="e">
        <f t="array" ref="AD60">INDEX(Database!AQ$2:BU$49,MATCH($A$60&amp;Automakers!$D$112&amp;Automakers!$D$113,Database!$A2:$A98&amp;Database!$C2:$C98&amp;Database!$G2:$G98,0),1)</f>
        <v>#N/A</v>
      </c>
      <c r="AE60" s="2" t="e">
        <f t="array" ref="AE60">INDEX(Database!AR$2:BV$49,MATCH($A$60&amp;Automakers!$D$112&amp;Automakers!$D$113,Database!$A2:$A98&amp;Database!$C2:$C98&amp;Database!$G2:$G98,0),1)</f>
        <v>#N/A</v>
      </c>
      <c r="AF60" s="2" t="e">
        <f t="array" ref="AF60">INDEX(Database!AS$2:BW$49,MATCH($A$60&amp;Automakers!$D$112&amp;Automakers!$D$113,Database!$A2:$A98&amp;Database!$C2:$C98&amp;Database!$G2:$G98,0),1)</f>
        <v>#N/A</v>
      </c>
      <c r="AG60" s="2" t="e">
        <f t="array" ref="AG60">INDEX(Database!AT$2:BX$49,MATCH($A$60&amp;Automakers!$D$112&amp;Automakers!$D$113,Database!$A2:$A98&amp;Database!$C2:$C98&amp;Database!$G2:$G98,0),1)</f>
        <v>#N/A</v>
      </c>
      <c r="AH60" s="2" t="e">
        <f t="array" ref="AH60">INDEX(Database!AU$2:BY$49,MATCH($A$60&amp;Automakers!$D$112&amp;Automakers!$D$113,Database!$A2:$A98&amp;Database!$C2:$C98&amp;Database!$G2:$G98,0),1)</f>
        <v>#N/A</v>
      </c>
      <c r="AI60" s="2" t="e">
        <f t="array" ref="AI60">INDEX(Database!AV$2:BZ$49,MATCH($A$60&amp;Automakers!$D$112&amp;Automakers!$D$113,Database!$A2:$A98&amp;Database!$C2:$C98&amp;Database!$G2:$G98,0),1)</f>
        <v>#N/A</v>
      </c>
    </row>
    <row r="61" spans="1:35" x14ac:dyDescent="0.15">
      <c r="A61" t="s">
        <v>278</v>
      </c>
      <c r="B61" t="s">
        <v>279</v>
      </c>
      <c r="C61" t="s">
        <v>29</v>
      </c>
      <c r="D61" s="187" t="e">
        <f>HLOOKUP(Automakers!$D$114,G1:AI63,ROW(A60))</f>
        <v>#N/A</v>
      </c>
      <c r="E61" s="185"/>
    </row>
    <row r="62" spans="1:35" x14ac:dyDescent="0.15">
      <c r="A62" s="97" t="s">
        <v>272</v>
      </c>
      <c r="B62" t="str">
        <f>IF(ISTEXT(Automakers!$D$113)=TRUE,Automakers!D113&amp;" | LEV sales share, in base year","select a vehicle category")</f>
        <v>select a vehicle category</v>
      </c>
      <c r="C62" t="e">
        <f>INDEX(Lists!$E$2:$E$50,MATCH(Automakers!$D$73,Lists!$B$2:$B$50,0))</f>
        <v>#N/A</v>
      </c>
      <c r="D62" s="187" t="e">
        <f>IF(Automakers!D117&gt;0,Automakers!D117,NA())</f>
        <v>#N/A</v>
      </c>
      <c r="E62" s="185"/>
    </row>
    <row r="63" spans="1:35" x14ac:dyDescent="0.15">
      <c r="A63" t="s">
        <v>273</v>
      </c>
      <c r="B63" t="str">
        <f>IF(ISTEXT(Automakers!$D$113)=TRUE,Automakers!D113&amp;" | LEV sales share, in year y","select a vehicle category")</f>
        <v>select a vehicle category</v>
      </c>
      <c r="C63" t="e">
        <f>INDEX(Lists!$E$2:$E$50,MATCH(Automakers!$D$73,Lists!$B$2:$B$50,0))</f>
        <v>#N/A</v>
      </c>
      <c r="D63" s="185"/>
      <c r="G63" s="2" t="e">
        <f>IF(G50=Automakers!$D$114,Automakers!$D$117,IF(AND(G50&gt;Automakers!$D$114,G50&lt;2035),($D$62-$T$60)*((G60-$T$60)/($D$61-$T$60))+$T$60,G60))</f>
        <v>#N/A</v>
      </c>
      <c r="H63" s="2" t="e">
        <f>IF(H50=Automakers!$D$114,Automakers!$D$117,IF(AND(H50&gt;Automakers!$D$114,H50&lt;2035),($D$62-$T$60)*((H60-$T$60)/($D$61-$T$60))+$T$60,H60))</f>
        <v>#N/A</v>
      </c>
      <c r="I63" s="2" t="e">
        <f>IF(I50=Automakers!$D$114,Automakers!$D$117,IF(AND(I50&gt;Automakers!$D$114,I50&lt;2035),($D$62-$T$60)*((I60-$T$60)/($D$61-$T$60))+$T$60,I60))</f>
        <v>#N/A</v>
      </c>
      <c r="J63" s="2" t="e">
        <f>IF(J50=Automakers!$D$114,Automakers!$D$117,IF(AND(J50&gt;Automakers!$D$114,J50&lt;2035),($D$62-$T$60)*((J60-$T$60)/($D$61-$T$60))+$T$60,J60))</f>
        <v>#N/A</v>
      </c>
      <c r="K63" s="2" t="e">
        <f>IF(K50=Automakers!$D$114,Automakers!$D$117,IF(AND(K50&gt;Automakers!$D$114,K50&lt;2035),($D$62-$T$60)*((K60-$T$60)/($D$61-$T$60))+$T$60,K60))</f>
        <v>#N/A</v>
      </c>
      <c r="L63" s="2" t="e">
        <f>IF(L50=Automakers!$D$114,Automakers!$D$117,IF(AND(L50&gt;Automakers!$D$114,L50&lt;2035),($D$62-$T$60)*((L60-$T$60)/($D$61-$T$60))+$T$60,L60))</f>
        <v>#N/A</v>
      </c>
      <c r="M63" s="2" t="e">
        <f>IF(M50=Automakers!$D$114,Automakers!$D$117,IF(AND(M50&gt;Automakers!$D$114,M50&lt;2035),($D$62-$T$60)*((M60-$T$60)/($D$61-$T$60))+$T$60,M60))</f>
        <v>#N/A</v>
      </c>
      <c r="N63" s="2" t="e">
        <f>IF(N50=Automakers!$D$114,Automakers!$D$117,IF(AND(N50&gt;Automakers!$D$114,N50&lt;2035),($D$62-$T$60)*((N60-$T$60)/($D$61-$T$60))+$T$60,N60))</f>
        <v>#N/A</v>
      </c>
      <c r="O63" s="2" t="e">
        <f>IF(O50=Automakers!$D$114,Automakers!$D$117,IF(AND(O50&gt;Automakers!$D$114,O50&lt;2035),($D$62-$T$60)*((O60-$T$60)/($D$61-$T$60))+$T$60,O60))</f>
        <v>#N/A</v>
      </c>
      <c r="P63" s="2" t="e">
        <f>IF(P50=Automakers!$D$114,Automakers!$D$117,IF(AND(P50&gt;Automakers!$D$114,P50&lt;2035),($D$62-$T$60)*((P60-$T$60)/($D$61-$T$60))+$T$60,P60))</f>
        <v>#N/A</v>
      </c>
      <c r="Q63" s="2" t="e">
        <f>IF(Q50=Automakers!$D$114,Automakers!$D$117,IF(AND(Q50&gt;Automakers!$D$114,Q50&lt;2035),($D$62-$T$60)*((Q60-$T$60)/($D$61-$T$60))+$T$60,Q60))</f>
        <v>#N/A</v>
      </c>
      <c r="R63" s="2" t="e">
        <f>IF(R50=Automakers!$D$114,Automakers!$D$117,IF(AND(R50&gt;Automakers!$D$114,R50&lt;2035),($D$62-$T$60)*((R60-$T$60)/($D$61-$T$60))+$T$60,R60))</f>
        <v>#N/A</v>
      </c>
      <c r="S63" s="2" t="e">
        <f>IF(S50=Automakers!$D$114,Automakers!$D$117,IF(AND(S50&gt;Automakers!$D$114,S50&lt;2035),($D$62-$T$60)*((S60-$T$60)/($D$61-$T$60))+$T$60,S60))</f>
        <v>#N/A</v>
      </c>
      <c r="T63" s="2" t="e">
        <f>IF(T50=Automakers!$D$114,Automakers!$D$117,IF(AND(T50&gt;Automakers!$D$114,T50&lt;2035),($D$62-$T$60)*((T60-$T$60)/($D$61-$T$60))+$T$60,T60))</f>
        <v>#N/A</v>
      </c>
      <c r="U63" s="2" t="e">
        <f>IF(U50=Automakers!$D$114,Automakers!$D$117,IF(AND(U50&gt;Automakers!$D$114,U50&lt;2035),($D$62-$T$60)*((U60-$T$60)/($D$61-$T$60))+$T$60,U60))</f>
        <v>#N/A</v>
      </c>
      <c r="V63" s="2" t="e">
        <f>IF(V50=Automakers!$D$114,Automakers!$D$117,IF(AND(V50&gt;Automakers!$D$114,V50&lt;2035),($D$62-$T$60)*((V60-$T$60)/($D$61-$T$60))+$T$60,V60))</f>
        <v>#N/A</v>
      </c>
      <c r="W63" s="2" t="e">
        <f>IF(W50=Automakers!$D$114,Automakers!$D$117,IF(AND(W50&gt;Automakers!$D$114,W50&lt;2035),($D$62-$T$60)*((W60-$T$60)/($D$61-$T$60))+$T$60,W60))</f>
        <v>#N/A</v>
      </c>
      <c r="X63" s="2" t="e">
        <f>IF(X50=Automakers!$D$114,Automakers!$D$117,IF(AND(X50&gt;Automakers!$D$114,X50&lt;2035),($D$62-$T$60)*((X60-$T$60)/($D$61-$T$60))+$T$60,X60))</f>
        <v>#N/A</v>
      </c>
      <c r="Y63" s="2" t="e">
        <f>IF(Y50=Automakers!$D$114,Automakers!$D$117,IF(AND(Y50&gt;Automakers!$D$114,Y50&lt;2035),($D$62-$T$60)*((Y60-$T$60)/($D$61-$T$60))+$T$60,Y60))</f>
        <v>#N/A</v>
      </c>
      <c r="Z63" s="2" t="e">
        <f>IF(Z50=Automakers!$D$114,Automakers!$D$117,IF(AND(Z50&gt;Automakers!$D$114,Z50&lt;2035),($D$62-$T$60)*((Z60-$T$60)/($D$61-$T$60))+$T$60,Z60))</f>
        <v>#N/A</v>
      </c>
      <c r="AA63" s="2" t="e">
        <f>IF(AA50=Automakers!$D$114,Automakers!$D$117,IF(AND(AA50&gt;Automakers!$D$114,AA50&lt;2035),($D$62-$T$60)*((AA60-$T$60)/($D$61-$T$60))+$T$60,AA60))</f>
        <v>#N/A</v>
      </c>
      <c r="AB63" s="2" t="e">
        <f>IF(AB50=Automakers!$D$114,Automakers!$D$117,IF(AND(AB50&gt;Automakers!$D$114,AB50&lt;2035),($D$62-$T$60)*((AB60-$T$60)/($D$61-$T$60))+$T$60,AB60))</f>
        <v>#N/A</v>
      </c>
      <c r="AC63" s="2" t="e">
        <f>IF(AC50=Automakers!$D$114,Automakers!$D$117,IF(AND(AC50&gt;Automakers!$D$114,AC50&lt;2035),($D$62-$T$60)*((AC60-$T$60)/($D$61-$T$60))+$T$60,AC60))</f>
        <v>#N/A</v>
      </c>
      <c r="AD63" s="2" t="e">
        <f>IF(AD50=Automakers!$D$114,Automakers!$D$117,IF(AND(AD50&gt;Automakers!$D$114,AD50&lt;2035),($D$62-$T$60)*((AD60-$T$60)/($D$61-$T$60))+$T$60,AD60))</f>
        <v>#N/A</v>
      </c>
      <c r="AE63" s="2" t="e">
        <f>IF(AE50=Automakers!$D$114,Automakers!$D$117,IF(AND(AE50&gt;Automakers!$D$114,AE50&lt;2035),($D$62-$T$60)*((AE60-$T$60)/($D$61-$T$60))+$T$60,AE60))</f>
        <v>#N/A</v>
      </c>
      <c r="AF63" s="2" t="e">
        <f>IF(AF50=Automakers!$D$114,Automakers!$D$117,IF(AND(AF50&gt;Automakers!$D$114,AF50&lt;2035),($D$62-$T$60)*((AF60-$T$60)/($D$61-$T$60))+$T$60,AF60))</f>
        <v>#N/A</v>
      </c>
      <c r="AG63" s="2" t="e">
        <f>IF(AG50=Automakers!$D$114,Automakers!$D$117,IF(AND(AG50&gt;Automakers!$D$114,AG50&lt;2035),($D$62-$T$60)*((AG60-$T$60)/($D$61-$T$60))+$T$60,AG60))</f>
        <v>#N/A</v>
      </c>
      <c r="AH63" s="2" t="e">
        <f>IF(AH50=Automakers!$D$114,Automakers!$D$117,IF(AND(AH50&gt;Automakers!$D$114,AH50&lt;2035),($D$62-$T$60)*((AH60-$T$60)/($D$61-$T$60))+$T$60,AH60))</f>
        <v>#N/A</v>
      </c>
      <c r="AI63" s="2" t="e">
        <f>IF(AI50=Automakers!$D$114,Automakers!$D$117,IF(AND(AI50&gt;Automakers!$D$114,AI50&lt;2035),($D$62-$T$60)*((AI60-$T$60)/($D$61-$T$60))+$T$60,AI60))</f>
        <v>#N/A</v>
      </c>
    </row>
    <row r="64" spans="1:35" x14ac:dyDescent="0.15">
      <c r="B64" t="str">
        <f>IF(ISTEXT(Automakers!$D$113)=TRUE,Automakers!D113&amp;" | LEV sales share target","select a vehicle category")</f>
        <v>select a vehicle category</v>
      </c>
      <c r="C64" t="e">
        <f>INDEX(Lists!$E$2:$E$50,MATCH(Automakers!$D$73,Lists!$B$2:$B$50,0))</f>
        <v>#N/A</v>
      </c>
      <c r="D64" s="188" t="e">
        <f>HLOOKUP(Automakers!$D$115,G1:AI63,ROW(A63))</f>
        <v>#N/A</v>
      </c>
      <c r="E64" s="185"/>
    </row>
    <row r="66" spans="1:35" s="178" customFormat="1" ht="23" x14ac:dyDescent="0.25">
      <c r="A66" s="177" t="s">
        <v>393</v>
      </c>
      <c r="E66" s="179"/>
      <c r="F66" s="179"/>
      <c r="G66" s="179"/>
      <c r="H66" s="179"/>
      <c r="I66" s="179"/>
      <c r="J66" s="179"/>
      <c r="K66" s="179"/>
      <c r="L66" s="179"/>
      <c r="M66" s="179"/>
      <c r="N66" s="179"/>
      <c r="O66" s="179"/>
      <c r="P66" s="179"/>
      <c r="Q66" s="179"/>
      <c r="R66" s="179"/>
      <c r="S66" s="179"/>
      <c r="T66" s="179"/>
      <c r="U66" s="179"/>
      <c r="V66" s="179"/>
      <c r="W66" s="179"/>
      <c r="X66" s="179"/>
      <c r="Y66" s="179"/>
      <c r="Z66" s="179"/>
      <c r="AA66" s="179"/>
      <c r="AB66" s="179"/>
      <c r="AC66" s="179"/>
      <c r="AD66" s="179"/>
      <c r="AE66" s="179"/>
      <c r="AF66" s="179"/>
      <c r="AG66" s="179"/>
      <c r="AH66" s="179"/>
      <c r="AI66" s="179"/>
    </row>
    <row r="68" spans="1:35" x14ac:dyDescent="0.15">
      <c r="A68" s="1" t="s">
        <v>455</v>
      </c>
      <c r="D68" s="185"/>
      <c r="E68" s="185"/>
      <c r="F68" s="185"/>
      <c r="G68" s="185"/>
      <c r="H68" s="185"/>
      <c r="I68" s="185"/>
      <c r="J68" s="185"/>
      <c r="K68" s="185"/>
      <c r="L68" s="185"/>
      <c r="M68" s="185"/>
      <c r="N68" s="185"/>
      <c r="O68" s="185"/>
      <c r="P68" s="185"/>
      <c r="Q68" s="185"/>
      <c r="R68" s="185"/>
      <c r="S68" s="185"/>
      <c r="T68" s="185"/>
      <c r="U68" s="185"/>
      <c r="V68" s="185"/>
      <c r="W68" s="185"/>
      <c r="X68" s="185"/>
      <c r="Y68" s="185"/>
      <c r="Z68" s="185"/>
      <c r="AA68" s="185"/>
      <c r="AB68" s="185"/>
      <c r="AC68" s="185"/>
      <c r="AD68" s="185"/>
      <c r="AE68" s="185"/>
      <c r="AF68" s="185"/>
      <c r="AG68" s="185"/>
      <c r="AH68" s="185"/>
      <c r="AI68" s="185"/>
    </row>
    <row r="69" spans="1:35" x14ac:dyDescent="0.15">
      <c r="A69" t="s">
        <v>385</v>
      </c>
      <c r="B69" t="s">
        <v>389</v>
      </c>
      <c r="C69" t="s">
        <v>29</v>
      </c>
      <c r="D69" s="186" t="s">
        <v>306</v>
      </c>
      <c r="E69" s="185"/>
      <c r="F69" s="185"/>
      <c r="G69" s="185">
        <f t="array" ref="G69">INDEX(Database!T$2:AX$98,MATCH($A$69,Database!$A2:$A98,0),1)</f>
        <v>0</v>
      </c>
      <c r="H69" s="185">
        <f t="array" ref="H69">INDEX(Database!U$2:AY$98,MATCH($A$69,Database!$A2:$A98,0),1)</f>
        <v>1</v>
      </c>
      <c r="I69" s="185">
        <f t="array" ref="I69">INDEX(Database!V$2:AZ$98,MATCH($A$69,Database!$A2:$A98,0),1)</f>
        <v>0.96576747072674518</v>
      </c>
      <c r="J69" s="185">
        <f t="array" ref="J69">INDEX(Database!W$2:BA$98,MATCH($A$69,Database!$A2:$A98,0),1)</f>
        <v>0.93153494145349003</v>
      </c>
      <c r="K69" s="185">
        <f t="array" ref="K69">INDEX(Database!X$2:BB$98,MATCH($A$69,Database!$A2:$A98,0),1)</f>
        <v>0.89730241218023521</v>
      </c>
      <c r="L69" s="185">
        <f t="array" ref="L69">INDEX(Database!Y$2:BC$98,MATCH($A$69,Database!$A2:$A98,0),1)</f>
        <v>0.86306988290698017</v>
      </c>
      <c r="M69" s="185">
        <f t="array" ref="M69">INDEX(Database!Z$2:BD$98,MATCH($A$69,Database!$A2:$A98,0),1)</f>
        <v>0.82883735363372524</v>
      </c>
      <c r="N69" s="185">
        <f t="array" ref="N69">INDEX(Database!AA$2:BE$98,MATCH($A$69,Database!$A2:$A98,0),1)</f>
        <v>0.79460482436047042</v>
      </c>
      <c r="O69" s="185">
        <f t="array" ref="O69">INDEX(Database!AB$2:BF$98,MATCH($A$69,Database!$A2:$A98,0),1)</f>
        <v>0.76037229508721538</v>
      </c>
      <c r="P69" s="185">
        <f t="array" ref="P69">INDEX(Database!AC$2:BG$98,MATCH($A$69,Database!$A2:$A98,0),1)</f>
        <v>0.7161825737268781</v>
      </c>
      <c r="Q69" s="185">
        <f t="array" ref="Q69">INDEX(Database!AD$2:BH$98,MATCH($A$69,Database!$A2:$A98,0),1)</f>
        <v>0.67199285236654105</v>
      </c>
      <c r="R69" s="185">
        <f t="array" ref="R69">INDEX(Database!AE$2:BI$98,MATCH($A$69,Database!$A2:$A98,0),1)</f>
        <v>0.62780313100620389</v>
      </c>
      <c r="S69" s="185">
        <f t="array" ref="S69">INDEX(Database!AF$2:BJ$98,MATCH($A$69,Database!$A2:$A98,0),1)</f>
        <v>0.58361340964586683</v>
      </c>
      <c r="T69" s="185">
        <f t="array" ref="T69">INDEX(Database!AG$2:BK$98,MATCH($A$69,Database!$A2:$A98,0),1)</f>
        <v>0.53942368828552978</v>
      </c>
      <c r="U69" s="185">
        <f t="array" ref="U69">INDEX(Database!AH$2:BL$98,MATCH($A$69,Database!$A2:$A98,0),1)</f>
        <v>0.49693665164059386</v>
      </c>
      <c r="V69" s="185">
        <f t="array" ref="V69">INDEX(Database!AI$2:BM$98,MATCH($A$69,Database!$A2:$A98,0),1)</f>
        <v>0.454449614995658</v>
      </c>
      <c r="W69" s="185">
        <f t="array" ref="W69">INDEX(Database!AJ$2:BN$98,MATCH($A$69,Database!$A2:$A98,0),1)</f>
        <v>0.41196257835072209</v>
      </c>
      <c r="X69" s="185">
        <f t="array" ref="X69">INDEX(Database!AK$2:BO$98,MATCH($A$69,Database!$A2:$A98,0),1)</f>
        <v>0.36947554170578634</v>
      </c>
      <c r="Y69" s="185">
        <f t="array" ref="Y69">INDEX(Database!AL$2:BP$98,MATCH($A$69,Database!$A2:$A98,0),1)</f>
        <v>0.32698850506085048</v>
      </c>
      <c r="Z69" s="185">
        <f t="array" ref="Z69">INDEX(Database!AM$2:BQ$98,MATCH($A$69,Database!$A2:$A98,0),1)</f>
        <v>0.29883823918863928</v>
      </c>
      <c r="AA69" s="185">
        <f t="array" ref="AA69">INDEX(Database!AN$2:BR$98,MATCH($A$69,Database!$A2:$A98,0),1)</f>
        <v>0.27068797331642813</v>
      </c>
      <c r="AB69" s="185">
        <f t="array" ref="AB69">INDEX(Database!AO$2:BS$98,MATCH($A$69,Database!$A2:$A98,0),1)</f>
        <v>0.2425377074442169</v>
      </c>
      <c r="AC69" s="185">
        <f t="array" ref="AC69">INDEX(Database!AP$2:BT$98,MATCH($A$69,Database!$A2:$A98,0),1)</f>
        <v>0.21438744157200568</v>
      </c>
      <c r="AD69" s="185">
        <f t="array" ref="AD69">INDEX(Database!AQ$2:BU$98,MATCH($A$69,Database!$A2:$A98,0),1)</f>
        <v>0.1862371756997945</v>
      </c>
      <c r="AE69" s="185">
        <f t="array" ref="AE69">INDEX(Database!AR$2:BV$98,MATCH($A$69,Database!$A2:$A98,0),1)</f>
        <v>0.15808690982758328</v>
      </c>
      <c r="AF69" s="185">
        <f t="array" ref="AF69">INDEX(Database!AS$2:BW$98,MATCH($A$69,Database!$A2:$A98,0),1)</f>
        <v>0.12993664395537211</v>
      </c>
      <c r="AG69" s="185">
        <f t="array" ref="AG69">INDEX(Database!AT$2:BX$98,MATCH($A$69,Database!$A2:$A98,0),1)</f>
        <v>0.10178637808316089</v>
      </c>
      <c r="AH69" s="185">
        <f t="array" ref="AH69">INDEX(Database!AU$2:BY$98,MATCH($A$69,Database!$A2:$A98,0),1)</f>
        <v>7.3636112210949692E-2</v>
      </c>
      <c r="AI69" s="185">
        <f t="array" ref="AI69">INDEX(Database!AV$2:BZ$98,MATCH($A$69,Database!$A2:$A98,0),1)</f>
        <v>4.5485846338738409E-2</v>
      </c>
    </row>
    <row r="70" spans="1:35" x14ac:dyDescent="0.15">
      <c r="A70" t="s">
        <v>272</v>
      </c>
      <c r="B70" t="s">
        <v>457</v>
      </c>
      <c r="C70" t="e">
        <f>INDEX(Lists!$E$2:$E$50,MATCH(Automakers!$D$73,Lists!$B$2:$B$50,0))</f>
        <v>#N/A</v>
      </c>
      <c r="D70" s="187" t="e">
        <f>IF(Automakers!D153&gt;0,Automakers!D153,NA())</f>
        <v>#N/A</v>
      </c>
      <c r="E70" s="185"/>
      <c r="F70" s="185"/>
      <c r="G70" s="185"/>
      <c r="H70" s="185"/>
      <c r="I70" s="185"/>
      <c r="J70" s="185"/>
      <c r="K70" s="185"/>
      <c r="L70" s="185"/>
      <c r="M70" s="185"/>
      <c r="N70" s="185"/>
      <c r="O70" s="185"/>
      <c r="P70" s="185"/>
      <c r="Q70" s="185"/>
      <c r="R70" s="185"/>
      <c r="S70" s="185"/>
      <c r="T70" s="185"/>
      <c r="U70" s="185"/>
      <c r="V70" s="185"/>
      <c r="W70" s="185"/>
      <c r="X70" s="185"/>
      <c r="Y70" s="185"/>
      <c r="Z70" s="185"/>
      <c r="AA70" s="185"/>
      <c r="AB70" s="185"/>
      <c r="AC70" s="185"/>
      <c r="AD70" s="185"/>
      <c r="AE70" s="185"/>
      <c r="AF70" s="185"/>
      <c r="AG70" s="185"/>
      <c r="AH70" s="185"/>
      <c r="AI70" s="185"/>
    </row>
    <row r="71" spans="1:35" x14ac:dyDescent="0.15">
      <c r="A71" t="s">
        <v>273</v>
      </c>
      <c r="B71" t="s">
        <v>456</v>
      </c>
      <c r="C71" t="e">
        <f>INDEX(Lists!$E$2:$E$50,MATCH(Automakers!$D$73,Lists!$B$2:$B$50,0))</f>
        <v>#N/A</v>
      </c>
      <c r="D71" s="185"/>
      <c r="E71" s="185"/>
      <c r="F71" s="185"/>
      <c r="G71" s="185" t="e">
        <f>IF(G31=Automakers!$D$74,Automakers!$D$153,IF(AND(G31&gt;Automakers!$D$74,G31&lt;2050),$D70*G69,NA()))</f>
        <v>#N/A</v>
      </c>
      <c r="H71" s="185" t="e">
        <f>IF(H31=Automakers!$D$74,Automakers!$D$153,IF(AND(H31&gt;Automakers!$D$74,H31&lt;2050),$D70*H69,NA()))</f>
        <v>#N/A</v>
      </c>
      <c r="I71" s="185" t="e">
        <f>IF(I31=Automakers!$D$74,Automakers!$D$153,IF(AND(I31&gt;Automakers!$D$74,I31&lt;2050),$D70*I69,NA()))</f>
        <v>#N/A</v>
      </c>
      <c r="J71" s="185" t="e">
        <f>IF(J31=Automakers!$D$74,Automakers!$D$153,IF(AND(J31&gt;Automakers!$D$74,J31&lt;2050),$D70*J69,NA()))</f>
        <v>#N/A</v>
      </c>
      <c r="K71" s="185" t="e">
        <f>IF(K31=Automakers!$D$74,Automakers!$D$153,IF(AND(K31&gt;Automakers!$D$74,K31&lt;2050),$D70*K69,NA()))</f>
        <v>#N/A</v>
      </c>
      <c r="L71" s="185" t="e">
        <f>IF(L31=Automakers!$D$74,Automakers!$D$153,IF(AND(L31&gt;Automakers!$D$74,L31&lt;2050),$D70*L69,NA()))</f>
        <v>#N/A</v>
      </c>
      <c r="M71" s="185" t="e">
        <f>IF(M31=Automakers!$D$74,Automakers!$D$153,IF(AND(M31&gt;Automakers!$D$74,M31&lt;2050),$D70*M69,NA()))</f>
        <v>#N/A</v>
      </c>
      <c r="N71" s="185" t="e">
        <f>IF(N31=Automakers!$D$74,Automakers!$D$153,IF(AND(N31&gt;Automakers!$D$74,N31&lt;2050),$D70*N69,NA()))</f>
        <v>#N/A</v>
      </c>
      <c r="O71" s="185" t="e">
        <f>IF(O31=Automakers!$D$74,Automakers!$D$153,IF(AND(O31&gt;Automakers!$D$74,O31&lt;2050),$D70*O69,NA()))</f>
        <v>#N/A</v>
      </c>
      <c r="P71" s="185" t="e">
        <f>IF(P31=Automakers!$D$74,Automakers!$D$153,IF(AND(P31&gt;Automakers!$D$74,P31&lt;2050),$D70*P69,NA()))</f>
        <v>#N/A</v>
      </c>
      <c r="Q71" s="185" t="e">
        <f>IF(Q31=Automakers!$D$74,Automakers!$D$153,IF(AND(Q31&gt;Automakers!$D$74,Q31&lt;2050),$D70*Q69,NA()))</f>
        <v>#N/A</v>
      </c>
      <c r="R71" s="185" t="e">
        <f>IF(R31=Automakers!$D$74,Automakers!$D$153,IF(AND(R31&gt;Automakers!$D$74,R31&lt;2050),$D70*R69,NA()))</f>
        <v>#N/A</v>
      </c>
      <c r="S71" s="185" t="e">
        <f>IF(S31=Automakers!$D$74,Automakers!$D$153,IF(AND(S31&gt;Automakers!$D$74,S31&lt;2050),$D70*S69,NA()))</f>
        <v>#N/A</v>
      </c>
      <c r="T71" s="185" t="e">
        <f>IF(T31=Automakers!$D$74,Automakers!$D$153,IF(AND(T31&gt;Automakers!$D$74,T31&lt;2050),$D70*T69,NA()))</f>
        <v>#N/A</v>
      </c>
      <c r="U71" s="185" t="e">
        <f>IF(U31=Automakers!$D$74,Automakers!$D$153,IF(AND(U31&gt;Automakers!$D$74,U31&lt;2050),$D70*U69,NA()))</f>
        <v>#N/A</v>
      </c>
      <c r="V71" s="185" t="e">
        <f>IF(V31=Automakers!$D$74,Automakers!$D$153,IF(AND(V31&gt;Automakers!$D$74,V31&lt;2050),$D70*V69,NA()))</f>
        <v>#N/A</v>
      </c>
      <c r="W71" s="185" t="e">
        <f>IF(W31=Automakers!$D$74,Automakers!$D$153,IF(AND(W31&gt;Automakers!$D$74,W31&lt;2050),$D70*W69,NA()))</f>
        <v>#N/A</v>
      </c>
      <c r="X71" s="185" t="e">
        <f>IF(X31=Automakers!$D$74,Automakers!$D$153,IF(AND(X31&gt;Automakers!$D$74,X31&lt;2050),$D70*X69,NA()))</f>
        <v>#N/A</v>
      </c>
      <c r="Y71" s="185" t="e">
        <f>IF(Y31=Automakers!$D$74,Automakers!$D$153,IF(AND(Y31&gt;Automakers!$D$74,Y31&lt;2050),$D70*Y69,NA()))</f>
        <v>#N/A</v>
      </c>
      <c r="Z71" s="185" t="e">
        <f>IF(Z31=Automakers!$D$74,Automakers!$D$153,IF(AND(Z31&gt;Automakers!$D$74,Z31&lt;2050),$D70*Z69,NA()))</f>
        <v>#N/A</v>
      </c>
      <c r="AA71" s="185" t="e">
        <f>IF(AA31=Automakers!$D$74,Automakers!$D$153,IF(AND(AA31&gt;Automakers!$D$74,AA31&lt;2050),$D70*AA69,NA()))</f>
        <v>#N/A</v>
      </c>
      <c r="AB71" s="185" t="e">
        <f>IF(AB31=Automakers!$D$74,Automakers!$D$153,IF(AND(AB31&gt;Automakers!$D$74,AB31&lt;2050),$D70*AB69,NA()))</f>
        <v>#N/A</v>
      </c>
      <c r="AC71" s="185" t="e">
        <f>IF(AC31=Automakers!$D$74,Automakers!$D$153,IF(AND(AC31&gt;Automakers!$D$74,AC31&lt;2050),$D70*AC69,NA()))</f>
        <v>#N/A</v>
      </c>
      <c r="AD71" s="185" t="e">
        <f>IF(AD31=Automakers!$D$74,Automakers!$D$153,IF(AND(AD31&gt;Automakers!$D$74,AD31&lt;2050),$D70*AD69,NA()))</f>
        <v>#N/A</v>
      </c>
      <c r="AE71" s="185" t="e">
        <f>IF(AE31=Automakers!$D$74,Automakers!$D$153,IF(AND(AE31&gt;Automakers!$D$74,AE31&lt;2050),$D70*AE69,NA()))</f>
        <v>#N/A</v>
      </c>
      <c r="AF71" s="185" t="e">
        <f>IF(AF31=Automakers!$D$74,Automakers!$D$153,IF(AND(AF31&gt;Automakers!$D$74,AF31&lt;2050),$D70*AF69,NA()))</f>
        <v>#N/A</v>
      </c>
      <c r="AG71" s="185" t="e">
        <f>IF(AG31=Automakers!$D$74,Automakers!$D$153,IF(AND(AG31&gt;Automakers!$D$74,AG31&lt;2050),$D70*AG69,NA()))</f>
        <v>#N/A</v>
      </c>
      <c r="AH71" s="185" t="e">
        <f>IF(AH31=Automakers!$D$74,Automakers!$D$153,IF(AND(AH31&gt;Automakers!$D$74,AH31&lt;2050),$D70*AH69,NA()))</f>
        <v>#N/A</v>
      </c>
      <c r="AI71" s="185" t="e">
        <f>IF(AI31=Automakers!$D$74,Automakers!$D$153,IF(AND(AI31&gt;Automakers!$D$74,AI31&lt;2050),$D70*AI69,NA()))</f>
        <v>#N/A</v>
      </c>
    </row>
    <row r="72" spans="1:35" x14ac:dyDescent="0.15">
      <c r="B72" t="s">
        <v>458</v>
      </c>
      <c r="C72" t="e">
        <f>INDEX(Lists!$E$2:$E$50,MATCH(Automakers!$D$73,Lists!$B$2:$B$50,0))</f>
        <v>#N/A</v>
      </c>
      <c r="D72" s="187" t="e">
        <f>HLOOKUP(Automakers!D152,G1:AI72,ROW(A71))</f>
        <v>#N/A</v>
      </c>
      <c r="E72" s="185"/>
      <c r="F72" s="185"/>
      <c r="G72" s="185"/>
      <c r="H72" s="185"/>
      <c r="I72" s="185"/>
      <c r="J72" s="185"/>
      <c r="K72" s="185"/>
      <c r="L72" s="185"/>
      <c r="M72" s="185"/>
      <c r="N72" s="185"/>
      <c r="O72" s="185"/>
      <c r="P72" s="185"/>
      <c r="Q72" s="185"/>
      <c r="R72" s="185"/>
      <c r="S72" s="185"/>
      <c r="T72" s="185"/>
      <c r="U72" s="185"/>
      <c r="V72" s="185"/>
      <c r="W72" s="185"/>
      <c r="X72" s="185"/>
      <c r="Y72" s="185"/>
      <c r="Z72" s="185"/>
      <c r="AA72" s="185"/>
      <c r="AB72" s="185"/>
      <c r="AC72" s="185"/>
      <c r="AD72" s="185"/>
      <c r="AE72" s="185"/>
      <c r="AF72" s="185"/>
      <c r="AG72" s="185"/>
      <c r="AH72" s="185"/>
      <c r="AI72" s="185"/>
    </row>
    <row r="74" spans="1:35" s="178" customFormat="1" ht="23" x14ac:dyDescent="0.25">
      <c r="A74" s="177" t="s">
        <v>358</v>
      </c>
      <c r="E74" s="179"/>
      <c r="F74" s="179"/>
      <c r="G74" s="179"/>
      <c r="H74" s="179"/>
      <c r="I74" s="179"/>
      <c r="J74" s="179"/>
      <c r="K74" s="179"/>
      <c r="L74" s="179"/>
      <c r="M74" s="179"/>
      <c r="N74" s="179"/>
      <c r="O74" s="179"/>
      <c r="P74" s="179"/>
      <c r="Q74" s="179"/>
      <c r="R74" s="179"/>
      <c r="S74" s="179"/>
      <c r="T74" s="179"/>
      <c r="U74" s="179"/>
      <c r="V74" s="179"/>
      <c r="W74" s="179"/>
      <c r="X74" s="179"/>
      <c r="Y74" s="179"/>
      <c r="Z74" s="179"/>
      <c r="AA74" s="179"/>
      <c r="AB74" s="179"/>
      <c r="AC74" s="179"/>
      <c r="AD74" s="179"/>
      <c r="AE74" s="179"/>
      <c r="AF74" s="179"/>
      <c r="AG74" s="179"/>
      <c r="AH74" s="179"/>
      <c r="AI74" s="179"/>
    </row>
    <row r="75" spans="1:35" x14ac:dyDescent="0.15">
      <c r="A75" s="1" t="str">
        <f>"Sector: "&amp;Autoparts!D25&amp;""</f>
        <v xml:space="preserve">Sector: </v>
      </c>
    </row>
    <row r="76" spans="1:35" x14ac:dyDescent="0.15">
      <c r="A76" s="1" t="str">
        <f>"Region: "&amp;Autoparts!D24&amp;""</f>
        <v xml:space="preserve">Region: </v>
      </c>
    </row>
    <row r="77" spans="1:35" x14ac:dyDescent="0.15">
      <c r="B77" t="s">
        <v>30</v>
      </c>
      <c r="D77" s="1"/>
      <c r="E77" s="1"/>
      <c r="F77" s="1"/>
      <c r="G77" s="1">
        <f>IF(AND(G$1&gt;=Autoparts!$D$26,G$1&lt;=2050),IF(G$1=Autoparts!$D$26,Autoparts!$D$26,G$1),NA())</f>
        <v>2022</v>
      </c>
      <c r="H77" s="1">
        <f>IF(AND(H$1&gt;=Autoparts!$D$26,H$1&lt;=2050),IF(H$1=Autoparts!$D$26,Autoparts!$D$26,H$1),NA())</f>
        <v>2023</v>
      </c>
      <c r="I77" s="1">
        <f>IF(AND(I$1&gt;=Autoparts!$D$26,I$1&lt;=2050),IF(I$1=Autoparts!$D$26,Autoparts!$D$26,I$1),NA())</f>
        <v>2024</v>
      </c>
      <c r="J77" s="1">
        <f>IF(AND(J$1&gt;=Autoparts!$D$26,J$1&lt;=2050),IF(J$1=Autoparts!$D$26,Autoparts!$D$26,J$1),NA())</f>
        <v>2025</v>
      </c>
      <c r="K77" s="1">
        <f>IF(AND(K$1&gt;=Autoparts!$D$26,K$1&lt;=2050),IF(K$1=Autoparts!$D$26,Autoparts!$D$26,K$1),NA())</f>
        <v>2026</v>
      </c>
      <c r="L77" s="1">
        <f>IF(AND(L$1&gt;=Autoparts!$D$26,L$1&lt;=2050),IF(L$1=Autoparts!$D$26,Autoparts!$D$26,L$1),NA())</f>
        <v>2027</v>
      </c>
      <c r="M77" s="1">
        <f>IF(AND(M$1&gt;=Autoparts!$D$26,M$1&lt;=2050),IF(M$1=Autoparts!$D$26,Autoparts!$D$26,M$1),NA())</f>
        <v>2028</v>
      </c>
      <c r="N77" s="1">
        <f>IF(AND(N$1&gt;=Autoparts!$D$26,N$1&lt;=2050),IF(N$1=Autoparts!$D$26,Autoparts!$D$26,N$1),NA())</f>
        <v>2029</v>
      </c>
      <c r="O77" s="1">
        <f>IF(AND(O$1&gt;=Autoparts!$D$26,O$1&lt;=2050),IF(O$1=Autoparts!$D$26,Autoparts!$D$26,O$1),NA())</f>
        <v>2030</v>
      </c>
      <c r="P77" s="1">
        <f>IF(AND(P$1&gt;=Autoparts!$D$26,P$1&lt;=2050),IF(P$1=Autoparts!$D$26,Autoparts!$D$26,P$1),NA())</f>
        <v>2031</v>
      </c>
      <c r="Q77" s="1">
        <f>IF(AND(Q$1&gt;=Autoparts!$D$26,Q$1&lt;=2050),IF(Q$1=Autoparts!$D$26,Autoparts!$D$26,Q$1),NA())</f>
        <v>2032</v>
      </c>
      <c r="R77" s="1">
        <f>IF(AND(R$1&gt;=Autoparts!$D$26,R$1&lt;=2050),IF(R$1=Autoparts!$D$26,Autoparts!$D$26,R$1),NA())</f>
        <v>2033</v>
      </c>
      <c r="S77" s="1">
        <f>IF(AND(S$1&gt;=Autoparts!$D$26,S$1&lt;=2050),IF(S$1=Autoparts!$D$26,Autoparts!$D$26,S$1),NA())</f>
        <v>2034</v>
      </c>
      <c r="T77" s="1">
        <f>IF(AND(T$1&gt;=Autoparts!$D$26,T$1&lt;=2050),IF(T$1=Autoparts!$D$26,Autoparts!$D$26,T$1),NA())</f>
        <v>2035</v>
      </c>
      <c r="U77" s="1">
        <f>IF(AND(U$1&gt;=Autoparts!$D$26,U$1&lt;=2050),IF(U$1=Autoparts!$D$26,Autoparts!$D$26,U$1),NA())</f>
        <v>2036</v>
      </c>
      <c r="V77" s="1">
        <f>IF(AND(V$1&gt;=Autoparts!$D$26,V$1&lt;=2050),IF(V$1=Autoparts!$D$26,Autoparts!$D$26,V$1),NA())</f>
        <v>2037</v>
      </c>
      <c r="W77" s="1">
        <f>IF(AND(W$1&gt;=Autoparts!$D$26,W$1&lt;=2050),IF(W$1=Autoparts!$D$26,Autoparts!$D$26,W$1),NA())</f>
        <v>2038</v>
      </c>
      <c r="X77" s="1">
        <f>IF(AND(X$1&gt;=Autoparts!$D$26,X$1&lt;=2050),IF(X$1=Autoparts!$D$26,Autoparts!$D$26,X$1),NA())</f>
        <v>2039</v>
      </c>
      <c r="Y77" s="1">
        <f>IF(AND(Y$1&gt;=Autoparts!$D$26,Y$1&lt;=2050),IF(Y$1=Autoparts!$D$26,Autoparts!$D$26,Y$1),NA())</f>
        <v>2040</v>
      </c>
      <c r="Z77" s="1">
        <f>IF(AND(Z$1&gt;=Autoparts!$D$26,Z$1&lt;=2050),IF(Z$1=Autoparts!$D$26,Autoparts!$D$26,Z$1),NA())</f>
        <v>2041</v>
      </c>
      <c r="AA77" s="1">
        <f>IF(AND(AA$1&gt;=Autoparts!$D$26,AA$1&lt;=2050),IF(AA$1=Autoparts!$D$26,Autoparts!$D$26,AA$1),NA())</f>
        <v>2042</v>
      </c>
      <c r="AB77" s="1">
        <f>IF(AND(AB$1&gt;=Autoparts!$D$26,AB$1&lt;=2050),IF(AB$1=Autoparts!$D$26,Autoparts!$D$26,AB$1),NA())</f>
        <v>2043</v>
      </c>
      <c r="AC77" s="1">
        <f>IF(AND(AC$1&gt;=Autoparts!$D$26,AC$1&lt;=2050),IF(AC$1=Autoparts!$D$26,Autoparts!$D$26,AC$1),NA())</f>
        <v>2044</v>
      </c>
      <c r="AD77" s="1">
        <f>IF(AND(AD$1&gt;=Autoparts!$D$26,AD$1&lt;=2050),IF(AD$1=Autoparts!$D$26,Autoparts!$D$26,AD$1),NA())</f>
        <v>2045</v>
      </c>
      <c r="AE77" s="1">
        <f>IF(AND(AE$1&gt;=Autoparts!$D$26,AE$1&lt;=2050),IF(AE$1=Autoparts!$D$26,Autoparts!$D$26,AE$1),NA())</f>
        <v>2046</v>
      </c>
      <c r="AF77" s="1">
        <f>IF(AND(AF$1&gt;=Autoparts!$D$26,AF$1&lt;=2050),IF(AF$1=Autoparts!$D$26,Autoparts!$D$26,AF$1),NA())</f>
        <v>2047</v>
      </c>
      <c r="AG77" s="1">
        <f>IF(AND(AG$1&gt;=Autoparts!$D$26,AG$1&lt;=2050),IF(AG$1=Autoparts!$D$26,Autoparts!$D$26,AG$1),NA())</f>
        <v>2048</v>
      </c>
      <c r="AH77" s="1">
        <f>IF(AND(AH$1&gt;=Autoparts!$D$26,AH$1&lt;=2050),IF(AH$1=Autoparts!$D$26,Autoparts!$D$26,AH$1),NA())</f>
        <v>2049</v>
      </c>
      <c r="AI77" s="1">
        <f>IF(AND(AI$1&gt;=Autoparts!$D$26,AI$1&lt;=2050),IF(AI$1=Autoparts!$D$26,Autoparts!$D$26,AI$1),NA())</f>
        <v>2050</v>
      </c>
    </row>
    <row r="79" spans="1:35" x14ac:dyDescent="0.15">
      <c r="A79" s="1" t="s">
        <v>459</v>
      </c>
      <c r="D79" s="185"/>
      <c r="E79" s="185"/>
    </row>
    <row r="80" spans="1:35" x14ac:dyDescent="0.15">
      <c r="A80" t="s">
        <v>363</v>
      </c>
      <c r="B80" t="s">
        <v>460</v>
      </c>
      <c r="C80" t="s">
        <v>264</v>
      </c>
      <c r="D80" s="186" t="s">
        <v>306</v>
      </c>
      <c r="E80" s="185"/>
      <c r="F80" s="185"/>
      <c r="G80" s="2" t="e">
        <f t="array" ref="G80">INDEX(Database!T$2:AX$98,MATCH($A$80&amp;Autoparts!$D$24&amp;Autoparts!$D$25,Database!$A2:$A121&amp;Database!$C2:$C121&amp;Database!$G2:$G121,0),1)</f>
        <v>#N/A</v>
      </c>
      <c r="H80" s="2" t="e">
        <f t="array" ref="H80">INDEX(Database!U$2:AY$98,MATCH($A$80&amp;Autoparts!$D$24&amp;Autoparts!$D$25,Database!$A2:$A121&amp;Database!$C2:$C121&amp;Database!$G2:$G121,0),1)</f>
        <v>#N/A</v>
      </c>
      <c r="I80" s="2" t="e">
        <f t="array" ref="I80">INDEX(Database!V$2:AZ$98,MATCH($A$80&amp;Autoparts!$D$24&amp;Autoparts!$D$25,Database!$A2:$A121&amp;Database!$C2:$C121&amp;Database!$G2:$G121,0),1)</f>
        <v>#N/A</v>
      </c>
      <c r="J80" s="2" t="e">
        <f t="array" ref="J80">INDEX(Database!W$2:BA$98,MATCH($A$80&amp;Autoparts!$D$24&amp;Autoparts!$D$25,Database!$A2:$A121&amp;Database!$C2:$C121&amp;Database!$G2:$G121,0),1)</f>
        <v>#N/A</v>
      </c>
      <c r="K80" s="2" t="e">
        <f t="array" ref="K80">INDEX(Database!X$2:BB$98,MATCH($A$80&amp;Autoparts!$D$24&amp;Autoparts!$D$25,Database!$A2:$A121&amp;Database!$C2:$C121&amp;Database!$G2:$G121,0),1)</f>
        <v>#N/A</v>
      </c>
      <c r="L80" s="2" t="e">
        <f t="array" ref="L80">INDEX(Database!Y$2:BC$98,MATCH($A$80&amp;Autoparts!$D$24&amp;Autoparts!$D$25,Database!$A2:$A121&amp;Database!$C2:$C121&amp;Database!$G2:$G121,0),1)</f>
        <v>#N/A</v>
      </c>
      <c r="M80" s="2" t="e">
        <f t="array" ref="M80">INDEX(Database!Z$2:BD$98,MATCH($A$80&amp;Autoparts!$D$24&amp;Autoparts!$D$25,Database!$A2:$A121&amp;Database!$C2:$C121&amp;Database!$G2:$G121,0),1)</f>
        <v>#N/A</v>
      </c>
      <c r="N80" s="2" t="e">
        <f t="array" ref="N80">INDEX(Database!AA$2:BE$98,MATCH($A$80&amp;Autoparts!$D$24&amp;Autoparts!$D$25,Database!$A2:$A121&amp;Database!$C2:$C121&amp;Database!$G2:$G121,0),1)</f>
        <v>#N/A</v>
      </c>
      <c r="O80" s="2" t="e">
        <f t="array" ref="O80">INDEX(Database!AB$2:BF$98,MATCH($A$80&amp;Autoparts!$D$24&amp;Autoparts!$D$25,Database!$A2:$A121&amp;Database!$C2:$C121&amp;Database!$G2:$G121,0),1)</f>
        <v>#N/A</v>
      </c>
      <c r="P80" s="2" t="e">
        <f t="array" ref="P80">INDEX(Database!AC$2:BG$98,MATCH($A$80&amp;Autoparts!$D$24&amp;Autoparts!$D$25,Database!$A2:$A121&amp;Database!$C2:$C121&amp;Database!$G2:$G121,0),1)</f>
        <v>#N/A</v>
      </c>
      <c r="Q80" s="2" t="e">
        <f t="array" ref="Q80">INDEX(Database!AD$2:BH$98,MATCH($A$80&amp;Autoparts!$D$24&amp;Autoparts!$D$25,Database!$A2:$A121&amp;Database!$C2:$C121&amp;Database!$G2:$G121,0),1)</f>
        <v>#N/A</v>
      </c>
      <c r="R80" s="2" t="e">
        <f t="array" ref="R80">INDEX(Database!AE$2:BI$98,MATCH($A$80&amp;Autoparts!$D$24&amp;Autoparts!$D$25,Database!$A2:$A121&amp;Database!$C2:$C121&amp;Database!$G2:$G121,0),1)</f>
        <v>#N/A</v>
      </c>
      <c r="S80" s="2" t="e">
        <f t="array" ref="S80">INDEX(Database!AF$2:BJ$98,MATCH($A$80&amp;Autoparts!$D$24&amp;Autoparts!$D$25,Database!$A2:$A121&amp;Database!$C2:$C121&amp;Database!$G2:$G121,0),1)</f>
        <v>#N/A</v>
      </c>
      <c r="T80" s="2" t="e">
        <f t="array" ref="T80">INDEX(Database!AG$2:BK$98,MATCH($A$80&amp;Autoparts!$D$24&amp;Autoparts!$D$25,Database!$A2:$A121&amp;Database!$C2:$C121&amp;Database!$G2:$G121,0),1)</f>
        <v>#N/A</v>
      </c>
      <c r="U80" s="2" t="e">
        <f t="array" ref="U80">INDEX(Database!AH$2:BL$98,MATCH($A$80&amp;Autoparts!$D$24&amp;Autoparts!$D$25,Database!$A2:$A121&amp;Database!$C2:$C121&amp;Database!$G2:$G121,0),1)</f>
        <v>#N/A</v>
      </c>
      <c r="V80" s="2" t="e">
        <f t="array" ref="V80">INDEX(Database!AI$2:BM$98,MATCH($A$80&amp;Autoparts!$D$24&amp;Autoparts!$D$25,Database!$A2:$A121&amp;Database!$C2:$C121&amp;Database!$G2:$G121,0),1)</f>
        <v>#N/A</v>
      </c>
      <c r="W80" s="2" t="e">
        <f t="array" ref="W80">INDEX(Database!AJ$2:BN$98,MATCH($A$80&amp;Autoparts!$D$24&amp;Autoparts!$D$25,Database!$A2:$A121&amp;Database!$C2:$C121&amp;Database!$G2:$G121,0),1)</f>
        <v>#N/A</v>
      </c>
      <c r="X80" s="2" t="e">
        <f t="array" ref="X80">INDEX(Database!AK$2:BO$98,MATCH($A$80&amp;Autoparts!$D$24&amp;Autoparts!$D$25,Database!$A2:$A121&amp;Database!$C2:$C121&amp;Database!$G2:$G121,0),1)</f>
        <v>#N/A</v>
      </c>
      <c r="Y80" s="2" t="e">
        <f t="array" ref="Y80">INDEX(Database!AL$2:BP$98,MATCH($A$80&amp;Autoparts!$D$24&amp;Autoparts!$D$25,Database!$A2:$A121&amp;Database!$C2:$C121&amp;Database!$G2:$G121,0),1)</f>
        <v>#N/A</v>
      </c>
      <c r="Z80" s="2" t="e">
        <f t="array" ref="Z80">INDEX(Database!AM$2:BQ$98,MATCH($A$80&amp;Autoparts!$D$24&amp;Autoparts!$D$25,Database!$A2:$A121&amp;Database!$C2:$C121&amp;Database!$G2:$G121,0),1)</f>
        <v>#N/A</v>
      </c>
      <c r="AA80" s="2" t="e">
        <f t="array" ref="AA80">INDEX(Database!AN$2:BR$98,MATCH($A$80&amp;Autoparts!$D$24&amp;Autoparts!$D$25,Database!$A2:$A121&amp;Database!$C2:$C121&amp;Database!$G2:$G121,0),1)</f>
        <v>#N/A</v>
      </c>
      <c r="AB80" s="2" t="e">
        <f t="array" ref="AB80">INDEX(Database!AO$2:BS$98,MATCH($A$80&amp;Autoparts!$D$24&amp;Autoparts!$D$25,Database!$A2:$A121&amp;Database!$C2:$C121&amp;Database!$G2:$G121,0),1)</f>
        <v>#N/A</v>
      </c>
      <c r="AC80" s="2" t="e">
        <f t="array" ref="AC80">INDEX(Database!AP$2:BT$98,MATCH($A$80&amp;Autoparts!$D$24&amp;Autoparts!$D$25,Database!$A2:$A121&amp;Database!$C2:$C121&amp;Database!$G2:$G121,0),1)</f>
        <v>#N/A</v>
      </c>
      <c r="AD80" s="2" t="e">
        <f t="array" ref="AD80">INDEX(Database!AQ$2:BU$98,MATCH($A$80&amp;Autoparts!$D$24&amp;Autoparts!$D$25,Database!$A2:$A121&amp;Database!$C2:$C121&amp;Database!$G2:$G121,0),1)</f>
        <v>#N/A</v>
      </c>
      <c r="AE80" s="2" t="e">
        <f t="array" ref="AE80">INDEX(Database!AR$2:BV$98,MATCH($A$80&amp;Autoparts!$D$24&amp;Autoparts!$D$25,Database!$A2:$A121&amp;Database!$C2:$C121&amp;Database!$G2:$G121,0),1)</f>
        <v>#N/A</v>
      </c>
      <c r="AF80" s="2" t="e">
        <f t="array" ref="AF80">INDEX(Database!AS$2:BW$98,MATCH($A$80&amp;Autoparts!$D$24&amp;Autoparts!$D$25,Database!$A2:$A121&amp;Database!$C2:$C121&amp;Database!$G2:$G121,0),1)</f>
        <v>#N/A</v>
      </c>
      <c r="AG80" s="2" t="e">
        <f t="array" ref="AG80">INDEX(Database!AT$2:BX$98,MATCH($A$80&amp;Autoparts!$D$24&amp;Autoparts!$D$25,Database!$A2:$A121&amp;Database!$C2:$C121&amp;Database!$G2:$G121,0),1)</f>
        <v>#N/A</v>
      </c>
      <c r="AH80" s="2" t="e">
        <f t="array" ref="AH80">INDEX(Database!AU$2:BY$98,MATCH($A$80&amp;Autoparts!$D$24&amp;Autoparts!$D$25,Database!$A2:$A121&amp;Database!$C2:$C121&amp;Database!$G2:$G121,0),1)</f>
        <v>#N/A</v>
      </c>
      <c r="AI80" s="2" t="e">
        <f t="array" ref="AI80">INDEX(Database!AV$2:BZ$98,MATCH($A$80&amp;Autoparts!$D$24&amp;Autoparts!$D$25,Database!$A2:$A121&amp;Database!$C2:$C121&amp;Database!$G2:$G121,0),1)</f>
        <v>#N/A</v>
      </c>
    </row>
    <row r="81" spans="1:35" x14ac:dyDescent="0.15">
      <c r="A81" t="s">
        <v>278</v>
      </c>
      <c r="B81" t="s">
        <v>279</v>
      </c>
      <c r="C81" t="s">
        <v>264</v>
      </c>
      <c r="D81" s="187" t="e">
        <f>HLOOKUP(Autoparts!$D$26,G1:AI83,ROW(A80))</f>
        <v>#N/A</v>
      </c>
      <c r="E81" s="185"/>
    </row>
    <row r="82" spans="1:35" x14ac:dyDescent="0.15">
      <c r="A82" s="97" t="s">
        <v>272</v>
      </c>
      <c r="B82" t="str">
        <f>IF(ISTEXT(Autoparts!D25)=TRUE,Autoparts!D25&amp;" | Aggregated auto parts manufacture emission intensity, in base year","select a vehicle category")</f>
        <v>select a vehicle category</v>
      </c>
      <c r="C82" t="e">
        <f>INDEX(Lists!$E$2:$E$50,MATCH(Automakers!$D$73,Lists!$B$2:$B$50,0))</f>
        <v>#N/A</v>
      </c>
      <c r="D82" s="187" t="e">
        <f>IF(Autoparts!D28&gt;0,Autoparts!D28,NA())</f>
        <v>#N/A</v>
      </c>
      <c r="E82" s="185"/>
    </row>
    <row r="83" spans="1:35" x14ac:dyDescent="0.15">
      <c r="A83" t="s">
        <v>273</v>
      </c>
      <c r="B83" t="str">
        <f>IF(ISTEXT(Autoparts!D25)=TRUE,Autoparts!D25&amp;" | Aggregated auto parts manufacture emission intensity, in base year","select a vehicle category")</f>
        <v>select a vehicle category</v>
      </c>
      <c r="C83" t="e">
        <f>INDEX(Lists!$E$2:$E$50,MATCH(Automakers!$D$73,Lists!$B$2:$B$50,0))</f>
        <v>#N/A</v>
      </c>
      <c r="D83" s="185"/>
      <c r="G83" s="2" t="e">
        <f>IF(G77=Autoparts!$D$26,Autoparts!$D$28,IF(AND(G77&gt;Autoparts!$D$26,G77&lt;2035),($D$82-$T$80)*((G80-$T$80)/($D$81-$T$80))+$T$80,G80))</f>
        <v>#N/A</v>
      </c>
      <c r="H83" s="2" t="e">
        <f>IF(H77=Autoparts!$D$26,Autoparts!$D$28,IF(AND(H77&gt;Autoparts!$D$26,H77&lt;2035),($D$82-$T$80)*((H80-$T$80)/($D$81-$T$80))+$T$80,H80))</f>
        <v>#N/A</v>
      </c>
      <c r="I83" s="2" t="e">
        <f>IF(I77=Autoparts!$D$26,Autoparts!$D$28,IF(AND(I77&gt;Autoparts!$D$26,I77&lt;2035),($D$82-$T$80)*((I80-$T$80)/($D$81-$T$80))+$T$80,I80))</f>
        <v>#N/A</v>
      </c>
      <c r="J83" s="2" t="e">
        <f>IF(J77=Autoparts!$D$26,Autoparts!$D$28,IF(AND(J77&gt;Autoparts!$D$26,J77&lt;2035),($D$82-$T$80)*((J80-$T$80)/($D$81-$T$80))+$T$80,J80))</f>
        <v>#N/A</v>
      </c>
      <c r="K83" s="2" t="e">
        <f>IF(K77=Autoparts!$D$26,Autoparts!$D$28,IF(AND(K77&gt;Autoparts!$D$26,K77&lt;2035),($D$82-$T$80)*((K80-$T$80)/($D$81-$T$80))+$T$80,K80))</f>
        <v>#N/A</v>
      </c>
      <c r="L83" s="2" t="e">
        <f>IF(L77=Autoparts!$D$26,Autoparts!$D$28,IF(AND(L77&gt;Autoparts!$D$26,L77&lt;2035),($D$82-$T$80)*((L80-$T$80)/($D$81-$T$80))+$T$80,L80))</f>
        <v>#N/A</v>
      </c>
      <c r="M83" s="2" t="e">
        <f>IF(M77=Autoparts!$D$26,Autoparts!$D$28,IF(AND(M77&gt;Autoparts!$D$26,M77&lt;2035),($D$82-$T$80)*((M80-$T$80)/($D$81-$T$80))+$T$80,M80))</f>
        <v>#N/A</v>
      </c>
      <c r="N83" s="2" t="e">
        <f>IF(N77=Autoparts!$D$26,Autoparts!$D$28,IF(AND(N77&gt;Autoparts!$D$26,N77&lt;2035),($D$82-$T$80)*((N80-$T$80)/($D$81-$T$80))+$T$80,N80))</f>
        <v>#N/A</v>
      </c>
      <c r="O83" s="2" t="e">
        <f>IF(O77=Autoparts!$D$26,Autoparts!$D$28,IF(AND(O77&gt;Autoparts!$D$26,O77&lt;2035),($D$82-$T$80)*((O80-$T$80)/($D$81-$T$80))+$T$80,O80))</f>
        <v>#N/A</v>
      </c>
      <c r="P83" s="2" t="e">
        <f>IF(P77=Autoparts!$D$26,Autoparts!$D$28,IF(AND(P77&gt;Autoparts!$D$26,P77&lt;2035),($D$82-$T$80)*((P80-$T$80)/($D$81-$T$80))+$T$80,P80))</f>
        <v>#N/A</v>
      </c>
      <c r="Q83" s="2" t="e">
        <f>IF(Q77=Autoparts!$D$26,Autoparts!$D$28,IF(AND(Q77&gt;Autoparts!$D$26,Q77&lt;2035),($D$82-$T$80)*((Q80-$T$80)/($D$81-$T$80))+$T$80,Q80))</f>
        <v>#N/A</v>
      </c>
      <c r="R83" s="2" t="e">
        <f>IF(R77=Autoparts!$D$26,Autoparts!$D$28,IF(AND(R77&gt;Autoparts!$D$26,R77&lt;2035),($D$82-$T$80)*((R80-$T$80)/($D$81-$T$80))+$T$80,R80))</f>
        <v>#N/A</v>
      </c>
      <c r="S83" s="2" t="e">
        <f>IF(S77=Autoparts!$D$26,Autoparts!$D$28,IF(AND(S77&gt;Autoparts!$D$26,S77&lt;2035),($D$82-$T$80)*((S80-$T$80)/($D$81-$T$80))+$T$80,S80))</f>
        <v>#N/A</v>
      </c>
      <c r="T83" s="2" t="e">
        <f>IF(T77=Autoparts!$D$26,Autoparts!$D$28,IF(AND(T77&gt;Autoparts!$D$26,T77&lt;2035),($D$82-$T$80)*((T80-$T$80)/($D$81-$T$80))+$T$80,T80))</f>
        <v>#N/A</v>
      </c>
      <c r="U83" s="2" t="e">
        <f>IF(U77=Autoparts!$D$26,Autoparts!$D$28,IF(AND(U77&gt;Autoparts!$D$26,U77&lt;2035),($D$82-$T$80)*((U80-$T$80)/($D$81-$T$80))+$T$80,U80))</f>
        <v>#N/A</v>
      </c>
      <c r="V83" s="2" t="e">
        <f>IF(V77=Autoparts!$D$26,Autoparts!$D$28,IF(AND(V77&gt;Autoparts!$D$26,V77&lt;2035),($D$82-$T$80)*((V80-$T$80)/($D$81-$T$80))+$T$80,V80))</f>
        <v>#N/A</v>
      </c>
      <c r="W83" s="2" t="e">
        <f>IF(W77=Autoparts!$D$26,Autoparts!$D$28,IF(AND(W77&gt;Autoparts!$D$26,W77&lt;2035),($D$82-$T$80)*((W80-$T$80)/($D$81-$T$80))+$T$80,W80))</f>
        <v>#N/A</v>
      </c>
      <c r="X83" s="2" t="e">
        <f>IF(X77=Autoparts!$D$26,Autoparts!$D$28,IF(AND(X77&gt;Autoparts!$D$26,X77&lt;2035),($D$82-$T$80)*((X80-$T$80)/($D$81-$T$80))+$T$80,X80))</f>
        <v>#N/A</v>
      </c>
      <c r="Y83" s="2" t="e">
        <f>IF(Y77=Autoparts!$D$26,Autoparts!$D$28,IF(AND(Y77&gt;Autoparts!$D$26,Y77&lt;2035),($D$82-$T$80)*((Y80-$T$80)/($D$81-$T$80))+$T$80,Y80))</f>
        <v>#N/A</v>
      </c>
      <c r="Z83" s="2" t="e">
        <f>IF(Z77=Autoparts!$D$26,Autoparts!$D$28,IF(AND(Z77&gt;Autoparts!$D$26,Z77&lt;2035),($D$82-$T$80)*((Z80-$T$80)/($D$81-$T$80))+$T$80,Z80))</f>
        <v>#N/A</v>
      </c>
      <c r="AA83" s="2" t="e">
        <f>IF(AA77=Autoparts!$D$26,Autoparts!$D$28,IF(AND(AA77&gt;Autoparts!$D$26,AA77&lt;2035),($D$82-$T$80)*((AA80-$T$80)/($D$81-$T$80))+$T$80,AA80))</f>
        <v>#N/A</v>
      </c>
      <c r="AB83" s="2" t="e">
        <f>IF(AB77=Autoparts!$D$26,Autoparts!$D$28,IF(AND(AB77&gt;Autoparts!$D$26,AB77&lt;2035),($D$82-$T$80)*((AB80-$T$80)/($D$81-$T$80))+$T$80,AB80))</f>
        <v>#N/A</v>
      </c>
      <c r="AC83" s="2" t="e">
        <f>IF(AC77=Autoparts!$D$26,Autoparts!$D$28,IF(AND(AC77&gt;Autoparts!$D$26,AC77&lt;2035),($D$82-$T$80)*((AC80-$T$80)/($D$81-$T$80))+$T$80,AC80))</f>
        <v>#N/A</v>
      </c>
      <c r="AD83" s="2" t="e">
        <f>IF(AD77=Autoparts!$D$26,Autoparts!$D$28,IF(AND(AD77&gt;Autoparts!$D$26,AD77&lt;2035),($D$82-$T$80)*((AD80-$T$80)/($D$81-$T$80))+$T$80,AD80))</f>
        <v>#N/A</v>
      </c>
      <c r="AE83" s="2" t="e">
        <f>IF(AE77=Autoparts!$D$26,Autoparts!$D$28,IF(AND(AE77&gt;Autoparts!$D$26,AE77&lt;2035),($D$82-$T$80)*((AE80-$T$80)/($D$81-$T$80))+$T$80,AE80))</f>
        <v>#N/A</v>
      </c>
      <c r="AF83" s="2" t="e">
        <f>IF(AF77=Autoparts!$D$26,Autoparts!$D$28,IF(AND(AF77&gt;Autoparts!$D$26,AF77&lt;2035),($D$82-$T$80)*((AF80-$T$80)/($D$81-$T$80))+$T$80,AF80))</f>
        <v>#N/A</v>
      </c>
      <c r="AG83" s="2" t="e">
        <f>IF(AG77=Autoparts!$D$26,Autoparts!$D$28,IF(AND(AG77&gt;Autoparts!$D$26,AG77&lt;2035),($D$82-$T$80)*((AG80-$T$80)/($D$81-$T$80))+$T$80,AG80))</f>
        <v>#N/A</v>
      </c>
      <c r="AH83" s="2" t="e">
        <f>IF(AH77=Autoparts!$D$26,Autoparts!$D$28,IF(AND(AH77&gt;Autoparts!$D$26,AH77&lt;2035),($D$82-$T$80)*((AH80-$T$80)/($D$81-$T$80))+$T$80,AH80))</f>
        <v>#N/A</v>
      </c>
      <c r="AI83" s="2" t="e">
        <f>IF(AI77=Autoparts!$D$26,Autoparts!$D$28,IF(AND(AI77&gt;Autoparts!$D$26,AI77&lt;2035),($D$82-$T$80)*((AI80-$T$80)/($D$81-$T$80))+$T$80,AI80))</f>
        <v>#N/A</v>
      </c>
    </row>
    <row r="84" spans="1:35" x14ac:dyDescent="0.15">
      <c r="B84" t="str">
        <f>IF(ISTEXT(Autoparts!D25)=TRUE,Autoparts!D25&amp;" | Aggregated auto parts manufacture emission intensity target","select a vehicle category")</f>
        <v>select a vehicle category</v>
      </c>
      <c r="C84" t="e">
        <f>INDEX(Lists!$E$2:$E$50,MATCH(Automakers!$D$73,Lists!$B$2:$B$50,0))</f>
        <v>#N/A</v>
      </c>
      <c r="D84" s="188" t="e">
        <f>HLOOKUP(Autoparts!$D$27,G1:AI83,ROW(A83))</f>
        <v>#N/A</v>
      </c>
      <c r="E84" s="185"/>
    </row>
    <row r="86" spans="1:35" x14ac:dyDescent="0.15">
      <c r="A86" s="1" t="s">
        <v>454</v>
      </c>
      <c r="D86" s="185"/>
      <c r="E86" s="185"/>
      <c r="F86" s="185"/>
      <c r="G86" s="185"/>
      <c r="H86" s="185"/>
      <c r="I86" s="185"/>
      <c r="J86" s="185"/>
      <c r="K86" s="185"/>
      <c r="L86" s="185"/>
      <c r="M86" s="185"/>
      <c r="N86" s="185"/>
      <c r="O86" s="185"/>
      <c r="P86" s="185"/>
      <c r="Q86" s="185"/>
      <c r="R86" s="185"/>
      <c r="S86" s="185"/>
      <c r="T86" s="185"/>
      <c r="U86" s="185"/>
      <c r="V86" s="185"/>
      <c r="W86" s="185"/>
      <c r="X86" s="185"/>
      <c r="Y86" s="185"/>
      <c r="Z86" s="185"/>
      <c r="AA86" s="185"/>
      <c r="AB86" s="185"/>
      <c r="AC86" s="185"/>
      <c r="AD86" s="185"/>
      <c r="AE86" s="185"/>
      <c r="AF86" s="185"/>
      <c r="AG86" s="185"/>
      <c r="AH86" s="185"/>
      <c r="AI86" s="185"/>
    </row>
    <row r="87" spans="1:35" x14ac:dyDescent="0.15">
      <c r="A87" t="s">
        <v>385</v>
      </c>
      <c r="B87" t="s">
        <v>389</v>
      </c>
      <c r="C87" t="s">
        <v>29</v>
      </c>
      <c r="D87" s="186" t="s">
        <v>306</v>
      </c>
      <c r="E87" s="185"/>
      <c r="F87" s="185"/>
      <c r="G87" s="185">
        <f t="array" ref="G87">INDEX(Database!T$2:AX$98,MATCH($A$87,Database!$A2:$A98,0),1)</f>
        <v>0</v>
      </c>
      <c r="H87" s="185">
        <f t="array" ref="H87">INDEX(Database!U$2:AY$98,MATCH($A$87,Database!$A2:$A98,0),1)</f>
        <v>1</v>
      </c>
      <c r="I87" s="185">
        <f t="array" ref="I87">INDEX(Database!V$2:AZ$98,MATCH($A$87,Database!$A2:$A98,0),1)</f>
        <v>0.96576747072674518</v>
      </c>
      <c r="J87" s="185">
        <f t="array" ref="J87">INDEX(Database!W$2:BA$98,MATCH($A$87,Database!$A2:$A98,0),1)</f>
        <v>0.93153494145349003</v>
      </c>
      <c r="K87" s="185">
        <f t="array" ref="K87">INDEX(Database!X$2:BB$98,MATCH($A$87,Database!$A2:$A98,0),1)</f>
        <v>0.89730241218023521</v>
      </c>
      <c r="L87" s="185">
        <f t="array" ref="L87">INDEX(Database!Y$2:BC$98,MATCH($A$87,Database!$A2:$A98,0),1)</f>
        <v>0.86306988290698017</v>
      </c>
      <c r="M87" s="185">
        <f t="array" ref="M87">INDEX(Database!Z$2:BD$98,MATCH($A$87,Database!$A2:$A98,0),1)</f>
        <v>0.82883735363372524</v>
      </c>
      <c r="N87" s="185">
        <f t="array" ref="N87">INDEX(Database!AA$2:BE$98,MATCH($A$87,Database!$A2:$A98,0),1)</f>
        <v>0.79460482436047042</v>
      </c>
      <c r="O87" s="185">
        <f t="array" ref="O87">INDEX(Database!AB$2:BF$98,MATCH($A$87,Database!$A2:$A98,0),1)</f>
        <v>0.76037229508721538</v>
      </c>
      <c r="P87" s="185">
        <f t="array" ref="P87">INDEX(Database!AC$2:BG$98,MATCH($A$87,Database!$A2:$A98,0),1)</f>
        <v>0.7161825737268781</v>
      </c>
      <c r="Q87" s="185">
        <f t="array" ref="Q87">INDEX(Database!AD$2:BH$98,MATCH($A$87,Database!$A2:$A98,0),1)</f>
        <v>0.67199285236654105</v>
      </c>
      <c r="R87" s="185">
        <f t="array" ref="R87">INDEX(Database!AE$2:BI$98,MATCH($A$87,Database!$A2:$A98,0),1)</f>
        <v>0.62780313100620389</v>
      </c>
      <c r="S87" s="185">
        <f t="array" ref="S87">INDEX(Database!AF$2:BJ$98,MATCH($A$87,Database!$A2:$A98,0),1)</f>
        <v>0.58361340964586683</v>
      </c>
      <c r="T87" s="185">
        <f t="array" ref="T87">INDEX(Database!AG$2:BK$98,MATCH($A$87,Database!$A2:$A98,0),1)</f>
        <v>0.53942368828552978</v>
      </c>
      <c r="U87" s="185">
        <f t="array" ref="U87">INDEX(Database!AH$2:BL$98,MATCH($A$87,Database!$A2:$A98,0),1)</f>
        <v>0.49693665164059386</v>
      </c>
      <c r="V87" s="185">
        <f t="array" ref="V87">INDEX(Database!AI$2:BM$98,MATCH($A$87,Database!$A2:$A98,0),1)</f>
        <v>0.454449614995658</v>
      </c>
      <c r="W87" s="185">
        <f t="array" ref="W87">INDEX(Database!AJ$2:BN$98,MATCH($A$87,Database!$A2:$A98,0),1)</f>
        <v>0.41196257835072209</v>
      </c>
      <c r="X87" s="185">
        <f t="array" ref="X87">INDEX(Database!AK$2:BO$98,MATCH($A$87,Database!$A2:$A98,0),1)</f>
        <v>0.36947554170578634</v>
      </c>
      <c r="Y87" s="185">
        <f t="array" ref="Y87">INDEX(Database!AL$2:BP$98,MATCH($A$87,Database!$A2:$A98,0),1)</f>
        <v>0.32698850506085048</v>
      </c>
      <c r="Z87" s="185">
        <f t="array" ref="Z87">INDEX(Database!AM$2:BQ$98,MATCH($A$87,Database!$A2:$A98,0),1)</f>
        <v>0.29883823918863928</v>
      </c>
      <c r="AA87" s="185">
        <f t="array" ref="AA87">INDEX(Database!AN$2:BR$98,MATCH($A$87,Database!$A2:$A98,0),1)</f>
        <v>0.27068797331642813</v>
      </c>
      <c r="AB87" s="185">
        <f t="array" ref="AB87">INDEX(Database!AO$2:BS$98,MATCH($A$87,Database!$A2:$A98,0),1)</f>
        <v>0.2425377074442169</v>
      </c>
      <c r="AC87" s="185">
        <f t="array" ref="AC87">INDEX(Database!AP$2:BT$98,MATCH($A$87,Database!$A2:$A98,0),1)</f>
        <v>0.21438744157200568</v>
      </c>
      <c r="AD87" s="185">
        <f t="array" ref="AD87">INDEX(Database!AQ$2:BU$98,MATCH($A$87,Database!$A2:$A98,0),1)</f>
        <v>0.1862371756997945</v>
      </c>
      <c r="AE87" s="185">
        <f t="array" ref="AE87">INDEX(Database!AR$2:BV$98,MATCH($A$87,Database!$A2:$A98,0),1)</f>
        <v>0.15808690982758328</v>
      </c>
      <c r="AF87" s="185">
        <f t="array" ref="AF87">INDEX(Database!AS$2:BW$98,MATCH($A$87,Database!$A2:$A98,0),1)</f>
        <v>0.12993664395537211</v>
      </c>
      <c r="AG87" s="185">
        <f t="array" ref="AG87">INDEX(Database!AT$2:BX$98,MATCH($A$87,Database!$A2:$A98,0),1)</f>
        <v>0.10178637808316089</v>
      </c>
      <c r="AH87" s="185">
        <f t="array" ref="AH87">INDEX(Database!AU$2:BY$98,MATCH($A$87,Database!$A2:$A98,0),1)</f>
        <v>7.3636112210949692E-2</v>
      </c>
      <c r="AI87" s="185">
        <f t="array" ref="AI87">INDEX(Database!AV$2:BZ$98,MATCH($A$87,Database!$A2:$A98,0),1)</f>
        <v>4.5485846338738409E-2</v>
      </c>
    </row>
    <row r="88" spans="1:35" x14ac:dyDescent="0.15">
      <c r="A88" t="s">
        <v>272</v>
      </c>
      <c r="B88" t="s">
        <v>457</v>
      </c>
      <c r="C88" t="s">
        <v>397</v>
      </c>
      <c r="D88" s="187" t="e">
        <f>IF(Autoparts!D29&gt;0,Autoparts!D29,NA())</f>
        <v>#N/A</v>
      </c>
      <c r="E88" s="185"/>
      <c r="F88" s="185"/>
      <c r="G88" s="185"/>
      <c r="H88" s="185"/>
      <c r="I88" s="185"/>
      <c r="J88" s="185"/>
      <c r="K88" s="185"/>
      <c r="L88" s="185"/>
      <c r="M88" s="185"/>
      <c r="N88" s="185"/>
      <c r="O88" s="185"/>
      <c r="P88" s="185"/>
      <c r="Q88" s="185"/>
      <c r="R88" s="185"/>
      <c r="S88" s="185"/>
      <c r="T88" s="185"/>
      <c r="U88" s="185"/>
      <c r="V88" s="185"/>
      <c r="W88" s="185"/>
      <c r="X88" s="185"/>
      <c r="Y88" s="185"/>
      <c r="Z88" s="185"/>
      <c r="AA88" s="185"/>
      <c r="AB88" s="185"/>
      <c r="AC88" s="185"/>
      <c r="AD88" s="185"/>
      <c r="AE88" s="185"/>
      <c r="AF88" s="185"/>
      <c r="AG88" s="185"/>
      <c r="AH88" s="185"/>
      <c r="AI88" s="185"/>
    </row>
    <row r="89" spans="1:35" x14ac:dyDescent="0.15">
      <c r="A89" t="s">
        <v>273</v>
      </c>
      <c r="B89" t="s">
        <v>456</v>
      </c>
      <c r="C89" t="s">
        <v>397</v>
      </c>
      <c r="D89" s="185"/>
      <c r="E89" s="185"/>
      <c r="F89" s="185"/>
      <c r="G89" s="185" t="e">
        <f>IF(G77=Autoparts!$D$26,Autoparts!$D$29,IF(AND(G77&gt;Autoparts!$D$26,G77&lt;2050),$D88*G87,NA()))</f>
        <v>#N/A</v>
      </c>
      <c r="H89" s="185" t="e">
        <f>IF(H77=Autoparts!$D$26,Autoparts!$D$29,IF(AND(H77&gt;Autoparts!$D$26,H77&lt;2050),$D88*H87,NA()))</f>
        <v>#N/A</v>
      </c>
      <c r="I89" s="185" t="e">
        <f>IF(I77=Autoparts!$D$26,Autoparts!$D$29,IF(AND(I77&gt;Autoparts!$D$26,I77&lt;2050),$D88*I87,NA()))</f>
        <v>#N/A</v>
      </c>
      <c r="J89" s="185" t="e">
        <f>IF(J77=Autoparts!$D$26,Autoparts!$D$29,IF(AND(J77&gt;Autoparts!$D$26,J77&lt;2050),$D88*J87,NA()))</f>
        <v>#N/A</v>
      </c>
      <c r="K89" s="185" t="e">
        <f>IF(K77=Autoparts!$D$26,Autoparts!$D$29,IF(AND(K77&gt;Autoparts!$D$26,K77&lt;2050),$D88*K87,NA()))</f>
        <v>#N/A</v>
      </c>
      <c r="L89" s="185" t="e">
        <f>IF(L77=Autoparts!$D$26,Autoparts!$D$29,IF(AND(L77&gt;Autoparts!$D$26,L77&lt;2050),$D88*L87,NA()))</f>
        <v>#N/A</v>
      </c>
      <c r="M89" s="185" t="e">
        <f>IF(M77=Autoparts!$D$26,Autoparts!$D$29,IF(AND(M77&gt;Autoparts!$D$26,M77&lt;2050),$D88*M87,NA()))</f>
        <v>#N/A</v>
      </c>
      <c r="N89" s="185" t="e">
        <f>IF(N77=Autoparts!$D$26,Autoparts!$D$29,IF(AND(N77&gt;Autoparts!$D$26,N77&lt;2050),$D88*N87,NA()))</f>
        <v>#N/A</v>
      </c>
      <c r="O89" s="185" t="e">
        <f>IF(O77=Autoparts!$D$26,Autoparts!$D$29,IF(AND(O77&gt;Autoparts!$D$26,O77&lt;2050),$D88*O87,NA()))</f>
        <v>#N/A</v>
      </c>
      <c r="P89" s="185" t="e">
        <f>IF(P77=Autoparts!$D$26,Autoparts!$D$29,IF(AND(P77&gt;Autoparts!$D$26,P77&lt;2050),$D88*P87,NA()))</f>
        <v>#N/A</v>
      </c>
      <c r="Q89" s="185" t="e">
        <f>IF(Q77=Autoparts!$D$26,Autoparts!$D$29,IF(AND(Q77&gt;Autoparts!$D$26,Q77&lt;2050),$D88*Q87,NA()))</f>
        <v>#N/A</v>
      </c>
      <c r="R89" s="185" t="e">
        <f>IF(R77=Autoparts!$D$26,Autoparts!$D$29,IF(AND(R77&gt;Autoparts!$D$26,R77&lt;2050),$D88*R87,NA()))</f>
        <v>#N/A</v>
      </c>
      <c r="S89" s="185" t="e">
        <f>IF(S77=Autoparts!$D$26,Autoparts!$D$29,IF(AND(S77&gt;Autoparts!$D$26,S77&lt;2050),$D88*S87,NA()))</f>
        <v>#N/A</v>
      </c>
      <c r="T89" s="185" t="e">
        <f>IF(T77=Autoparts!$D$26,Autoparts!$D$29,IF(AND(T77&gt;Autoparts!$D$26,T77&lt;2050),$D88*T87,NA()))</f>
        <v>#N/A</v>
      </c>
      <c r="U89" s="185" t="e">
        <f>IF(U77=Autoparts!$D$26,Autoparts!$D$29,IF(AND(U77&gt;Autoparts!$D$26,U77&lt;2050),$D88*U87,NA()))</f>
        <v>#N/A</v>
      </c>
      <c r="V89" s="185" t="e">
        <f>IF(V77=Autoparts!$D$26,Autoparts!$D$29,IF(AND(V77&gt;Autoparts!$D$26,V77&lt;2050),$D88*V87,NA()))</f>
        <v>#N/A</v>
      </c>
      <c r="W89" s="185" t="e">
        <f>IF(W77=Autoparts!$D$26,Autoparts!$D$29,IF(AND(W77&gt;Autoparts!$D$26,W77&lt;2050),$D88*W87,NA()))</f>
        <v>#N/A</v>
      </c>
      <c r="X89" s="185" t="e">
        <f>IF(X77=Autoparts!$D$26,Autoparts!$D$29,IF(AND(X77&gt;Autoparts!$D$26,X77&lt;2050),$D88*X87,NA()))</f>
        <v>#N/A</v>
      </c>
      <c r="Y89" s="185" t="e">
        <f>IF(Y77=Autoparts!$D$26,Autoparts!$D$29,IF(AND(Y77&gt;Autoparts!$D$26,Y77&lt;2050),$D88*Y87,NA()))</f>
        <v>#N/A</v>
      </c>
      <c r="Z89" s="185" t="e">
        <f>IF(Z77=Autoparts!$D$26,Autoparts!$D$29,IF(AND(Z77&gt;Autoparts!$D$26,Z77&lt;2050),$D88*Z87,NA()))</f>
        <v>#N/A</v>
      </c>
      <c r="AA89" s="185" t="e">
        <f>IF(AA77=Autoparts!$D$26,Autoparts!$D$29,IF(AND(AA77&gt;Autoparts!$D$26,AA77&lt;2050),$D88*AA87,NA()))</f>
        <v>#N/A</v>
      </c>
      <c r="AB89" s="185" t="e">
        <f>IF(AB77=Autoparts!$D$26,Autoparts!$D$29,IF(AND(AB77&gt;Autoparts!$D$26,AB77&lt;2050),$D88*AB87,NA()))</f>
        <v>#N/A</v>
      </c>
      <c r="AC89" s="185" t="e">
        <f>IF(AC77=Autoparts!$D$26,Autoparts!$D$29,IF(AND(AC77&gt;Autoparts!$D$26,AC77&lt;2050),$D88*AC87,NA()))</f>
        <v>#N/A</v>
      </c>
      <c r="AD89" s="185" t="e">
        <f>IF(AD77=Autoparts!$D$26,Autoparts!$D$29,IF(AND(AD77&gt;Autoparts!$D$26,AD77&lt;2050),$D88*AD87,NA()))</f>
        <v>#N/A</v>
      </c>
      <c r="AE89" s="185" t="e">
        <f>IF(AE77=Autoparts!$D$26,Autoparts!$D$29,IF(AND(AE77&gt;Autoparts!$D$26,AE77&lt;2050),$D88*AE87,NA()))</f>
        <v>#N/A</v>
      </c>
      <c r="AF89" s="185" t="e">
        <f>IF(AF77=Autoparts!$D$26,Autoparts!$D$29,IF(AND(AF77&gt;Autoparts!$D$26,AF77&lt;2050),$D88*AF87,NA()))</f>
        <v>#N/A</v>
      </c>
      <c r="AG89" s="185" t="e">
        <f>IF(AG77=Autoparts!$D$26,Autoparts!$D$29,IF(AND(AG77&gt;Autoparts!$D$26,AG77&lt;2050),$D88*AG87,NA()))</f>
        <v>#N/A</v>
      </c>
      <c r="AH89" s="185" t="e">
        <f>IF(AH77=Autoparts!$D$26,Autoparts!$D$29,IF(AND(AH77&gt;Autoparts!$D$26,AH77&lt;2050),$D88*AH87,NA()))</f>
        <v>#N/A</v>
      </c>
      <c r="AI89" s="185" t="e">
        <f>IF(AI77=Autoparts!$D$26,Autoparts!$D$29,IF(AND(AI77&gt;Autoparts!$D$26,AI77&lt;2050),$D88*AI87,NA()))</f>
        <v>#N/A</v>
      </c>
    </row>
    <row r="90" spans="1:35" x14ac:dyDescent="0.15">
      <c r="B90" t="s">
        <v>458</v>
      </c>
      <c r="C90" t="s">
        <v>397</v>
      </c>
      <c r="D90" s="187" t="e">
        <f>HLOOKUP(Autoparts!D27,G1:AI90,ROW(A89))</f>
        <v>#N/A</v>
      </c>
      <c r="E90" s="185"/>
      <c r="F90" s="185"/>
      <c r="G90" s="185"/>
      <c r="H90" s="185"/>
      <c r="I90" s="185"/>
      <c r="J90" s="185"/>
      <c r="K90" s="185"/>
      <c r="L90" s="185"/>
      <c r="M90" s="185"/>
      <c r="N90" s="185"/>
      <c r="O90" s="185"/>
      <c r="P90" s="185"/>
      <c r="Q90" s="185"/>
      <c r="R90" s="185"/>
      <c r="S90" s="185"/>
      <c r="T90" s="185"/>
      <c r="U90" s="185"/>
      <c r="V90" s="185"/>
      <c r="W90" s="185"/>
      <c r="X90" s="185"/>
      <c r="Y90" s="185"/>
      <c r="Z90" s="185"/>
      <c r="AA90" s="185"/>
      <c r="AB90" s="185"/>
      <c r="AC90" s="185"/>
      <c r="AD90" s="185"/>
      <c r="AE90" s="185"/>
      <c r="AF90" s="185"/>
      <c r="AG90" s="185"/>
      <c r="AH90" s="185"/>
      <c r="AI90" s="185"/>
    </row>
    <row r="92" spans="1:35" x14ac:dyDescent="0.15">
      <c r="A92" s="1" t="s">
        <v>461</v>
      </c>
      <c r="D92" s="185"/>
      <c r="E92" s="185"/>
      <c r="F92" s="185"/>
      <c r="G92" s="185"/>
      <c r="H92" s="185"/>
      <c r="I92" s="185"/>
      <c r="J92" s="185"/>
      <c r="K92" s="185"/>
      <c r="L92" s="185"/>
      <c r="M92" s="185"/>
      <c r="N92" s="185"/>
      <c r="O92" s="185"/>
      <c r="P92" s="185"/>
      <c r="Q92" s="185"/>
      <c r="R92" s="185"/>
      <c r="S92" s="185"/>
      <c r="T92" s="185"/>
      <c r="U92" s="185"/>
      <c r="V92" s="185"/>
      <c r="W92" s="185"/>
      <c r="X92" s="185"/>
      <c r="Y92" s="185"/>
      <c r="Z92" s="185"/>
      <c r="AA92" s="185"/>
      <c r="AB92" s="185"/>
      <c r="AC92" s="185"/>
      <c r="AD92" s="185"/>
      <c r="AE92" s="185"/>
      <c r="AF92" s="185"/>
      <c r="AG92" s="185"/>
      <c r="AH92" s="185"/>
      <c r="AI92" s="185"/>
    </row>
    <row r="93" spans="1:35" x14ac:dyDescent="0.15">
      <c r="A93" t="s">
        <v>394</v>
      </c>
      <c r="B93" t="s">
        <v>395</v>
      </c>
      <c r="C93" t="s">
        <v>264</v>
      </c>
      <c r="D93" s="186" t="s">
        <v>306</v>
      </c>
      <c r="E93" s="1"/>
      <c r="F93" s="1"/>
      <c r="G93" s="185" t="e">
        <f t="array" ref="G93">INDEX(Database!T$2:AX$98,MATCH($A$93&amp;Autoparts!$D$63&amp;Autoparts!$D$64,Database!$A2:$A98&amp;Database!$C2:$C98&amp;Database!$G2:$G98,0),1)</f>
        <v>#N/A</v>
      </c>
      <c r="H93" s="185" t="e">
        <f t="array" ref="H93">INDEX(Database!U$2:AY$98,MATCH($A$93&amp;Autoparts!$D$63&amp;Autoparts!$D$64,Database!$A2:$A98&amp;Database!$C2:$C98&amp;Database!$G2:$G98,0),1)</f>
        <v>#N/A</v>
      </c>
      <c r="I93" s="185" t="e">
        <f t="array" ref="I93">INDEX(Database!V$2:AZ$98,MATCH($A$93&amp;Autoparts!$D$63&amp;Autoparts!$D$64,Database!$A2:$A98&amp;Database!$C2:$C98&amp;Database!$G2:$G98,0),1)</f>
        <v>#N/A</v>
      </c>
      <c r="J93" s="185" t="e">
        <f t="array" ref="J93">INDEX(Database!W$2:BA$98,MATCH($A$93&amp;Autoparts!$D$63&amp;Autoparts!$D$64,Database!$A2:$A98&amp;Database!$C2:$C98&amp;Database!$G2:$G98,0),1)</f>
        <v>#N/A</v>
      </c>
      <c r="K93" s="185" t="e">
        <f t="array" ref="K93">INDEX(Database!X$2:BB$98,MATCH($A$93&amp;Autoparts!$D$63&amp;Autoparts!$D$64,Database!$A2:$A98&amp;Database!$C2:$C98&amp;Database!$G2:$G98,0),1)</f>
        <v>#N/A</v>
      </c>
      <c r="L93" s="185" t="e">
        <f t="array" ref="L93">INDEX(Database!Y$2:BC$98,MATCH($A$93&amp;Autoparts!$D$63&amp;Autoparts!$D$64,Database!$A2:$A98&amp;Database!$C2:$C98&amp;Database!$G2:$G98,0),1)</f>
        <v>#N/A</v>
      </c>
      <c r="M93" s="185" t="e">
        <f t="array" ref="M93">INDEX(Database!Z$2:BD$98,MATCH($A$93&amp;Autoparts!$D$63&amp;Autoparts!$D$64,Database!$A2:$A98&amp;Database!$C2:$C98&amp;Database!$G2:$G98,0),1)</f>
        <v>#N/A</v>
      </c>
      <c r="N93" s="185" t="e">
        <f t="array" ref="N93">INDEX(Database!AA$2:BE$98,MATCH($A$93&amp;Autoparts!$D$63&amp;Autoparts!$D$64,Database!$A2:$A98&amp;Database!$C2:$C98&amp;Database!$G2:$G98,0),1)</f>
        <v>#N/A</v>
      </c>
      <c r="O93" s="185" t="e">
        <f t="array" ref="O93">INDEX(Database!AB$2:BF$98,MATCH($A$93&amp;Autoparts!$D$63&amp;Autoparts!$D$64,Database!$A2:$A98&amp;Database!$C2:$C98&amp;Database!$G2:$G98,0),1)</f>
        <v>#N/A</v>
      </c>
      <c r="P93" s="185" t="e">
        <f t="array" ref="P93">INDEX(Database!AC$2:BG$98,MATCH($A$93&amp;Autoparts!$D$63&amp;Autoparts!$D$64,Database!$A2:$A98&amp;Database!$C2:$C98&amp;Database!$G2:$G98,0),1)</f>
        <v>#N/A</v>
      </c>
      <c r="Q93" s="185" t="e">
        <f t="array" ref="Q93">INDEX(Database!AD$2:BH$98,MATCH($A$93&amp;Autoparts!$D$63&amp;Autoparts!$D$64,Database!$A2:$A98&amp;Database!$C2:$C98&amp;Database!$G2:$G98,0),1)</f>
        <v>#N/A</v>
      </c>
      <c r="R93" s="185" t="e">
        <f t="array" ref="R93">INDEX(Database!AE$2:BI$98,MATCH($A$93&amp;Autoparts!$D$63&amp;Autoparts!$D$64,Database!$A2:$A98&amp;Database!$C2:$C98&amp;Database!$G2:$G98,0),1)</f>
        <v>#N/A</v>
      </c>
      <c r="S93" s="185" t="e">
        <f t="array" ref="S93">INDEX(Database!AF$2:BJ$98,MATCH($A$93&amp;Autoparts!$D$63&amp;Autoparts!$D$64,Database!$A2:$A98&amp;Database!$C2:$C98&amp;Database!$G2:$G98,0),1)</f>
        <v>#N/A</v>
      </c>
      <c r="T93" s="185" t="e">
        <f t="array" ref="T93">INDEX(Database!AG$2:BK$98,MATCH($A$93&amp;Autoparts!$D$63&amp;Autoparts!$D$64,Database!$A2:$A98&amp;Database!$C2:$C98&amp;Database!$G2:$G98,0),1)</f>
        <v>#N/A</v>
      </c>
      <c r="U93" s="185" t="e">
        <f t="array" ref="U93">INDEX(Database!AH$2:BL$98,MATCH($A$93&amp;Autoparts!$D$63&amp;Autoparts!$D$64,Database!$A2:$A98&amp;Database!$C2:$C98&amp;Database!$G2:$G98,0),1)</f>
        <v>#N/A</v>
      </c>
      <c r="V93" s="185" t="e">
        <f t="array" ref="V93">INDEX(Database!AI$2:BM$98,MATCH($A$93&amp;Autoparts!$D$63&amp;Autoparts!$D$64,Database!$A2:$A98&amp;Database!$C2:$C98&amp;Database!$G2:$G98,0),1)</f>
        <v>#N/A</v>
      </c>
      <c r="W93" s="185" t="e">
        <f t="array" ref="W93">INDEX(Database!AJ$2:BN$98,MATCH($A$93&amp;Autoparts!$D$63&amp;Autoparts!$D$64,Database!$A2:$A98&amp;Database!$C2:$C98&amp;Database!$G2:$G98,0),1)</f>
        <v>#N/A</v>
      </c>
      <c r="X93" s="185" t="e">
        <f t="array" ref="X93">INDEX(Database!AK$2:BO$98,MATCH($A$93&amp;Autoparts!$D$63&amp;Autoparts!$D$64,Database!$A2:$A98&amp;Database!$C2:$C98&amp;Database!$G2:$G98,0),1)</f>
        <v>#N/A</v>
      </c>
      <c r="Y93" s="185" t="e">
        <f t="array" ref="Y93">INDEX(Database!AL$2:BP$98,MATCH($A$93&amp;Autoparts!$D$63&amp;Autoparts!$D$64,Database!$A2:$A98&amp;Database!$C2:$C98&amp;Database!$G2:$G98,0),1)</f>
        <v>#N/A</v>
      </c>
      <c r="Z93" s="185" t="e">
        <f t="array" ref="Z93">INDEX(Database!AM$2:BQ$98,MATCH($A$93&amp;Autoparts!$D$63&amp;Autoparts!$D$64,Database!$A2:$A98&amp;Database!$C2:$C98&amp;Database!$G2:$G98,0),1)</f>
        <v>#N/A</v>
      </c>
      <c r="AA93" s="185" t="e">
        <f t="array" ref="AA93">INDEX(Database!AN$2:BR$98,MATCH($A$93&amp;Autoparts!$D$63&amp;Autoparts!$D$64,Database!$A2:$A98&amp;Database!$C2:$C98&amp;Database!$G2:$G98,0),1)</f>
        <v>#N/A</v>
      </c>
      <c r="AB93" s="185" t="e">
        <f t="array" ref="AB93">INDEX(Database!AO$2:BS$98,MATCH($A$93&amp;Autoparts!$D$63&amp;Autoparts!$D$64,Database!$A2:$A98&amp;Database!$C2:$C98&amp;Database!$G2:$G98,0),1)</f>
        <v>#N/A</v>
      </c>
      <c r="AC93" s="185" t="e">
        <f t="array" ref="AC93">INDEX(Database!AP$2:BT$98,MATCH($A$93&amp;Autoparts!$D$63&amp;Autoparts!$D$64,Database!$A2:$A98&amp;Database!$C2:$C98&amp;Database!$G2:$G98,0),1)</f>
        <v>#N/A</v>
      </c>
      <c r="AD93" s="185" t="e">
        <f t="array" ref="AD93">INDEX(Database!AQ$2:BU$98,MATCH($A$93&amp;Autoparts!$D$63&amp;Autoparts!$D$64,Database!$A2:$A98&amp;Database!$C2:$C98&amp;Database!$G2:$G98,0),1)</f>
        <v>#N/A</v>
      </c>
      <c r="AE93" s="185" t="e">
        <f t="array" ref="AE93">INDEX(Database!AR$2:BV$98,MATCH($A$93&amp;Autoparts!$D$63&amp;Autoparts!$D$64,Database!$A2:$A98&amp;Database!$C2:$C98&amp;Database!$G2:$G98,0),1)</f>
        <v>#N/A</v>
      </c>
      <c r="AF93" s="185" t="e">
        <f t="array" ref="AF93">INDEX(Database!AS$2:BW$98,MATCH($A$93&amp;Autoparts!$D$63&amp;Autoparts!$D$64,Database!$A2:$A98&amp;Database!$C2:$C98&amp;Database!$G2:$G98,0),1)</f>
        <v>#N/A</v>
      </c>
      <c r="AG93" s="185" t="e">
        <f t="array" ref="AG93">INDEX(Database!AT$2:BX$98,MATCH($A$93&amp;Autoparts!$D$63&amp;Autoparts!$D$64,Database!$A2:$A98&amp;Database!$C2:$C98&amp;Database!$G2:$G98,0),1)</f>
        <v>#N/A</v>
      </c>
      <c r="AH93" s="185" t="e">
        <f t="array" ref="AH93">INDEX(Database!AU$2:BY$98,MATCH($A$93&amp;Autoparts!$D$63&amp;Autoparts!$D$64,Database!$A2:$A98&amp;Database!$C2:$C98&amp;Database!$G2:$G98,0),1)</f>
        <v>#N/A</v>
      </c>
      <c r="AI93" s="185" t="e">
        <f t="array" ref="AI93">INDEX(Database!AV$2:BZ$98,MATCH($A$93&amp;Autoparts!$D$63&amp;Autoparts!$D$64,Database!$A2:$A98&amp;Database!$C2:$C98&amp;Database!$G2:$G98,0),1)</f>
        <v>#N/A</v>
      </c>
    </row>
    <row r="94" spans="1:35" x14ac:dyDescent="0.15">
      <c r="A94" t="s">
        <v>278</v>
      </c>
      <c r="B94" t="s">
        <v>279</v>
      </c>
      <c r="C94" t="s">
        <v>264</v>
      </c>
      <c r="D94" s="187" t="e">
        <f>HLOOKUP(Autoparts!D65,G1:AI105,ROW(A93))</f>
        <v>#N/A</v>
      </c>
      <c r="E94" s="185"/>
      <c r="F94" s="185"/>
      <c r="G94" s="185"/>
      <c r="H94" s="185"/>
      <c r="I94" s="185"/>
      <c r="J94" s="185"/>
      <c r="K94" s="185"/>
      <c r="L94" s="185"/>
      <c r="M94" s="185"/>
      <c r="N94" s="185"/>
      <c r="O94" s="185"/>
      <c r="P94" s="185"/>
      <c r="Q94" s="185"/>
      <c r="R94" s="185"/>
      <c r="S94" s="185"/>
      <c r="T94" s="185"/>
      <c r="U94" s="185"/>
      <c r="V94" s="185"/>
      <c r="W94" s="185"/>
      <c r="X94" s="185"/>
      <c r="Y94" s="185"/>
      <c r="Z94" s="185"/>
      <c r="AA94" s="185"/>
      <c r="AB94" s="185"/>
      <c r="AC94" s="185"/>
      <c r="AD94" s="185"/>
      <c r="AE94" s="185"/>
      <c r="AF94" s="185"/>
      <c r="AG94" s="185"/>
      <c r="AH94" s="185"/>
      <c r="AI94" s="185"/>
    </row>
    <row r="95" spans="1:35" x14ac:dyDescent="0.15">
      <c r="A95" s="97" t="s">
        <v>272</v>
      </c>
      <c r="B95" t="s">
        <v>462</v>
      </c>
      <c r="C95" t="s">
        <v>264</v>
      </c>
      <c r="D95" s="187" t="e">
        <f>IF(Autoparts!D67&gt;0,Autoparts!D67,NA())</f>
        <v>#N/A</v>
      </c>
      <c r="E95" s="185"/>
      <c r="F95" s="185"/>
      <c r="G95" s="185"/>
      <c r="H95" s="185" t="str">
        <f>IF(H$1&gt;=Automakers!$D$24,IFERROR(#REF!*1000000/H$34,""),NA())</f>
        <v/>
      </c>
      <c r="I95" s="185" t="str">
        <f>IF(I$1&gt;=Automakers!$D$24,IFERROR(#REF!*1000000/I$34,""),NA())</f>
        <v/>
      </c>
      <c r="J95" s="185" t="str">
        <f>IF(J$1&gt;=Automakers!$D$24,IFERROR(#REF!*1000000/J$34,""),NA())</f>
        <v/>
      </c>
      <c r="K95" s="185" t="str">
        <f>IF(K$1&gt;=Automakers!$D$24,IFERROR(#REF!*1000000/K$34,""),NA())</f>
        <v/>
      </c>
      <c r="L95" s="185" t="str">
        <f>IF(L$1&gt;=Automakers!$D$24,IFERROR(#REF!*1000000/L$34,""),NA())</f>
        <v/>
      </c>
      <c r="M95" s="185" t="str">
        <f>IF(M$1&gt;=Automakers!$D$24,IFERROR(#REF!*1000000/M$34,""),NA())</f>
        <v/>
      </c>
      <c r="N95" s="185" t="str">
        <f>IF(N$1&gt;=Automakers!$D$24,IFERROR(#REF!*1000000/N$34,""),NA())</f>
        <v/>
      </c>
      <c r="O95" s="185" t="str">
        <f>IF(O$1&gt;=Automakers!$D$24,IFERROR(#REF!*1000000/O$34,""),NA())</f>
        <v/>
      </c>
      <c r="P95" s="185" t="str">
        <f>IF(P$1&gt;=Automakers!$D$24,IFERROR(#REF!*1000000/P$34,""),NA())</f>
        <v/>
      </c>
      <c r="Q95" s="185" t="str">
        <f>IF(Q$1&gt;=Automakers!$D$24,IFERROR(#REF!*1000000/Q$34,""),NA())</f>
        <v/>
      </c>
      <c r="R95" s="185" t="str">
        <f>IF(R$1&gt;=Automakers!$D$24,IFERROR(#REF!*1000000/R$34,""),NA())</f>
        <v/>
      </c>
      <c r="S95" s="185" t="str">
        <f>IF(S$1&gt;=Automakers!$D$24,IFERROR(#REF!*1000000/S$34,""),NA())</f>
        <v/>
      </c>
      <c r="T95" s="185" t="str">
        <f>IF(T$1&gt;=Automakers!$D$24,IFERROR(#REF!*1000000/T$34,""),NA())</f>
        <v/>
      </c>
      <c r="U95" s="185" t="str">
        <f>IF(U$1&gt;=Automakers!$D$24,IFERROR(#REF!*1000000/U$34,""),NA())</f>
        <v/>
      </c>
      <c r="V95" s="185" t="str">
        <f>IF(V$1&gt;=Automakers!$D$24,IFERROR(#REF!*1000000/V$34,""),NA())</f>
        <v/>
      </c>
      <c r="W95" s="185" t="str">
        <f>IF(W$1&gt;=Automakers!$D$24,IFERROR(#REF!*1000000/W$34,""),NA())</f>
        <v/>
      </c>
      <c r="X95" s="185" t="str">
        <f>IF(X$1&gt;=Automakers!$D$24,IFERROR(#REF!*1000000/X$34,""),NA())</f>
        <v/>
      </c>
      <c r="Y95" s="185" t="str">
        <f>IF(Y$1&gt;=Automakers!$D$24,IFERROR(#REF!*1000000/Y$34,""),NA())</f>
        <v/>
      </c>
      <c r="Z95" s="185" t="str">
        <f>IF(Z$1&gt;=Automakers!$D$24,IFERROR(#REF!*1000000/Z$34,""),NA())</f>
        <v/>
      </c>
      <c r="AA95" s="185" t="str">
        <f>IF(AA$1&gt;=Automakers!$D$24,IFERROR(#REF!*1000000/AA$34,""),NA())</f>
        <v/>
      </c>
      <c r="AB95" s="185" t="str">
        <f>IF(AB$1&gt;=Automakers!$D$24,IFERROR(#REF!*1000000/AB$34,""),NA())</f>
        <v/>
      </c>
      <c r="AC95" s="185" t="str">
        <f>IF(AC$1&gt;=Automakers!$D$24,IFERROR(#REF!*1000000/AC$34,""),NA())</f>
        <v/>
      </c>
      <c r="AD95" s="185" t="str">
        <f>IF(AD$1&gt;=Automakers!$D$24,IFERROR(#REF!*1000000/AD$34,""),NA())</f>
        <v/>
      </c>
      <c r="AE95" s="185" t="str">
        <f>IF(AE$1&gt;=Automakers!$D$24,IFERROR(#REF!*1000000/AE$34,""),NA())</f>
        <v/>
      </c>
      <c r="AF95" s="185" t="str">
        <f>IF(AF$1&gt;=Automakers!$D$24,IFERROR(#REF!*1000000/AF$34,""),NA())</f>
        <v/>
      </c>
      <c r="AG95" s="185" t="str">
        <f>IF(AG$1&gt;=Automakers!$D$24,IFERROR(#REF!*1000000/AG$34,""),NA())</f>
        <v/>
      </c>
      <c r="AH95" s="185" t="str">
        <f>IF(AH$1&gt;=Automakers!$D$24,IFERROR(#REF!*1000000/AH$34,""),NA())</f>
        <v/>
      </c>
      <c r="AI95" s="185" t="str">
        <f>IF(AI$1&gt;=Automakers!$D$24,IFERROR(#REF!*1000000/AI$34,""),NA())</f>
        <v/>
      </c>
    </row>
    <row r="96" spans="1:35" x14ac:dyDescent="0.15">
      <c r="A96" t="s">
        <v>273</v>
      </c>
      <c r="B96" t="s">
        <v>463</v>
      </c>
      <c r="C96" t="s">
        <v>264</v>
      </c>
      <c r="D96" s="186"/>
      <c r="E96" s="185"/>
      <c r="F96" s="185"/>
      <c r="G96" s="185" t="e">
        <f>IF(G77=Autoparts!$D$65,Autoparts!$D$67,IF(AND(G77&gt;Autoparts!$D$65,G77&lt;2035),($D$95-$T$93)*((G93-$T$93)/($D$94-$T$93))+$T$93,G93))</f>
        <v>#N/A</v>
      </c>
      <c r="H96" s="185" t="e">
        <f>IF(H77=Autoparts!$D$65,Autoparts!$D$67,IF(AND(H77&gt;Autoparts!$D$65,H77&lt;2035),($D$95-$T$93)*((H93-$T$93)/($D$94-$T$93))+$T$93,H93))</f>
        <v>#N/A</v>
      </c>
      <c r="I96" s="185" t="e">
        <f>IF(I77=Autoparts!$D$65,Autoparts!$D$67,IF(AND(I77&gt;Autoparts!$D$65,I77&lt;2035),($D$95-$T$93)*((I93-$T$93)/($D$94-$T$93))+$T$93,I93))</f>
        <v>#N/A</v>
      </c>
      <c r="J96" s="185" t="e">
        <f>IF(J77=Autoparts!$D$65,Autoparts!$D$67,IF(AND(J77&gt;Autoparts!$D$65,J77&lt;2035),($D$95-$T$93)*((J93-$T$93)/($D$94-$T$93))+$T$93,J93))</f>
        <v>#N/A</v>
      </c>
      <c r="K96" s="185" t="e">
        <f>IF(K77=Autoparts!$D$65,Autoparts!$D$67,IF(AND(K77&gt;Autoparts!$D$65,K77&lt;2035),($D$95-$T$93)*((K93-$T$93)/($D$94-$T$93))+$T$93,K93))</f>
        <v>#N/A</v>
      </c>
      <c r="L96" s="185" t="e">
        <f>IF(L77=Autoparts!$D$65,Autoparts!$D$67,IF(AND(L77&gt;Autoparts!$D$65,L77&lt;2035),($D$95-$T$93)*((L93-$T$93)/($D$94-$T$93))+$T$93,L93))</f>
        <v>#N/A</v>
      </c>
      <c r="M96" s="185" t="e">
        <f>IF(M77=Autoparts!$D$65,Autoparts!$D$67,IF(AND(M77&gt;Autoparts!$D$65,M77&lt;2035),($D$95-$T$93)*((M93-$T$93)/($D$94-$T$93))+$T$93,M93))</f>
        <v>#N/A</v>
      </c>
      <c r="N96" s="185" t="e">
        <f>IF(N77=Autoparts!$D$65,Autoparts!$D$67,IF(AND(N77&gt;Autoparts!$D$65,N77&lt;2035),($D$95-$T$93)*((N93-$T$93)/($D$94-$T$93))+$T$93,N93))</f>
        <v>#N/A</v>
      </c>
      <c r="O96" s="185" t="e">
        <f>IF(O77=Autoparts!$D$65,Autoparts!$D$67,IF(AND(O77&gt;Autoparts!$D$65,O77&lt;2035),($D$95-$T$93)*((O93-$T$93)/($D$94-$T$93))+$T$93,O93))</f>
        <v>#N/A</v>
      </c>
      <c r="P96" s="185" t="e">
        <f>IF(P77=Autoparts!$D$65,Autoparts!$D$67,IF(AND(P77&gt;Autoparts!$D$65,P77&lt;2035),($D$95-$T$93)*((P93-$T$93)/($D$94-$T$93))+$T$93,P93))</f>
        <v>#N/A</v>
      </c>
      <c r="Q96" s="185" t="e">
        <f>IF(Q77=Autoparts!$D$65,Autoparts!$D$67,IF(AND(Q77&gt;Autoparts!$D$65,Q77&lt;2035),($D$95-$T$93)*((Q93-$T$93)/($D$94-$T$93))+$T$93,Q93))</f>
        <v>#N/A</v>
      </c>
      <c r="R96" s="185" t="e">
        <f>IF(R77=Autoparts!$D$65,Autoparts!$D$67,IF(AND(R77&gt;Autoparts!$D$65,R77&lt;2035),($D$95-$T$93)*((R93-$T$93)/($D$94-$T$93))+$T$93,R93))</f>
        <v>#N/A</v>
      </c>
      <c r="S96" s="185" t="e">
        <f>IF(S77=Autoparts!$D$65,Autoparts!$D$67,IF(AND(S77&gt;Autoparts!$D$65,S77&lt;2035),($D$95-$T$93)*((S93-$T$93)/($D$94-$T$93))+$T$93,S93))</f>
        <v>#N/A</v>
      </c>
      <c r="T96" s="185" t="e">
        <f>IF(T77=Autoparts!$D$65,Autoparts!$D$67,IF(AND(T77&gt;Autoparts!$D$65,T77&lt;2035),($D$95-$T$93)*((T93-$T$93)/($D$94-$T$93))+$T$93,T93))</f>
        <v>#N/A</v>
      </c>
      <c r="U96" s="185" t="e">
        <f>IF(U77=Autoparts!$D$65,Autoparts!$D$67,IF(AND(U77&gt;Autoparts!$D$65,U77&lt;2035),($D$95-$T$93)*((U93-$T$93)/($D$94-$T$93))+$T$93,U93))</f>
        <v>#N/A</v>
      </c>
      <c r="V96" s="185" t="e">
        <f>IF(V77=Autoparts!$D$65,Autoparts!$D$67,IF(AND(V77&gt;Autoparts!$D$65,V77&lt;2035),($D$95-$T$93)*((V93-$T$93)/($D$94-$T$93))+$T$93,V93))</f>
        <v>#N/A</v>
      </c>
      <c r="W96" s="185" t="e">
        <f>IF(W77=Autoparts!$D$65,Autoparts!$D$67,IF(AND(W77&gt;Autoparts!$D$65,W77&lt;2035),($D$95-$T$93)*((W93-$T$93)/($D$94-$T$93))+$T$93,W93))</f>
        <v>#N/A</v>
      </c>
      <c r="X96" s="185" t="e">
        <f>IF(X77=Autoparts!$D$65,Autoparts!$D$67,IF(AND(X77&gt;Autoparts!$D$65,X77&lt;2035),($D$95-$T$93)*((X93-$T$93)/($D$94-$T$93))+$T$93,X93))</f>
        <v>#N/A</v>
      </c>
      <c r="Y96" s="185" t="e">
        <f>IF(Y77=Autoparts!$D$65,Autoparts!$D$67,IF(AND(Y77&gt;Autoparts!$D$65,Y77&lt;2035),($D$95-$T$93)*((Y93-$T$93)/($D$94-$T$93))+$T$93,Y93))</f>
        <v>#N/A</v>
      </c>
      <c r="Z96" s="185" t="e">
        <f>IF(Z77=Autoparts!$D$65,Autoparts!$D$67,IF(AND(Z77&gt;Autoparts!$D$65,Z77&lt;2035),($D$95-$T$93)*((Z93-$T$93)/($D$94-$T$93))+$T$93,Z93))</f>
        <v>#N/A</v>
      </c>
      <c r="AA96" s="185" t="e">
        <f>IF(AA77=Autoparts!$D$65,Autoparts!$D$67,IF(AND(AA77&gt;Autoparts!$D$65,AA77&lt;2035),($D$95-$T$93)*((AA93-$T$93)/($D$94-$T$93))+$T$93,AA93))</f>
        <v>#N/A</v>
      </c>
      <c r="AB96" s="185" t="e">
        <f>IF(AB77=Autoparts!$D$65,Autoparts!$D$67,IF(AND(AB77&gt;Autoparts!$D$65,AB77&lt;2035),($D$95-$T$93)*((AB93-$T$93)/($D$94-$T$93))+$T$93,AB93))</f>
        <v>#N/A</v>
      </c>
      <c r="AC96" s="185" t="e">
        <f>IF(AC77=Autoparts!$D$65,Autoparts!$D$67,IF(AND(AC77&gt;Autoparts!$D$65,AC77&lt;2035),($D$95-$T$93)*((AC93-$T$93)/($D$94-$T$93))+$T$93,AC93))</f>
        <v>#N/A</v>
      </c>
      <c r="AD96" s="185" t="e">
        <f>IF(AD77=Autoparts!$D$65,Autoparts!$D$67,IF(AND(AD77&gt;Autoparts!$D$65,AD77&lt;2035),($D$95-$T$93)*((AD93-$T$93)/($D$94-$T$93))+$T$93,AD93))</f>
        <v>#N/A</v>
      </c>
      <c r="AE96" s="185" t="e">
        <f>IF(AE77=Autoparts!$D$65,Autoparts!$D$67,IF(AND(AE77&gt;Autoparts!$D$65,AE77&lt;2035),($D$95-$T$93)*((AE93-$T$93)/($D$94-$T$93))+$T$93,AE93))</f>
        <v>#N/A</v>
      </c>
      <c r="AF96" s="185" t="e">
        <f>IF(AF77=Autoparts!$D$65,Autoparts!$D$67,IF(AND(AF77&gt;Autoparts!$D$65,AF77&lt;2035),($D$95-$T$93)*((AF93-$T$93)/($D$94-$T$93))+$T$93,AF93))</f>
        <v>#N/A</v>
      </c>
      <c r="AG96" s="185" t="e">
        <f>IF(AG77=Autoparts!$D$65,Autoparts!$D$67,IF(AND(AG77&gt;Autoparts!$D$65,AG77&lt;2035),($D$95-$T$93)*((AG93-$T$93)/($D$94-$T$93))+$T$93,AG93))</f>
        <v>#N/A</v>
      </c>
      <c r="AH96" s="185" t="e">
        <f>IF(AH77=Autoparts!$D$65,Autoparts!$D$67,IF(AND(AH77&gt;Autoparts!$D$65,AH77&lt;2035),($D$95-$T$93)*((AH93-$T$93)/($D$94-$T$93))+$T$93,AH93))</f>
        <v>#N/A</v>
      </c>
      <c r="AI96" s="185" t="e">
        <f>IF(AI77=Autoparts!$D$65,Autoparts!$D$67,IF(AND(AI77&gt;Autoparts!$D$65,AI77&lt;2035),($D$95-$T$93)*((AI93-$T$93)/($D$94-$T$93))+$T$93,AI93))</f>
        <v>#N/A</v>
      </c>
    </row>
    <row r="97" spans="1:35" x14ac:dyDescent="0.15">
      <c r="B97" t="s">
        <v>464</v>
      </c>
      <c r="C97" t="s">
        <v>264</v>
      </c>
      <c r="D97" s="187" t="e">
        <f>HLOOKUP(Autoparts!$D$66,G1:AI105,ROW(A96))</f>
        <v>#N/A</v>
      </c>
      <c r="E97" s="185"/>
      <c r="F97" s="185"/>
      <c r="G97" s="185"/>
      <c r="H97" s="185"/>
      <c r="I97" s="185"/>
      <c r="J97" s="185"/>
      <c r="K97" s="185"/>
      <c r="L97" s="185"/>
      <c r="M97" s="185"/>
      <c r="N97" s="185"/>
      <c r="O97" s="185"/>
      <c r="P97" s="185"/>
      <c r="Q97" s="185"/>
      <c r="R97" s="185"/>
      <c r="S97" s="185"/>
      <c r="T97" s="185"/>
      <c r="U97" s="185"/>
      <c r="V97" s="185"/>
      <c r="W97" s="185"/>
      <c r="X97" s="185"/>
      <c r="Y97" s="185"/>
      <c r="Z97" s="185"/>
      <c r="AA97" s="185"/>
      <c r="AB97" s="185"/>
      <c r="AC97" s="185"/>
      <c r="AD97" s="185"/>
      <c r="AE97" s="185"/>
      <c r="AF97" s="185"/>
      <c r="AG97" s="185"/>
      <c r="AH97" s="185"/>
      <c r="AI97" s="185"/>
    </row>
    <row r="98" spans="1:35" x14ac:dyDescent="0.15">
      <c r="E98" s="185"/>
      <c r="F98" s="185"/>
      <c r="G98" s="185"/>
      <c r="H98" s="185"/>
      <c r="I98" s="185"/>
      <c r="J98" s="185"/>
      <c r="K98" s="185"/>
      <c r="L98" s="185"/>
      <c r="M98" s="185"/>
      <c r="N98" s="185"/>
      <c r="O98" s="185"/>
      <c r="P98" s="185"/>
      <c r="Q98" s="185"/>
      <c r="R98" s="185"/>
      <c r="S98" s="185"/>
      <c r="T98" s="185"/>
      <c r="U98" s="185"/>
      <c r="V98" s="185"/>
      <c r="W98" s="185"/>
      <c r="X98" s="185"/>
      <c r="Y98" s="185"/>
      <c r="Z98" s="185"/>
      <c r="AA98" s="185"/>
      <c r="AB98" s="185"/>
      <c r="AC98" s="185"/>
      <c r="AD98" s="185"/>
      <c r="AE98" s="185"/>
      <c r="AF98" s="185"/>
      <c r="AG98" s="185"/>
      <c r="AH98" s="185"/>
      <c r="AI98" s="185"/>
    </row>
    <row r="99" spans="1:35" x14ac:dyDescent="0.15">
      <c r="A99" s="1" t="s">
        <v>465</v>
      </c>
      <c r="D99" s="185"/>
      <c r="E99" s="185"/>
      <c r="F99" s="185"/>
      <c r="G99" s="185"/>
      <c r="H99" s="185"/>
      <c r="I99" s="185"/>
      <c r="J99" s="185"/>
      <c r="K99" s="185"/>
      <c r="L99" s="185"/>
      <c r="M99" s="185"/>
      <c r="N99" s="185"/>
      <c r="O99" s="185"/>
      <c r="P99" s="185"/>
      <c r="Q99" s="185"/>
      <c r="R99" s="185"/>
      <c r="S99" s="185"/>
      <c r="T99" s="185"/>
      <c r="U99" s="185"/>
      <c r="V99" s="185"/>
      <c r="W99" s="185"/>
      <c r="X99" s="185"/>
      <c r="Y99" s="185"/>
      <c r="Z99" s="185"/>
      <c r="AA99" s="185"/>
      <c r="AB99" s="185"/>
      <c r="AC99" s="185"/>
      <c r="AD99" s="185"/>
      <c r="AE99" s="185"/>
      <c r="AF99" s="185"/>
      <c r="AG99" s="185"/>
      <c r="AH99" s="185"/>
      <c r="AI99" s="185"/>
    </row>
    <row r="100" spans="1:35" x14ac:dyDescent="0.15">
      <c r="A100" t="s">
        <v>394</v>
      </c>
      <c r="B100" t="s">
        <v>395</v>
      </c>
      <c r="C100" t="s">
        <v>264</v>
      </c>
      <c r="D100" s="186" t="s">
        <v>306</v>
      </c>
      <c r="E100" s="1"/>
      <c r="F100" s="1"/>
      <c r="G100" s="185" t="e">
        <f t="array" ref="G100">INDEX(Database!T$2:AX$98,MATCH($A$100&amp;Autoparts!$D$101&amp;Autoparts!$D$102,Database!$A2:$A105&amp;Database!$C2:$C105&amp;Database!$G2:$G105,0),1)</f>
        <v>#N/A</v>
      </c>
      <c r="H100" s="185" t="e">
        <f t="array" ref="H100">INDEX(Database!U$2:AY$98,MATCH($A$100&amp;Autoparts!$D$101&amp;Autoparts!$D$102,Database!$A2:$A105&amp;Database!$C2:$C105&amp;Database!$G2:$G105,0),1)</f>
        <v>#N/A</v>
      </c>
      <c r="I100" s="185" t="e">
        <f t="array" ref="I100">INDEX(Database!V$2:AZ$98,MATCH($A$100&amp;Autoparts!$D$101&amp;Autoparts!$D$102,Database!$A2:$A105&amp;Database!$C2:$C105&amp;Database!$G2:$G105,0),1)</f>
        <v>#N/A</v>
      </c>
      <c r="J100" s="185" t="e">
        <f t="array" ref="J100">INDEX(Database!W$2:BA$98,MATCH($A$100&amp;Autoparts!$D$101&amp;Autoparts!$D$102,Database!$A2:$A105&amp;Database!$C2:$C105&amp;Database!$G2:$G105,0),1)</f>
        <v>#N/A</v>
      </c>
      <c r="K100" s="185" t="e">
        <f t="array" ref="K100">INDEX(Database!X$2:BB$98,MATCH($A$100&amp;Autoparts!$D$101&amp;Autoparts!$D$102,Database!$A2:$A105&amp;Database!$C2:$C105&amp;Database!$G2:$G105,0),1)</f>
        <v>#N/A</v>
      </c>
      <c r="L100" s="185" t="e">
        <f t="array" ref="L100">INDEX(Database!Y$2:BC$98,MATCH($A$100&amp;Autoparts!$D$101&amp;Autoparts!$D$102,Database!$A2:$A105&amp;Database!$C2:$C105&amp;Database!$G2:$G105,0),1)</f>
        <v>#N/A</v>
      </c>
      <c r="M100" s="185" t="e">
        <f t="array" ref="M100">INDEX(Database!Z$2:BD$98,MATCH($A$100&amp;Autoparts!$D$101&amp;Autoparts!$D$102,Database!$A2:$A105&amp;Database!$C2:$C105&amp;Database!$G2:$G105,0),1)</f>
        <v>#N/A</v>
      </c>
      <c r="N100" s="185" t="e">
        <f t="array" ref="N100">INDEX(Database!AA$2:BE$98,MATCH($A$100&amp;Autoparts!$D$101&amp;Autoparts!$D$102,Database!$A2:$A105&amp;Database!$C2:$C105&amp;Database!$G2:$G105,0),1)</f>
        <v>#N/A</v>
      </c>
      <c r="O100" s="185" t="e">
        <f t="array" ref="O100">INDEX(Database!AB$2:BF$98,MATCH($A$100&amp;Autoparts!$D$101&amp;Autoparts!$D$102,Database!$A2:$A105&amp;Database!$C2:$C105&amp;Database!$G2:$G105,0),1)</f>
        <v>#N/A</v>
      </c>
      <c r="P100" s="185" t="e">
        <f t="array" ref="P100">INDEX(Database!AC$2:BG$98,MATCH($A$100&amp;Autoparts!$D$101&amp;Autoparts!$D$102,Database!$A2:$A105&amp;Database!$C2:$C105&amp;Database!$G2:$G105,0),1)</f>
        <v>#N/A</v>
      </c>
      <c r="Q100" s="185" t="e">
        <f t="array" ref="Q100">INDEX(Database!AD$2:BH$98,MATCH($A$100&amp;Autoparts!$D$101&amp;Autoparts!$D$102,Database!$A2:$A105&amp;Database!$C2:$C105&amp;Database!$G2:$G105,0),1)</f>
        <v>#N/A</v>
      </c>
      <c r="R100" s="185" t="e">
        <f t="array" ref="R100">INDEX(Database!AE$2:BI$98,MATCH($A$100&amp;Autoparts!$D$101&amp;Autoparts!$D$102,Database!$A2:$A105&amp;Database!$C2:$C105&amp;Database!$G2:$G105,0),1)</f>
        <v>#N/A</v>
      </c>
      <c r="S100" s="185" t="e">
        <f t="array" ref="S100">INDEX(Database!AF$2:BJ$98,MATCH($A$100&amp;Autoparts!$D$101&amp;Autoparts!$D$102,Database!$A2:$A105&amp;Database!$C2:$C105&amp;Database!$G2:$G105,0),1)</f>
        <v>#N/A</v>
      </c>
      <c r="T100" s="185" t="e">
        <f t="array" ref="T100">INDEX(Database!AG$2:BK$98,MATCH($A$100&amp;Autoparts!$D$101&amp;Autoparts!$D$102,Database!$A2:$A105&amp;Database!$C2:$C105&amp;Database!$G2:$G105,0),1)</f>
        <v>#N/A</v>
      </c>
      <c r="U100" s="185" t="e">
        <f t="array" ref="U100">INDEX(Database!AH$2:BL$98,MATCH($A$100&amp;Autoparts!$D$101&amp;Autoparts!$D$102,Database!$A2:$A105&amp;Database!$C2:$C105&amp;Database!$G2:$G105,0),1)</f>
        <v>#N/A</v>
      </c>
      <c r="V100" s="185" t="e">
        <f t="array" ref="V100">INDEX(Database!AI$2:BM$98,MATCH($A$100&amp;Autoparts!$D$101&amp;Autoparts!$D$102,Database!$A2:$A105&amp;Database!$C2:$C105&amp;Database!$G2:$G105,0),1)</f>
        <v>#N/A</v>
      </c>
      <c r="W100" s="185" t="e">
        <f t="array" ref="W100">INDEX(Database!AJ$2:BN$98,MATCH($A$100&amp;Autoparts!$D$101&amp;Autoparts!$D$102,Database!$A2:$A105&amp;Database!$C2:$C105&amp;Database!$G2:$G105,0),1)</f>
        <v>#N/A</v>
      </c>
      <c r="X100" s="185" t="e">
        <f t="array" ref="X100">INDEX(Database!AK$2:BO$98,MATCH($A$100&amp;Autoparts!$D$101&amp;Autoparts!$D$102,Database!$A2:$A105&amp;Database!$C2:$C105&amp;Database!$G2:$G105,0),1)</f>
        <v>#N/A</v>
      </c>
      <c r="Y100" s="185" t="e">
        <f t="array" ref="Y100">INDEX(Database!AL$2:BP$98,MATCH($A$100&amp;Autoparts!$D$101&amp;Autoparts!$D$102,Database!$A2:$A105&amp;Database!$C2:$C105&amp;Database!$G2:$G105,0),1)</f>
        <v>#N/A</v>
      </c>
      <c r="Z100" s="185" t="e">
        <f t="array" ref="Z100">INDEX(Database!AM$2:BQ$98,MATCH($A$100&amp;Autoparts!$D$101&amp;Autoparts!$D$102,Database!$A2:$A105&amp;Database!$C2:$C105&amp;Database!$G2:$G105,0),1)</f>
        <v>#N/A</v>
      </c>
      <c r="AA100" s="185" t="e">
        <f t="array" ref="AA100">INDEX(Database!AN$2:BR$98,MATCH($A$100&amp;Autoparts!$D$101&amp;Autoparts!$D$102,Database!$A2:$A105&amp;Database!$C2:$C105&amp;Database!$G2:$G105,0),1)</f>
        <v>#N/A</v>
      </c>
      <c r="AB100" s="185" t="e">
        <f t="array" ref="AB100">INDEX(Database!AO$2:BS$98,MATCH($A$100&amp;Autoparts!$D$101&amp;Autoparts!$D$102,Database!$A2:$A105&amp;Database!$C2:$C105&amp;Database!$G2:$G105,0),1)</f>
        <v>#N/A</v>
      </c>
      <c r="AC100" s="185" t="e">
        <f t="array" ref="AC100">INDEX(Database!AP$2:BT$98,MATCH($A$100&amp;Autoparts!$D$101&amp;Autoparts!$D$102,Database!$A2:$A105&amp;Database!$C2:$C105&amp;Database!$G2:$G105,0),1)</f>
        <v>#N/A</v>
      </c>
      <c r="AD100" s="185" t="e">
        <f t="array" ref="AD100">INDEX(Database!AQ$2:BU$98,MATCH($A$100&amp;Autoparts!$D$101&amp;Autoparts!$D$102,Database!$A2:$A105&amp;Database!$C2:$C105&amp;Database!$G2:$G105,0),1)</f>
        <v>#N/A</v>
      </c>
      <c r="AE100" s="185" t="e">
        <f t="array" ref="AE100">INDEX(Database!AR$2:BV$98,MATCH($A$100&amp;Autoparts!$D$101&amp;Autoparts!$D$102,Database!$A2:$A105&amp;Database!$C2:$C105&amp;Database!$G2:$G105,0),1)</f>
        <v>#N/A</v>
      </c>
      <c r="AF100" s="185" t="e">
        <f t="array" ref="AF100">INDEX(Database!AS$2:BW$98,MATCH($A$100&amp;Autoparts!$D$101&amp;Autoparts!$D$102,Database!$A2:$A105&amp;Database!$C2:$C105&amp;Database!$G2:$G105,0),1)</f>
        <v>#N/A</v>
      </c>
      <c r="AG100" s="185" t="e">
        <f t="array" ref="AG100">INDEX(Database!AT$2:BX$98,MATCH($A$100&amp;Autoparts!$D$101&amp;Autoparts!$D$102,Database!$A2:$A105&amp;Database!$C2:$C105&amp;Database!$G2:$G105,0),1)</f>
        <v>#N/A</v>
      </c>
      <c r="AH100" s="185" t="e">
        <f t="array" ref="AH100">INDEX(Database!AU$2:BY$98,MATCH($A$100&amp;Autoparts!$D$101&amp;Autoparts!$D$102,Database!$A2:$A105&amp;Database!$C2:$C105&amp;Database!$G2:$G105,0),1)</f>
        <v>#N/A</v>
      </c>
      <c r="AI100" s="185" t="e">
        <f t="array" ref="AI100">INDEX(Database!AV$2:BZ$98,MATCH($A$100&amp;Autoparts!$D$101&amp;Autoparts!$D$102,Database!$A2:$A105&amp;Database!$C2:$C105&amp;Database!$G2:$G105,0),1)</f>
        <v>#N/A</v>
      </c>
    </row>
    <row r="101" spans="1:35" x14ac:dyDescent="0.15">
      <c r="A101" t="s">
        <v>278</v>
      </c>
      <c r="B101" t="s">
        <v>279</v>
      </c>
      <c r="C101" t="s">
        <v>264</v>
      </c>
      <c r="D101" s="187" t="e">
        <f>HLOOKUP(Autoparts!D103,G1:AI112,ROW(A100))</f>
        <v>#N/A</v>
      </c>
      <c r="E101" s="185"/>
      <c r="F101" s="185"/>
      <c r="G101" s="185"/>
      <c r="H101" s="185"/>
      <c r="I101" s="185"/>
      <c r="J101" s="185"/>
      <c r="K101" s="185"/>
      <c r="L101" s="185"/>
      <c r="M101" s="185"/>
      <c r="N101" s="185"/>
      <c r="O101" s="185"/>
      <c r="P101" s="185"/>
      <c r="Q101" s="185"/>
      <c r="R101" s="185"/>
      <c r="S101" s="185"/>
      <c r="T101" s="185"/>
      <c r="U101" s="185"/>
      <c r="V101" s="185"/>
      <c r="W101" s="185"/>
      <c r="X101" s="185"/>
      <c r="Y101" s="185"/>
      <c r="Z101" s="185"/>
      <c r="AA101" s="185"/>
      <c r="AB101" s="185"/>
      <c r="AC101" s="185"/>
      <c r="AD101" s="185"/>
      <c r="AE101" s="185"/>
      <c r="AF101" s="185"/>
      <c r="AG101" s="185"/>
      <c r="AH101" s="185"/>
      <c r="AI101" s="185"/>
    </row>
    <row r="102" spans="1:35" x14ac:dyDescent="0.15">
      <c r="A102" s="97" t="s">
        <v>272</v>
      </c>
      <c r="B102" t="s">
        <v>462</v>
      </c>
      <c r="C102" t="s">
        <v>264</v>
      </c>
      <c r="D102" s="187" t="e">
        <f>IF(Autoparts!D105&gt;0,Autoparts!D105,NA())</f>
        <v>#N/A</v>
      </c>
      <c r="E102" s="185"/>
      <c r="F102" s="185"/>
      <c r="G102" s="185"/>
      <c r="H102" s="185" t="str">
        <f>IF(H$1&gt;=Automakers!$D$24,IFERROR(#REF!*1000000/H$34,""),NA())</f>
        <v/>
      </c>
      <c r="I102" s="185" t="str">
        <f>IF(I$1&gt;=Automakers!$D$24,IFERROR(#REF!*1000000/I$34,""),NA())</f>
        <v/>
      </c>
      <c r="J102" s="185" t="str">
        <f>IF(J$1&gt;=Automakers!$D$24,IFERROR(#REF!*1000000/J$34,""),NA())</f>
        <v/>
      </c>
      <c r="K102" s="185" t="str">
        <f>IF(K$1&gt;=Automakers!$D$24,IFERROR(#REF!*1000000/K$34,""),NA())</f>
        <v/>
      </c>
      <c r="L102" s="185" t="str">
        <f>IF(L$1&gt;=Automakers!$D$24,IFERROR(#REF!*1000000/L$34,""),NA())</f>
        <v/>
      </c>
      <c r="M102" s="185" t="str">
        <f>IF(M$1&gt;=Automakers!$D$24,IFERROR(#REF!*1000000/M$34,""),NA())</f>
        <v/>
      </c>
      <c r="N102" s="185" t="str">
        <f>IF(N$1&gt;=Automakers!$D$24,IFERROR(#REF!*1000000/N$34,""),NA())</f>
        <v/>
      </c>
      <c r="O102" s="185" t="str">
        <f>IF(O$1&gt;=Automakers!$D$24,IFERROR(#REF!*1000000/O$34,""),NA())</f>
        <v/>
      </c>
      <c r="P102" s="185" t="str">
        <f>IF(P$1&gt;=Automakers!$D$24,IFERROR(#REF!*1000000/P$34,""),NA())</f>
        <v/>
      </c>
      <c r="Q102" s="185" t="str">
        <f>IF(Q$1&gt;=Automakers!$D$24,IFERROR(#REF!*1000000/Q$34,""),NA())</f>
        <v/>
      </c>
      <c r="R102" s="185" t="str">
        <f>IF(R$1&gt;=Automakers!$D$24,IFERROR(#REF!*1000000/R$34,""),NA())</f>
        <v/>
      </c>
      <c r="S102" s="185" t="str">
        <f>IF(S$1&gt;=Automakers!$D$24,IFERROR(#REF!*1000000/S$34,""),NA())</f>
        <v/>
      </c>
      <c r="T102" s="185" t="str">
        <f>IF(T$1&gt;=Automakers!$D$24,IFERROR(#REF!*1000000/T$34,""),NA())</f>
        <v/>
      </c>
      <c r="U102" s="185" t="str">
        <f>IF(U$1&gt;=Automakers!$D$24,IFERROR(#REF!*1000000/U$34,""),NA())</f>
        <v/>
      </c>
      <c r="V102" s="185" t="str">
        <f>IF(V$1&gt;=Automakers!$D$24,IFERROR(#REF!*1000000/V$34,""),NA())</f>
        <v/>
      </c>
      <c r="W102" s="185" t="str">
        <f>IF(W$1&gt;=Automakers!$D$24,IFERROR(#REF!*1000000/W$34,""),NA())</f>
        <v/>
      </c>
      <c r="X102" s="185" t="str">
        <f>IF(X$1&gt;=Automakers!$D$24,IFERROR(#REF!*1000000/X$34,""),NA())</f>
        <v/>
      </c>
      <c r="Y102" s="185" t="str">
        <f>IF(Y$1&gt;=Automakers!$D$24,IFERROR(#REF!*1000000/Y$34,""),NA())</f>
        <v/>
      </c>
      <c r="Z102" s="185" t="str">
        <f>IF(Z$1&gt;=Automakers!$D$24,IFERROR(#REF!*1000000/Z$34,""),NA())</f>
        <v/>
      </c>
      <c r="AA102" s="185" t="str">
        <f>IF(AA$1&gt;=Automakers!$D$24,IFERROR(#REF!*1000000/AA$34,""),NA())</f>
        <v/>
      </c>
      <c r="AB102" s="185" t="str">
        <f>IF(AB$1&gt;=Automakers!$D$24,IFERROR(#REF!*1000000/AB$34,""),NA())</f>
        <v/>
      </c>
      <c r="AC102" s="185" t="str">
        <f>IF(AC$1&gt;=Automakers!$D$24,IFERROR(#REF!*1000000/AC$34,""),NA())</f>
        <v/>
      </c>
      <c r="AD102" s="185" t="str">
        <f>IF(AD$1&gt;=Automakers!$D$24,IFERROR(#REF!*1000000/AD$34,""),NA())</f>
        <v/>
      </c>
      <c r="AE102" s="185" t="str">
        <f>IF(AE$1&gt;=Automakers!$D$24,IFERROR(#REF!*1000000/AE$34,""),NA())</f>
        <v/>
      </c>
      <c r="AF102" s="185" t="str">
        <f>IF(AF$1&gt;=Automakers!$D$24,IFERROR(#REF!*1000000/AF$34,""),NA())</f>
        <v/>
      </c>
      <c r="AG102" s="185" t="str">
        <f>IF(AG$1&gt;=Automakers!$D$24,IFERROR(#REF!*1000000/AG$34,""),NA())</f>
        <v/>
      </c>
      <c r="AH102" s="185" t="str">
        <f>IF(AH$1&gt;=Automakers!$D$24,IFERROR(#REF!*1000000/AH$34,""),NA())</f>
        <v/>
      </c>
      <c r="AI102" s="185" t="str">
        <f>IF(AI$1&gt;=Automakers!$D$24,IFERROR(#REF!*1000000/AI$34,""),NA())</f>
        <v/>
      </c>
    </row>
    <row r="103" spans="1:35" x14ac:dyDescent="0.15">
      <c r="A103" t="s">
        <v>273</v>
      </c>
      <c r="B103" t="s">
        <v>463</v>
      </c>
      <c r="C103" t="s">
        <v>264</v>
      </c>
      <c r="D103" s="186"/>
      <c r="E103" s="185"/>
      <c r="F103" s="185"/>
      <c r="G103" s="185" t="e">
        <f>IF(G77=Autoparts!$D$103,Autoparts!$D$105,IF(AND(G77&gt;Autoparts!$D$103,G77&lt;2050),$D102*G100/$D101,NA()))</f>
        <v>#N/A</v>
      </c>
      <c r="H103" s="185" t="e">
        <f>IF(H77=Autoparts!$D$103,Autoparts!$D$105,IF(AND(H77&gt;Autoparts!$D$103,H77&lt;2050),$D102*H100/$D101,NA()))</f>
        <v>#N/A</v>
      </c>
      <c r="I103" s="185" t="e">
        <f>IF(I77=Autoparts!$D$103,Autoparts!$D$105,IF(AND(I77&gt;Autoparts!$D$103,I77&lt;2050),$D102*I100/$D101,NA()))</f>
        <v>#N/A</v>
      </c>
      <c r="J103" s="185" t="e">
        <f>IF(J77=Autoparts!$D$103,Autoparts!$D$105,IF(AND(J77&gt;Autoparts!$D$103,J77&lt;2050),$D102*J100/$D101,NA()))</f>
        <v>#N/A</v>
      </c>
      <c r="K103" s="185" t="e">
        <f>IF(K77=Autoparts!$D$103,Autoparts!$D$105,IF(AND(K77&gt;Autoparts!$D$103,K77&lt;2050),$D102*K100/$D101,NA()))</f>
        <v>#N/A</v>
      </c>
      <c r="L103" s="185" t="e">
        <f>IF(L77=Autoparts!$D$103,Autoparts!$D$105,IF(AND(L77&gt;Autoparts!$D$103,L77&lt;2050),$D102*L100/$D101,NA()))</f>
        <v>#N/A</v>
      </c>
      <c r="M103" s="185" t="e">
        <f>IF(M77=Autoparts!$D$103,Autoparts!$D$105,IF(AND(M77&gt;Autoparts!$D$103,M77&lt;2050),$D102*M100/$D101,NA()))</f>
        <v>#N/A</v>
      </c>
      <c r="N103" s="185" t="e">
        <f>IF(N77=Autoparts!$D$103,Autoparts!$D$105,IF(AND(N77&gt;Autoparts!$D$103,N77&lt;2050),$D102*N100/$D101,NA()))</f>
        <v>#N/A</v>
      </c>
      <c r="O103" s="185" t="e">
        <f>IF(O77=Autoparts!$D$103,Autoparts!$D$105,IF(AND(O77&gt;Autoparts!$D$103,O77&lt;2050),$D102*O100/$D101,NA()))</f>
        <v>#N/A</v>
      </c>
      <c r="P103" s="185" t="e">
        <f>IF(P77=Autoparts!$D$103,Autoparts!$D$105,IF(AND(P77&gt;Autoparts!$D$103,P77&lt;2050),$D102*P100/$D101,NA()))</f>
        <v>#N/A</v>
      </c>
      <c r="Q103" s="185" t="e">
        <f>IF(Q77=Autoparts!$D$103,Autoparts!$D$105,IF(AND(Q77&gt;Autoparts!$D$103,Q77&lt;2050),$D102*Q100/$D101,NA()))</f>
        <v>#N/A</v>
      </c>
      <c r="R103" s="185" t="e">
        <f>IF(R77=Autoparts!$D$103,Autoparts!$D$105,IF(AND(R77&gt;Autoparts!$D$103,R77&lt;2050),$D102*R100/$D101,NA()))</f>
        <v>#N/A</v>
      </c>
      <c r="S103" s="185" t="e">
        <f>IF(S77=Autoparts!$D$103,Autoparts!$D$105,IF(AND(S77&gt;Autoparts!$D$103,S77&lt;2050),$D102*S100/$D101,NA()))</f>
        <v>#N/A</v>
      </c>
      <c r="T103" s="185" t="e">
        <f>IF(T77=Autoparts!$D$103,Autoparts!$D$105,IF(AND(T77&gt;Autoparts!$D$103,T77&lt;2050),$D102*T100/$D101,NA()))</f>
        <v>#N/A</v>
      </c>
      <c r="U103" s="185" t="e">
        <f>IF(U77=Autoparts!$D$103,Autoparts!$D$105,IF(AND(U77&gt;Autoparts!$D$103,U77&lt;2050),$D102*U100/$D101,NA()))</f>
        <v>#N/A</v>
      </c>
      <c r="V103" s="185" t="e">
        <f>IF(V77=Autoparts!$D$103,Autoparts!$D$105,IF(AND(V77&gt;Autoparts!$D$103,V77&lt;2050),$D102*V100/$D101,NA()))</f>
        <v>#N/A</v>
      </c>
      <c r="W103" s="185" t="e">
        <f>IF(W77=Autoparts!$D$103,Autoparts!$D$105,IF(AND(W77&gt;Autoparts!$D$103,W77&lt;2050),$D102*W100/$D101,NA()))</f>
        <v>#N/A</v>
      </c>
      <c r="X103" s="185" t="e">
        <f>IF(X77=Autoparts!$D$103,Autoparts!$D$105,IF(AND(X77&gt;Autoparts!$D$103,X77&lt;2050),$D102*X100/$D101,NA()))</f>
        <v>#N/A</v>
      </c>
      <c r="Y103" s="185" t="e">
        <f>IF(Y77=Autoparts!$D$103,Autoparts!$D$105,IF(AND(Y77&gt;Autoparts!$D$103,Y77&lt;2050),$D102*Y100/$D101,NA()))</f>
        <v>#N/A</v>
      </c>
      <c r="Z103" s="185" t="e">
        <f>IF(Z77=Autoparts!$D$103,Autoparts!$D$105,IF(AND(Z77&gt;Autoparts!$D$103,Z77&lt;2050),$D102*Z100/$D101,NA()))</f>
        <v>#N/A</v>
      </c>
      <c r="AA103" s="185" t="e">
        <f>IF(AA77=Autoparts!$D$103,Autoparts!$D$105,IF(AND(AA77&gt;Autoparts!$D$103,AA77&lt;2050),$D102*AA100/$D101,NA()))</f>
        <v>#N/A</v>
      </c>
      <c r="AB103" s="185" t="e">
        <f>IF(AB77=Autoparts!$D$103,Autoparts!$D$105,IF(AND(AB77&gt;Autoparts!$D$103,AB77&lt;2050),$D102*AB100/$D101,NA()))</f>
        <v>#N/A</v>
      </c>
      <c r="AC103" s="185" t="e">
        <f>IF(AC77=Autoparts!$D$103,Autoparts!$D$105,IF(AND(AC77&gt;Autoparts!$D$103,AC77&lt;2050),$D102*AC100/$D101,NA()))</f>
        <v>#N/A</v>
      </c>
      <c r="AD103" s="185" t="e">
        <f>IF(AD77=Autoparts!$D$103,Autoparts!$D$105,IF(AND(AD77&gt;Autoparts!$D$103,AD77&lt;2050),$D102*AD100/$D101,NA()))</f>
        <v>#N/A</v>
      </c>
      <c r="AE103" s="185" t="e">
        <f>IF(AE77=Autoparts!$D$103,Autoparts!$D$105,IF(AND(AE77&gt;Autoparts!$D$103,AE77&lt;2050),$D102*AE100/$D101,NA()))</f>
        <v>#N/A</v>
      </c>
      <c r="AF103" s="185" t="e">
        <f>IF(AF77=Autoparts!$D$103,Autoparts!$D$105,IF(AND(AF77&gt;Autoparts!$D$103,AF77&lt;2050),$D102*AF100/$D101,NA()))</f>
        <v>#N/A</v>
      </c>
      <c r="AG103" s="185" t="e">
        <f>IF(AG77=Autoparts!$D$103,Autoparts!$D$105,IF(AND(AG77&gt;Autoparts!$D$103,AG77&lt;2050),$D102*AG100/$D101,NA()))</f>
        <v>#N/A</v>
      </c>
      <c r="AH103" s="185" t="e">
        <f>IF(AH77=Autoparts!$D$103,Autoparts!$D$105,IF(AND(AH77&gt;Autoparts!$D$103,AH77&lt;2050),$D102*AH100/$D101,NA()))</f>
        <v>#N/A</v>
      </c>
      <c r="AI103" s="185" t="e">
        <f>IF(AI77=Autoparts!$D$103,Autoparts!$D$105,IF(AND(AI77&gt;Autoparts!$D$103,AI77&lt;2050),$D102*AI100/$D101,NA()))</f>
        <v>#N/A</v>
      </c>
    </row>
    <row r="104" spans="1:35" x14ac:dyDescent="0.15">
      <c r="B104" t="s">
        <v>464</v>
      </c>
      <c r="C104" t="s">
        <v>264</v>
      </c>
      <c r="D104" s="187" t="e">
        <f>HLOOKUP(Autoparts!$D$104,G1:AI112,ROW(A103))</f>
        <v>#N/A</v>
      </c>
      <c r="E104" s="185"/>
      <c r="F104" s="185"/>
      <c r="G104" s="185"/>
      <c r="H104" s="185"/>
      <c r="I104" s="185"/>
      <c r="J104" s="185"/>
      <c r="K104" s="185"/>
      <c r="L104" s="185"/>
      <c r="M104" s="185"/>
      <c r="N104" s="185"/>
      <c r="O104" s="185"/>
      <c r="P104" s="185"/>
      <c r="Q104" s="185"/>
      <c r="R104" s="185"/>
      <c r="S104" s="185"/>
      <c r="T104" s="185"/>
      <c r="U104" s="185"/>
      <c r="V104" s="185"/>
      <c r="W104" s="185"/>
      <c r="X104" s="185"/>
      <c r="Y104" s="185"/>
      <c r="Z104" s="185"/>
      <c r="AA104" s="185"/>
      <c r="AB104" s="185"/>
      <c r="AC104" s="185"/>
      <c r="AD104" s="185"/>
      <c r="AE104" s="185"/>
      <c r="AF104" s="185"/>
      <c r="AG104" s="185"/>
      <c r="AH104" s="185"/>
      <c r="AI104" s="185"/>
    </row>
    <row r="105" spans="1:35" x14ac:dyDescent="0.15">
      <c r="E105" s="185"/>
      <c r="F105" s="185"/>
      <c r="G105" s="185"/>
      <c r="H105" s="185"/>
      <c r="I105" s="185"/>
      <c r="J105" s="185"/>
      <c r="K105" s="185"/>
      <c r="L105" s="185"/>
      <c r="M105" s="185"/>
      <c r="N105" s="185"/>
      <c r="O105" s="185"/>
      <c r="P105" s="185"/>
      <c r="Q105" s="185"/>
      <c r="R105" s="185"/>
      <c r="S105" s="185"/>
      <c r="T105" s="185"/>
      <c r="U105" s="185"/>
      <c r="V105" s="185"/>
      <c r="W105" s="185"/>
      <c r="X105" s="185"/>
      <c r="Y105" s="185"/>
      <c r="Z105" s="185"/>
      <c r="AA105" s="185"/>
      <c r="AB105" s="185"/>
      <c r="AC105" s="185"/>
      <c r="AD105" s="185"/>
      <c r="AE105" s="185"/>
      <c r="AF105" s="185"/>
      <c r="AG105" s="185"/>
      <c r="AH105" s="185"/>
      <c r="AI105" s="185"/>
    </row>
    <row r="106" spans="1:35" s="178" customFormat="1" ht="23" x14ac:dyDescent="0.25">
      <c r="A106" s="177" t="s">
        <v>50</v>
      </c>
      <c r="E106" s="179"/>
      <c r="F106" s="179"/>
      <c r="G106" s="179"/>
      <c r="H106" s="179"/>
      <c r="I106" s="179"/>
      <c r="J106" s="179"/>
      <c r="K106" s="179"/>
      <c r="L106" s="179"/>
      <c r="M106" s="179"/>
      <c r="N106" s="179"/>
      <c r="O106" s="179"/>
      <c r="P106" s="179"/>
      <c r="Q106" s="179"/>
      <c r="R106" s="179"/>
      <c r="S106" s="179"/>
      <c r="T106" s="179"/>
      <c r="U106" s="179"/>
      <c r="V106" s="179"/>
      <c r="W106" s="179"/>
      <c r="X106" s="179"/>
      <c r="Y106" s="179"/>
      <c r="Z106" s="179"/>
      <c r="AA106" s="179"/>
      <c r="AB106" s="179"/>
      <c r="AC106" s="179"/>
      <c r="AD106" s="179"/>
      <c r="AE106" s="179"/>
      <c r="AF106" s="179"/>
      <c r="AG106" s="179"/>
      <c r="AH106" s="179"/>
      <c r="AI106" s="179"/>
    </row>
    <row r="107" spans="1:35" s="178" customFormat="1" hidden="1" x14ac:dyDescent="0.15">
      <c r="A107" s="189" t="s">
        <v>11</v>
      </c>
      <c r="E107" s="179"/>
      <c r="F107" s="179"/>
      <c r="G107" s="179"/>
      <c r="H107" s="179"/>
      <c r="I107" s="179"/>
      <c r="J107" s="179"/>
      <c r="K107" s="179"/>
      <c r="L107" s="179"/>
      <c r="M107" s="179"/>
      <c r="N107" s="179"/>
      <c r="O107" s="179"/>
      <c r="P107" s="179"/>
      <c r="Q107" s="179"/>
      <c r="R107" s="179"/>
      <c r="S107" s="179"/>
      <c r="T107" s="179"/>
      <c r="U107" s="179"/>
      <c r="V107" s="179"/>
      <c r="W107" s="179"/>
      <c r="X107" s="179"/>
      <c r="Y107" s="179"/>
      <c r="Z107" s="179"/>
      <c r="AA107" s="179"/>
      <c r="AB107" s="179"/>
      <c r="AC107" s="179"/>
      <c r="AD107" s="179"/>
      <c r="AE107" s="179"/>
      <c r="AF107" s="179"/>
      <c r="AG107" s="179"/>
      <c r="AH107" s="179"/>
      <c r="AI107" s="179"/>
    </row>
    <row r="108" spans="1:35" s="178" customFormat="1" hidden="1" x14ac:dyDescent="0.15">
      <c r="A108" s="189"/>
      <c r="E108" s="179"/>
      <c r="F108" s="179"/>
      <c r="G108" s="179"/>
      <c r="H108" s="179"/>
      <c r="I108" s="179"/>
      <c r="J108" s="179"/>
      <c r="K108" s="179"/>
      <c r="L108" s="179"/>
      <c r="M108" s="179"/>
      <c r="N108" s="179"/>
      <c r="O108" s="179"/>
      <c r="P108" s="179"/>
      <c r="Q108" s="179"/>
      <c r="R108" s="179"/>
      <c r="S108" s="179"/>
      <c r="T108" s="179"/>
      <c r="U108" s="179"/>
      <c r="V108" s="179"/>
      <c r="W108" s="179"/>
      <c r="X108" s="179"/>
      <c r="Y108" s="179"/>
      <c r="Z108" s="179"/>
      <c r="AA108" s="179"/>
      <c r="AB108" s="179"/>
      <c r="AC108" s="179"/>
      <c r="AD108" s="179"/>
      <c r="AE108" s="179"/>
      <c r="AF108" s="179"/>
      <c r="AG108" s="179"/>
      <c r="AH108" s="179"/>
      <c r="AI108" s="179"/>
    </row>
    <row r="109" spans="1:35" s="178" customFormat="1" hidden="1" x14ac:dyDescent="0.15">
      <c r="A109" s="178" t="s">
        <v>8</v>
      </c>
      <c r="B109" s="178" t="str">
        <f>IF(OR(Automakers!$D$73=Lists!$B$26,Automakers!$D$73=Lists!$B$27,Automakers!$D$73=Lists!$B$28),"Scope 3 emissions ("&amp;C109&amp;")","Scope 1 emissions ("&amp;C109&amp;")")</f>
        <v>Scope 3 emissions (MtCO2)</v>
      </c>
      <c r="C109" s="178" t="s">
        <v>6</v>
      </c>
      <c r="E109" s="179" t="e">
        <f>IFERROR(IF(E$1&lt;Automakers!$D$24,NA(),IF(E$1&gt;Automakers!$D$27,NA(),Automakers!$D$25+(Automakers!$D$25*(HLOOKUP(Automakers!$D$27,$E$1:$AI$41,ROW(#REF!),)/HLOOKUP(Automakers!$D$24,$E$1:$AI$41,ROW(#REF!),))-Automakers!$D$25)*(E$1-Automakers!$D$24)/(Automakers!$D$27-Automakers!$D$24)))/1000,NA())</f>
        <v>#N/A</v>
      </c>
      <c r="F109" s="179" t="e">
        <f>IFERROR(IF(F$1&lt;Automakers!$D$24,NA(),IF(F$1&gt;Automakers!$D$27,NA(),Automakers!$D$25+(Automakers!$D$25*(HLOOKUP(Automakers!$D$27,$E$1:$AI$41,ROW(#REF!),)/HLOOKUP(Automakers!$D$24,$E$1:$AI$41,ROW(#REF!),))-Automakers!$D$25)*(F$1-Automakers!$D$24)/(Automakers!$D$27-Automakers!$D$24)))/1000,NA())</f>
        <v>#N/A</v>
      </c>
      <c r="G109" s="179" t="e">
        <f>IFERROR(IF(G$1&lt;Automakers!$D$24,NA(),IF(G$1&gt;Automakers!$D$27,NA(),Automakers!$D$25+(Automakers!$D$25*(HLOOKUP(Automakers!$D$27,$E$1:$AI$41,ROW(#REF!),)/HLOOKUP(Automakers!$D$24,$E$1:$AI$41,ROW(#REF!),))-Automakers!$D$25)*(G$1-Automakers!$D$24)/(Automakers!$D$27-Automakers!$D$24)))/1000,NA())</f>
        <v>#N/A</v>
      </c>
      <c r="H109" s="179" t="e">
        <f>IFERROR(IF(H$1&lt;Automakers!$D$24,NA(),IF(H$1&gt;Automakers!$D$27,NA(),Automakers!$D$25+(Automakers!$D$25*(HLOOKUP(Automakers!$D$27,$E$1:$AI$41,ROW(#REF!),)/HLOOKUP(Automakers!$D$24,$E$1:$AI$41,ROW(#REF!),))-Automakers!$D$25)*(H$1-Automakers!$D$24)/(Automakers!$D$27-Automakers!$D$24)))/1000,NA())</f>
        <v>#N/A</v>
      </c>
      <c r="I109" s="179" t="e">
        <f>IFERROR(IF(I$1&lt;Automakers!$D$24,NA(),IF(I$1&gt;Automakers!$D$27,NA(),Automakers!$D$25+(Automakers!$D$25*(HLOOKUP(Automakers!$D$27,$E$1:$AI$41,ROW(#REF!),)/HLOOKUP(Automakers!$D$24,$E$1:$AI$41,ROW(#REF!),))-Automakers!$D$25)*(I$1-Automakers!$D$24)/(Automakers!$D$27-Automakers!$D$24)))/1000,NA())</f>
        <v>#N/A</v>
      </c>
      <c r="J109" s="179" t="e">
        <f>IFERROR(IF(J$1&lt;Automakers!$D$24,NA(),IF(J$1&gt;Automakers!$D$27,NA(),Automakers!$D$25+(Automakers!$D$25*(HLOOKUP(Automakers!$D$27,$E$1:$AI$41,ROW(#REF!),)/HLOOKUP(Automakers!$D$24,$E$1:$AI$41,ROW(#REF!),))-Automakers!$D$25)*(J$1-Automakers!$D$24)/(Automakers!$D$27-Automakers!$D$24)))/1000,NA())</f>
        <v>#N/A</v>
      </c>
      <c r="K109" s="179" t="e">
        <f>IFERROR(IF(K$1&lt;Automakers!$D$24,NA(),IF(K$1&gt;Automakers!$D$27,NA(),Automakers!$D$25+(Automakers!$D$25*(HLOOKUP(Automakers!$D$27,$E$1:$AI$41,ROW(#REF!),)/HLOOKUP(Automakers!$D$24,$E$1:$AI$41,ROW(#REF!),))-Automakers!$D$25)*(K$1-Automakers!$D$24)/(Automakers!$D$27-Automakers!$D$24)))/1000,NA())</f>
        <v>#N/A</v>
      </c>
      <c r="L109" s="179" t="e">
        <f>IFERROR(IF(L$1&lt;Automakers!$D$24,NA(),IF(L$1&gt;Automakers!$D$27,NA(),Automakers!$D$25+(Automakers!$D$25*(HLOOKUP(Automakers!$D$27,$E$1:$AI$41,ROW(#REF!),)/HLOOKUP(Automakers!$D$24,$E$1:$AI$41,ROW(#REF!),))-Automakers!$D$25)*(L$1-Automakers!$D$24)/(Automakers!$D$27-Automakers!$D$24)))/1000,NA())</f>
        <v>#N/A</v>
      </c>
      <c r="M109" s="179" t="e">
        <f>IFERROR(IF(M$1&lt;Automakers!$D$24,NA(),IF(M$1&gt;Automakers!$D$27,NA(),Automakers!$D$25+(Automakers!$D$25*(HLOOKUP(Automakers!$D$27,$E$1:$AI$41,ROW(#REF!),)/HLOOKUP(Automakers!$D$24,$E$1:$AI$41,ROW(#REF!),))-Automakers!$D$25)*(M$1-Automakers!$D$24)/(Automakers!$D$27-Automakers!$D$24)))/1000,NA())</f>
        <v>#N/A</v>
      </c>
      <c r="N109" s="179" t="e">
        <f>IFERROR(IF(N$1&lt;Automakers!$D$24,NA(),IF(N$1&gt;Automakers!$D$27,NA(),Automakers!$D$25+(Automakers!$D$25*(HLOOKUP(Automakers!$D$27,$E$1:$AI$41,ROW(#REF!),)/HLOOKUP(Automakers!$D$24,$E$1:$AI$41,ROW(#REF!),))-Automakers!$D$25)*(N$1-Automakers!$D$24)/(Automakers!$D$27-Automakers!$D$24)))/1000,NA())</f>
        <v>#N/A</v>
      </c>
      <c r="O109" s="179" t="e">
        <f>IFERROR(IF(O$1&lt;Automakers!$D$24,NA(),IF(O$1&gt;Automakers!$D$27,NA(),Automakers!$D$25+(Automakers!$D$25*(HLOOKUP(Automakers!$D$27,$E$1:$AI$41,ROW(#REF!),)/HLOOKUP(Automakers!$D$24,$E$1:$AI$41,ROW(#REF!),))-Automakers!$D$25)*(O$1-Automakers!$D$24)/(Automakers!$D$27-Automakers!$D$24)))/1000,NA())</f>
        <v>#N/A</v>
      </c>
      <c r="P109" s="179" t="e">
        <f>IFERROR(IF(P$1&lt;Automakers!$D$24,NA(),IF(P$1&gt;Automakers!$D$27,NA(),Automakers!$D$25+(Automakers!$D$25*(HLOOKUP(Automakers!$D$27,$E$1:$AI$41,ROW(#REF!),)/HLOOKUP(Automakers!$D$24,$E$1:$AI$41,ROW(#REF!),))-Automakers!$D$25)*(P$1-Automakers!$D$24)/(Automakers!$D$27-Automakers!$D$24)))/1000,NA())</f>
        <v>#N/A</v>
      </c>
      <c r="Q109" s="179" t="e">
        <f>IFERROR(IF(Q$1&lt;Automakers!$D$24,NA(),IF(Q$1&gt;Automakers!$D$27,NA(),Automakers!$D$25+(Automakers!$D$25*(HLOOKUP(Automakers!$D$27,$E$1:$AI$41,ROW(#REF!),)/HLOOKUP(Automakers!$D$24,$E$1:$AI$41,ROW(#REF!),))-Automakers!$D$25)*(Q$1-Automakers!$D$24)/(Automakers!$D$27-Automakers!$D$24)))/1000,NA())</f>
        <v>#N/A</v>
      </c>
      <c r="R109" s="179" t="e">
        <f>IFERROR(IF(R$1&lt;Automakers!$D$24,NA(),IF(R$1&gt;Automakers!$D$27,NA(),Automakers!$D$25+(Automakers!$D$25*(HLOOKUP(Automakers!$D$27,$E$1:$AI$41,ROW(#REF!),)/HLOOKUP(Automakers!$D$24,$E$1:$AI$41,ROW(#REF!),))-Automakers!$D$25)*(R$1-Automakers!$D$24)/(Automakers!$D$27-Automakers!$D$24)))/1000,NA())</f>
        <v>#N/A</v>
      </c>
      <c r="S109" s="179" t="e">
        <f>IFERROR(IF(S$1&lt;Automakers!$D$24,NA(),IF(S$1&gt;Automakers!$D$27,NA(),Automakers!$D$25+(Automakers!$D$25*(HLOOKUP(Automakers!$D$27,$E$1:$AI$41,ROW(#REF!),)/HLOOKUP(Automakers!$D$24,$E$1:$AI$41,ROW(#REF!),))-Automakers!$D$25)*(S$1-Automakers!$D$24)/(Automakers!$D$27-Automakers!$D$24)))/1000,NA())</f>
        <v>#N/A</v>
      </c>
      <c r="T109" s="179" t="e">
        <f>IFERROR(IF(T$1&lt;Automakers!$D$24,NA(),IF(T$1&gt;Automakers!$D$27,NA(),Automakers!$D$25+(Automakers!$D$25*(HLOOKUP(Automakers!$D$27,$E$1:$AI$41,ROW(#REF!),)/HLOOKUP(Automakers!$D$24,$E$1:$AI$41,ROW(#REF!),))-Automakers!$D$25)*(T$1-Automakers!$D$24)/(Automakers!$D$27-Automakers!$D$24)))/1000,NA())</f>
        <v>#N/A</v>
      </c>
      <c r="U109" s="179" t="e">
        <f>IFERROR(IF(U$1&lt;Automakers!$D$24,NA(),IF(U$1&gt;Automakers!$D$27,NA(),Automakers!$D$25+(Automakers!$D$25*(HLOOKUP(Automakers!$D$27,$E$1:$AI$41,ROW(#REF!),)/HLOOKUP(Automakers!$D$24,$E$1:$AI$41,ROW(#REF!),))-Automakers!$D$25)*(U$1-Automakers!$D$24)/(Automakers!$D$27-Automakers!$D$24)))/1000,NA())</f>
        <v>#N/A</v>
      </c>
      <c r="V109" s="179" t="e">
        <f>IFERROR(IF(V$1&lt;Automakers!$D$24,NA(),IF(V$1&gt;Automakers!$D$27,NA(),Automakers!$D$25+(Automakers!$D$25*(HLOOKUP(Automakers!$D$27,$E$1:$AI$41,ROW(#REF!),)/HLOOKUP(Automakers!$D$24,$E$1:$AI$41,ROW(#REF!),))-Automakers!$D$25)*(V$1-Automakers!$D$24)/(Automakers!$D$27-Automakers!$D$24)))/1000,NA())</f>
        <v>#N/A</v>
      </c>
      <c r="W109" s="179" t="e">
        <f>IFERROR(IF(W$1&lt;Automakers!$D$24,NA(),IF(W$1&gt;Automakers!$D$27,NA(),Automakers!$D$25+(Automakers!$D$25*(HLOOKUP(Automakers!$D$27,$E$1:$AI$41,ROW(#REF!),)/HLOOKUP(Automakers!$D$24,$E$1:$AI$41,ROW(#REF!),))-Automakers!$D$25)*(W$1-Automakers!$D$24)/(Automakers!$D$27-Automakers!$D$24)))/1000,NA())</f>
        <v>#N/A</v>
      </c>
      <c r="X109" s="179" t="e">
        <f>IFERROR(IF(X$1&lt;Automakers!$D$24,NA(),IF(X$1&gt;Automakers!$D$27,NA(),Automakers!$D$25+(Automakers!$D$25*(HLOOKUP(Automakers!$D$27,$E$1:$AI$41,ROW(#REF!),)/HLOOKUP(Automakers!$D$24,$E$1:$AI$41,ROW(#REF!),))-Automakers!$D$25)*(X$1-Automakers!$D$24)/(Automakers!$D$27-Automakers!$D$24)))/1000,NA())</f>
        <v>#N/A</v>
      </c>
      <c r="Y109" s="179" t="e">
        <f>IFERROR(IF(Y$1&lt;Automakers!$D$24,NA(),IF(Y$1&gt;Automakers!$D$27,NA(),Automakers!$D$25+(Automakers!$D$25*(HLOOKUP(Automakers!$D$27,$E$1:$AI$41,ROW(#REF!),)/HLOOKUP(Automakers!$D$24,$E$1:$AI$41,ROW(#REF!),))-Automakers!$D$25)*(Y$1-Automakers!$D$24)/(Automakers!$D$27-Automakers!$D$24)))/1000,NA())</f>
        <v>#N/A</v>
      </c>
      <c r="Z109" s="179" t="e">
        <f>IFERROR(IF(Z$1&lt;Automakers!$D$24,NA(),IF(Z$1&gt;Automakers!$D$27,NA(),Automakers!$D$25+(Automakers!$D$25*(HLOOKUP(Automakers!$D$27,$E$1:$AI$41,ROW(#REF!),)/HLOOKUP(Automakers!$D$24,$E$1:$AI$41,ROW(#REF!),))-Automakers!$D$25)*(Z$1-Automakers!$D$24)/(Automakers!$D$27-Automakers!$D$24)))/1000,NA())</f>
        <v>#N/A</v>
      </c>
      <c r="AA109" s="179" t="e">
        <f>IFERROR(IF(AA$1&lt;Automakers!$D$24,NA(),IF(AA$1&gt;Automakers!$D$27,NA(),Automakers!$D$25+(Automakers!$D$25*(HLOOKUP(Automakers!$D$27,$E$1:$AI$41,ROW(#REF!),)/HLOOKUP(Automakers!$D$24,$E$1:$AI$41,ROW(#REF!),))-Automakers!$D$25)*(AA$1-Automakers!$D$24)/(Automakers!$D$27-Automakers!$D$24)))/1000,NA())</f>
        <v>#N/A</v>
      </c>
      <c r="AB109" s="179" t="e">
        <f>IFERROR(IF(AB$1&lt;Automakers!$D$24,NA(),IF(AB$1&gt;Automakers!$D$27,NA(),Automakers!$D$25+(Automakers!$D$25*(HLOOKUP(Automakers!$D$27,$E$1:$AI$41,ROW(#REF!),)/HLOOKUP(Automakers!$D$24,$E$1:$AI$41,ROW(#REF!),))-Automakers!$D$25)*(AB$1-Automakers!$D$24)/(Automakers!$D$27-Automakers!$D$24)))/1000,NA())</f>
        <v>#N/A</v>
      </c>
      <c r="AC109" s="179" t="e">
        <f>IFERROR(IF(AC$1&lt;Automakers!$D$24,NA(),IF(AC$1&gt;Automakers!$D$27,NA(),Automakers!$D$25+(Automakers!$D$25*(HLOOKUP(Automakers!$D$27,$E$1:$AI$41,ROW(#REF!),)/HLOOKUP(Automakers!$D$24,$E$1:$AI$41,ROW(#REF!),))-Automakers!$D$25)*(AC$1-Automakers!$D$24)/(Automakers!$D$27-Automakers!$D$24)))/1000,NA())</f>
        <v>#N/A</v>
      </c>
      <c r="AD109" s="179" t="e">
        <f>IFERROR(IF(AD$1&lt;Automakers!$D$24,NA(),IF(AD$1&gt;Automakers!$D$27,NA(),Automakers!$D$25+(Automakers!$D$25*(HLOOKUP(Automakers!$D$27,$E$1:$AI$41,ROW(#REF!),)/HLOOKUP(Automakers!$D$24,$E$1:$AI$41,ROW(#REF!),))-Automakers!$D$25)*(AD$1-Automakers!$D$24)/(Automakers!$D$27-Automakers!$D$24)))/1000,NA())</f>
        <v>#N/A</v>
      </c>
      <c r="AE109" s="179" t="e">
        <f>IFERROR(IF(AE$1&lt;Automakers!$D$24,NA(),IF(AE$1&gt;Automakers!$D$27,NA(),Automakers!$D$25+(Automakers!$D$25*(HLOOKUP(Automakers!$D$27,$E$1:$AI$41,ROW(#REF!),)/HLOOKUP(Automakers!$D$24,$E$1:$AI$41,ROW(#REF!),))-Automakers!$D$25)*(AE$1-Automakers!$D$24)/(Automakers!$D$27-Automakers!$D$24)))/1000,NA())</f>
        <v>#N/A</v>
      </c>
      <c r="AF109" s="179" t="e">
        <f>IFERROR(IF(AF$1&lt;Automakers!$D$24,NA(),IF(AF$1&gt;Automakers!$D$27,NA(),Automakers!$D$25+(Automakers!$D$25*(HLOOKUP(Automakers!$D$27,$E$1:$AI$41,ROW(#REF!),)/HLOOKUP(Automakers!$D$24,$E$1:$AI$41,ROW(#REF!),))-Automakers!$D$25)*(AF$1-Automakers!$D$24)/(Automakers!$D$27-Automakers!$D$24)))/1000,NA())</f>
        <v>#N/A</v>
      </c>
      <c r="AG109" s="179" t="e">
        <f>IFERROR(IF(AG$1&lt;Automakers!$D$24,NA(),IF(AG$1&gt;Automakers!$D$27,NA(),Automakers!$D$25+(Automakers!$D$25*(HLOOKUP(Automakers!$D$27,$E$1:$AI$41,ROW(#REF!),)/HLOOKUP(Automakers!$D$24,$E$1:$AI$41,ROW(#REF!),))-Automakers!$D$25)*(AG$1-Automakers!$D$24)/(Automakers!$D$27-Automakers!$D$24)))/1000,NA())</f>
        <v>#N/A</v>
      </c>
      <c r="AH109" s="179" t="e">
        <f>IFERROR(IF(AH$1&lt;Automakers!$D$24,NA(),IF(AH$1&gt;Automakers!$D$27,NA(),Automakers!$D$25+(Automakers!$D$25*(HLOOKUP(Automakers!$D$27,$E$1:$AI$41,ROW(#REF!),)/HLOOKUP(Automakers!$D$24,$E$1:$AI$41,ROW(#REF!),))-Automakers!$D$25)*(AH$1-Automakers!$D$24)/(Automakers!$D$27-Automakers!$D$24)))/1000,NA())</f>
        <v>#N/A</v>
      </c>
      <c r="AI109" s="179" t="e">
        <f>IFERROR(IF(AI$1&lt;Automakers!$D$24,NA(),IF(AI$1&gt;Automakers!$D$27,NA(),Automakers!$D$25+(Automakers!$D$25*(HLOOKUP(Automakers!$D$27,$E$1:$AI$41,ROW(#REF!),)/HLOOKUP(Automakers!$D$24,$E$1:$AI$41,ROW(#REF!),))-Automakers!$D$25)*(AI$1-Automakers!$D$24)/(Automakers!$D$27-Automakers!$D$24)))/1000,NA())</f>
        <v>#N/A</v>
      </c>
    </row>
    <row r="110" spans="1:35" s="178" customFormat="1" hidden="1" x14ac:dyDescent="0.15">
      <c r="A110" s="178" t="s">
        <v>10</v>
      </c>
      <c r="B110" s="178" t="str">
        <f>"Scope 2 emissions ("&amp;C110&amp;")"</f>
        <v>Scope 2 emissions (MtCO2)</v>
      </c>
      <c r="C110" s="178" t="s">
        <v>6</v>
      </c>
      <c r="E110" s="179" t="e">
        <f>IFERROR(IF(E$1&lt;Automakers!$D$24,NA(),IF(E$1&gt;Automakers!$D$27,NA(),Automakers!$D$26+(Automakers!$D$26*(HLOOKUP(Automakers!$D$27,$E$1:$AI$34,ROW(#REF!),)/HLOOKUP(Automakers!$D$24,$E$1:$AI$34,ROW(#REF!),))-Automakers!$D$26)*(E$1-Automakers!$D$24)/(Automakers!$D$27-Automakers!$D$24)))/1000,NA())</f>
        <v>#N/A</v>
      </c>
      <c r="F110" s="179" t="e">
        <f>IFERROR(IF(F$1&lt;Automakers!$D$24,NA(),IF(F$1&gt;Automakers!$D$27,NA(),Automakers!$D$26+(Automakers!$D$26*(HLOOKUP(Automakers!$D$27,$E$1:$AI$34,ROW(#REF!),)/HLOOKUP(Automakers!$D$24,$E$1:$AI$34,ROW(#REF!),))-Automakers!$D$26)*(F$1-Automakers!$D$24)/(Automakers!$D$27-Automakers!$D$24)))/1000,NA())</f>
        <v>#N/A</v>
      </c>
      <c r="G110" s="179" t="e">
        <f>IFERROR(IF(G$1&lt;Automakers!$D$24,NA(),IF(G$1&gt;Automakers!$D$27,NA(),Automakers!$D$26+(Automakers!$D$26*(HLOOKUP(Automakers!$D$27,$E$1:$AI$34,ROW(#REF!),)/HLOOKUP(Automakers!$D$24,$E$1:$AI$34,ROW(#REF!),))-Automakers!$D$26)*(G$1-Automakers!$D$24)/(Automakers!$D$27-Automakers!$D$24)))/1000,NA())</f>
        <v>#N/A</v>
      </c>
      <c r="H110" s="179" t="e">
        <f>IFERROR(IF(H$1&lt;Automakers!$D$24,NA(),IF(H$1&gt;Automakers!$D$27,NA(),Automakers!$D$26+(Automakers!$D$26*(HLOOKUP(Automakers!$D$27,$E$1:$AI$34,ROW(#REF!),)/HLOOKUP(Automakers!$D$24,$E$1:$AI$34,ROW(#REF!),))-Automakers!$D$26)*(H$1-Automakers!$D$24)/(Automakers!$D$27-Automakers!$D$24)))/1000,NA())</f>
        <v>#N/A</v>
      </c>
      <c r="I110" s="179" t="e">
        <f>IFERROR(IF(I$1&lt;Automakers!$D$24,NA(),IF(I$1&gt;Automakers!$D$27,NA(),Automakers!$D$26+(Automakers!$D$26*(HLOOKUP(Automakers!$D$27,$E$1:$AI$34,ROW(#REF!),)/HLOOKUP(Automakers!$D$24,$E$1:$AI$34,ROW(#REF!),))-Automakers!$D$26)*(I$1-Automakers!$D$24)/(Automakers!$D$27-Automakers!$D$24)))/1000,NA())</f>
        <v>#N/A</v>
      </c>
      <c r="J110" s="179" t="e">
        <f>IFERROR(IF(J$1&lt;Automakers!$D$24,NA(),IF(J$1&gt;Automakers!$D$27,NA(),Automakers!$D$26+(Automakers!$D$26*(HLOOKUP(Automakers!$D$27,$E$1:$AI$34,ROW(#REF!),)/HLOOKUP(Automakers!$D$24,$E$1:$AI$34,ROW(#REF!),))-Automakers!$D$26)*(J$1-Automakers!$D$24)/(Automakers!$D$27-Automakers!$D$24)))/1000,NA())</f>
        <v>#N/A</v>
      </c>
      <c r="K110" s="179" t="e">
        <f>IFERROR(IF(K$1&lt;Automakers!$D$24,NA(),IF(K$1&gt;Automakers!$D$27,NA(),Automakers!$D$26+(Automakers!$D$26*(HLOOKUP(Automakers!$D$27,$E$1:$AI$34,ROW(#REF!),)/HLOOKUP(Automakers!$D$24,$E$1:$AI$34,ROW(#REF!),))-Automakers!$D$26)*(K$1-Automakers!$D$24)/(Automakers!$D$27-Automakers!$D$24)))/1000,NA())</f>
        <v>#N/A</v>
      </c>
      <c r="L110" s="179" t="e">
        <f>IFERROR(IF(L$1&lt;Automakers!$D$24,NA(),IF(L$1&gt;Automakers!$D$27,NA(),Automakers!$D$26+(Automakers!$D$26*(HLOOKUP(Automakers!$D$27,$E$1:$AI$34,ROW(#REF!),)/HLOOKUP(Automakers!$D$24,$E$1:$AI$34,ROW(#REF!),))-Automakers!$D$26)*(L$1-Automakers!$D$24)/(Automakers!$D$27-Automakers!$D$24)))/1000,NA())</f>
        <v>#N/A</v>
      </c>
      <c r="M110" s="179" t="e">
        <f>IFERROR(IF(M$1&lt;Automakers!$D$24,NA(),IF(M$1&gt;Automakers!$D$27,NA(),Automakers!$D$26+(Automakers!$D$26*(HLOOKUP(Automakers!$D$27,$E$1:$AI$34,ROW(#REF!),)/HLOOKUP(Automakers!$D$24,$E$1:$AI$34,ROW(#REF!),))-Automakers!$D$26)*(M$1-Automakers!$D$24)/(Automakers!$D$27-Automakers!$D$24)))/1000,NA())</f>
        <v>#N/A</v>
      </c>
      <c r="N110" s="179" t="e">
        <f>IFERROR(IF(N$1&lt;Automakers!$D$24,NA(),IF(N$1&gt;Automakers!$D$27,NA(),Automakers!$D$26+(Automakers!$D$26*(HLOOKUP(Automakers!$D$27,$E$1:$AI$34,ROW(#REF!),)/HLOOKUP(Automakers!$D$24,$E$1:$AI$34,ROW(#REF!),))-Automakers!$D$26)*(N$1-Automakers!$D$24)/(Automakers!$D$27-Automakers!$D$24)))/1000,NA())</f>
        <v>#N/A</v>
      </c>
      <c r="O110" s="179" t="e">
        <f>IFERROR(IF(O$1&lt;Automakers!$D$24,NA(),IF(O$1&gt;Automakers!$D$27,NA(),Automakers!$D$26+(Automakers!$D$26*(HLOOKUP(Automakers!$D$27,$E$1:$AI$34,ROW(#REF!),)/HLOOKUP(Automakers!$D$24,$E$1:$AI$34,ROW(#REF!),))-Automakers!$D$26)*(O$1-Automakers!$D$24)/(Automakers!$D$27-Automakers!$D$24)))/1000,NA())</f>
        <v>#N/A</v>
      </c>
      <c r="P110" s="179" t="e">
        <f>IFERROR(IF(P$1&lt;Automakers!$D$24,NA(),IF(P$1&gt;Automakers!$D$27,NA(),Automakers!$D$26+(Automakers!$D$26*(HLOOKUP(Automakers!$D$27,$E$1:$AI$34,ROW(#REF!),)/HLOOKUP(Automakers!$D$24,$E$1:$AI$34,ROW(#REF!),))-Automakers!$D$26)*(P$1-Automakers!$D$24)/(Automakers!$D$27-Automakers!$D$24)))/1000,NA())</f>
        <v>#N/A</v>
      </c>
      <c r="Q110" s="179" t="e">
        <f>IFERROR(IF(Q$1&lt;Automakers!$D$24,NA(),IF(Q$1&gt;Automakers!$D$27,NA(),Automakers!$D$26+(Automakers!$D$26*(HLOOKUP(Automakers!$D$27,$E$1:$AI$34,ROW(#REF!),)/HLOOKUP(Automakers!$D$24,$E$1:$AI$34,ROW(#REF!),))-Automakers!$D$26)*(Q$1-Automakers!$D$24)/(Automakers!$D$27-Automakers!$D$24)))/1000,NA())</f>
        <v>#N/A</v>
      </c>
      <c r="R110" s="179" t="e">
        <f>IFERROR(IF(R$1&lt;Automakers!$D$24,NA(),IF(R$1&gt;Automakers!$D$27,NA(),Automakers!$D$26+(Automakers!$D$26*(HLOOKUP(Automakers!$D$27,$E$1:$AI$34,ROW(#REF!),)/HLOOKUP(Automakers!$D$24,$E$1:$AI$34,ROW(#REF!),))-Automakers!$D$26)*(R$1-Automakers!$D$24)/(Automakers!$D$27-Automakers!$D$24)))/1000,NA())</f>
        <v>#N/A</v>
      </c>
      <c r="S110" s="179" t="e">
        <f>IFERROR(IF(S$1&lt;Automakers!$D$24,NA(),IF(S$1&gt;Automakers!$D$27,NA(),Automakers!$D$26+(Automakers!$D$26*(HLOOKUP(Automakers!$D$27,$E$1:$AI$34,ROW(#REF!),)/HLOOKUP(Automakers!$D$24,$E$1:$AI$34,ROW(#REF!),))-Automakers!$D$26)*(S$1-Automakers!$D$24)/(Automakers!$D$27-Automakers!$D$24)))/1000,NA())</f>
        <v>#N/A</v>
      </c>
      <c r="T110" s="179" t="e">
        <f>IFERROR(IF(T$1&lt;Automakers!$D$24,NA(),IF(T$1&gt;Automakers!$D$27,NA(),Automakers!$D$26+(Automakers!$D$26*(HLOOKUP(Automakers!$D$27,$E$1:$AI$34,ROW(#REF!),)/HLOOKUP(Automakers!$D$24,$E$1:$AI$34,ROW(#REF!),))-Automakers!$D$26)*(T$1-Automakers!$D$24)/(Automakers!$D$27-Automakers!$D$24)))/1000,NA())</f>
        <v>#N/A</v>
      </c>
      <c r="U110" s="179" t="e">
        <f>IFERROR(IF(U$1&lt;Automakers!$D$24,NA(),IF(U$1&gt;Automakers!$D$27,NA(),Automakers!$D$26+(Automakers!$D$26*(HLOOKUP(Automakers!$D$27,$E$1:$AI$34,ROW(#REF!),)/HLOOKUP(Automakers!$D$24,$E$1:$AI$34,ROW(#REF!),))-Automakers!$D$26)*(U$1-Automakers!$D$24)/(Automakers!$D$27-Automakers!$D$24)))/1000,NA())</f>
        <v>#N/A</v>
      </c>
      <c r="V110" s="179" t="e">
        <f>IFERROR(IF(V$1&lt;Automakers!$D$24,NA(),IF(V$1&gt;Automakers!$D$27,NA(),Automakers!$D$26+(Automakers!$D$26*(HLOOKUP(Automakers!$D$27,$E$1:$AI$34,ROW(#REF!),)/HLOOKUP(Automakers!$D$24,$E$1:$AI$34,ROW(#REF!),))-Automakers!$D$26)*(V$1-Automakers!$D$24)/(Automakers!$D$27-Automakers!$D$24)))/1000,NA())</f>
        <v>#N/A</v>
      </c>
      <c r="W110" s="179" t="e">
        <f>IFERROR(IF(W$1&lt;Automakers!$D$24,NA(),IF(W$1&gt;Automakers!$D$27,NA(),Automakers!$D$26+(Automakers!$D$26*(HLOOKUP(Automakers!$D$27,$E$1:$AI$34,ROW(#REF!),)/HLOOKUP(Automakers!$D$24,$E$1:$AI$34,ROW(#REF!),))-Automakers!$D$26)*(W$1-Automakers!$D$24)/(Automakers!$D$27-Automakers!$D$24)))/1000,NA())</f>
        <v>#N/A</v>
      </c>
      <c r="X110" s="179" t="e">
        <f>IFERROR(IF(X$1&lt;Automakers!$D$24,NA(),IF(X$1&gt;Automakers!$D$27,NA(),Automakers!$D$26+(Automakers!$D$26*(HLOOKUP(Automakers!$D$27,$E$1:$AI$34,ROW(#REF!),)/HLOOKUP(Automakers!$D$24,$E$1:$AI$34,ROW(#REF!),))-Automakers!$D$26)*(X$1-Automakers!$D$24)/(Automakers!$D$27-Automakers!$D$24)))/1000,NA())</f>
        <v>#N/A</v>
      </c>
      <c r="Y110" s="179" t="e">
        <f>IFERROR(IF(Y$1&lt;Automakers!$D$24,NA(),IF(Y$1&gt;Automakers!$D$27,NA(),Automakers!$D$26+(Automakers!$D$26*(HLOOKUP(Automakers!$D$27,$E$1:$AI$34,ROW(#REF!),)/HLOOKUP(Automakers!$D$24,$E$1:$AI$34,ROW(#REF!),))-Automakers!$D$26)*(Y$1-Automakers!$D$24)/(Automakers!$D$27-Automakers!$D$24)))/1000,NA())</f>
        <v>#N/A</v>
      </c>
      <c r="Z110" s="179" t="e">
        <f>IFERROR(IF(Z$1&lt;Automakers!$D$24,NA(),IF(Z$1&gt;Automakers!$D$27,NA(),Automakers!$D$26+(Automakers!$D$26*(HLOOKUP(Automakers!$D$27,$E$1:$AI$34,ROW(#REF!),)/HLOOKUP(Automakers!$D$24,$E$1:$AI$34,ROW(#REF!),))-Automakers!$D$26)*(Z$1-Automakers!$D$24)/(Automakers!$D$27-Automakers!$D$24)))/1000,NA())</f>
        <v>#N/A</v>
      </c>
      <c r="AA110" s="179" t="e">
        <f>IFERROR(IF(AA$1&lt;Automakers!$D$24,NA(),IF(AA$1&gt;Automakers!$D$27,NA(),Automakers!$D$26+(Automakers!$D$26*(HLOOKUP(Automakers!$D$27,$E$1:$AI$34,ROW(#REF!),)/HLOOKUP(Automakers!$D$24,$E$1:$AI$34,ROW(#REF!),))-Automakers!$D$26)*(AA$1-Automakers!$D$24)/(Automakers!$D$27-Automakers!$D$24)))/1000,NA())</f>
        <v>#N/A</v>
      </c>
      <c r="AB110" s="179" t="e">
        <f>IFERROR(IF(AB$1&lt;Automakers!$D$24,NA(),IF(AB$1&gt;Automakers!$D$27,NA(),Automakers!$D$26+(Automakers!$D$26*(HLOOKUP(Automakers!$D$27,$E$1:$AI$34,ROW(#REF!),)/HLOOKUP(Automakers!$D$24,$E$1:$AI$34,ROW(#REF!),))-Automakers!$D$26)*(AB$1-Automakers!$D$24)/(Automakers!$D$27-Automakers!$D$24)))/1000,NA())</f>
        <v>#N/A</v>
      </c>
      <c r="AC110" s="179" t="e">
        <f>IFERROR(IF(AC$1&lt;Automakers!$D$24,NA(),IF(AC$1&gt;Automakers!$D$27,NA(),Automakers!$D$26+(Automakers!$D$26*(HLOOKUP(Automakers!$D$27,$E$1:$AI$34,ROW(#REF!),)/HLOOKUP(Automakers!$D$24,$E$1:$AI$34,ROW(#REF!),))-Automakers!$D$26)*(AC$1-Automakers!$D$24)/(Automakers!$D$27-Automakers!$D$24)))/1000,NA())</f>
        <v>#N/A</v>
      </c>
      <c r="AD110" s="179" t="e">
        <f>IFERROR(IF(AD$1&lt;Automakers!$D$24,NA(),IF(AD$1&gt;Automakers!$D$27,NA(),Automakers!$D$26+(Automakers!$D$26*(HLOOKUP(Automakers!$D$27,$E$1:$AI$34,ROW(#REF!),)/HLOOKUP(Automakers!$D$24,$E$1:$AI$34,ROW(#REF!),))-Automakers!$D$26)*(AD$1-Automakers!$D$24)/(Automakers!$D$27-Automakers!$D$24)))/1000,NA())</f>
        <v>#N/A</v>
      </c>
      <c r="AE110" s="179" t="e">
        <f>IFERROR(IF(AE$1&lt;Automakers!$D$24,NA(),IF(AE$1&gt;Automakers!$D$27,NA(),Automakers!$D$26+(Automakers!$D$26*(HLOOKUP(Automakers!$D$27,$E$1:$AI$34,ROW(#REF!),)/HLOOKUP(Automakers!$D$24,$E$1:$AI$34,ROW(#REF!),))-Automakers!$D$26)*(AE$1-Automakers!$D$24)/(Automakers!$D$27-Automakers!$D$24)))/1000,NA())</f>
        <v>#N/A</v>
      </c>
      <c r="AF110" s="179" t="e">
        <f>IFERROR(IF(AF$1&lt;Automakers!$D$24,NA(),IF(AF$1&gt;Automakers!$D$27,NA(),Automakers!$D$26+(Automakers!$D$26*(HLOOKUP(Automakers!$D$27,$E$1:$AI$34,ROW(#REF!),)/HLOOKUP(Automakers!$D$24,$E$1:$AI$34,ROW(#REF!),))-Automakers!$D$26)*(AF$1-Automakers!$D$24)/(Automakers!$D$27-Automakers!$D$24)))/1000,NA())</f>
        <v>#N/A</v>
      </c>
      <c r="AG110" s="179" t="e">
        <f>IFERROR(IF(AG$1&lt;Automakers!$D$24,NA(),IF(AG$1&gt;Automakers!$D$27,NA(),Automakers!$D$26+(Automakers!$D$26*(HLOOKUP(Automakers!$D$27,$E$1:$AI$34,ROW(#REF!),)/HLOOKUP(Automakers!$D$24,$E$1:$AI$34,ROW(#REF!),))-Automakers!$D$26)*(AG$1-Automakers!$D$24)/(Automakers!$D$27-Automakers!$D$24)))/1000,NA())</f>
        <v>#N/A</v>
      </c>
      <c r="AH110" s="179" t="e">
        <f>IFERROR(IF(AH$1&lt;Automakers!$D$24,NA(),IF(AH$1&gt;Automakers!$D$27,NA(),Automakers!$D$26+(Automakers!$D$26*(HLOOKUP(Automakers!$D$27,$E$1:$AI$34,ROW(#REF!),)/HLOOKUP(Automakers!$D$24,$E$1:$AI$34,ROW(#REF!),))-Automakers!$D$26)*(AH$1-Automakers!$D$24)/(Automakers!$D$27-Automakers!$D$24)))/1000,NA())</f>
        <v>#N/A</v>
      </c>
      <c r="AI110" s="179" t="e">
        <f>IFERROR(IF(AI$1&lt;Automakers!$D$24,NA(),IF(AI$1&gt;Automakers!$D$27,NA(),Automakers!$D$26+(Automakers!$D$26*(HLOOKUP(Automakers!$D$27,$E$1:$AI$34,ROW(#REF!),)/HLOOKUP(Automakers!$D$24,$E$1:$AI$34,ROW(#REF!),))-Automakers!$D$26)*(AI$1-Automakers!$D$24)/(Automakers!$D$27-Automakers!$D$24)))/1000,NA())</f>
        <v>#N/A</v>
      </c>
    </row>
    <row r="111" spans="1:35" s="178" customFormat="1" hidden="1" x14ac:dyDescent="0.15">
      <c r="A111" s="178" t="s">
        <v>9</v>
      </c>
      <c r="B111" s="178" t="e">
        <f>IF(OR(Automakers!$D$73=Lists!$B$26,Automakers!$D$73=Lists!$B$27,Automakers!$D$73=Lists!$B$28),"Scope 3 emissions intensity ("&amp;C111&amp;")","Scope 1 emissions intensity ("&amp;C111&amp;")")</f>
        <v>#N/A</v>
      </c>
      <c r="C111" s="178" t="e">
        <f>INDEX(Lists!$E$2:$E$50,MATCH(Automakers!$D$73,Lists!$B$2:$B$50,0))</f>
        <v>#N/A</v>
      </c>
      <c r="E111" s="179" t="e">
        <f>IFERROR(E109*INDEX(Lists!$F$6:$F$50,MATCH(Automakers!$D$73,Lists!$B$2:$B$50,0))*1000/#REF!,NA())</f>
        <v>#N/A</v>
      </c>
      <c r="F111" s="179" t="e">
        <f>IFERROR(F109*INDEX(Lists!$F$6:$F$50,MATCH(Automakers!$D$73,Lists!$B$2:$B$50,0))*1000/#REF!,NA())</f>
        <v>#N/A</v>
      </c>
      <c r="G111" s="179" t="e">
        <f>IFERROR(G109*INDEX(Lists!$F$6:$F$50,MATCH(Automakers!$D$73,Lists!$B$2:$B$50,0))*1000/#REF!,NA())</f>
        <v>#N/A</v>
      </c>
      <c r="H111" s="179" t="e">
        <f>IFERROR(H109*INDEX(Lists!$F$6:$F$50,MATCH(Automakers!$D$73,Lists!$B$2:$B$50,0))*1000/#REF!,NA())</f>
        <v>#N/A</v>
      </c>
      <c r="I111" s="179" t="e">
        <f>IFERROR(I109*INDEX(Lists!$F$6:$F$50,MATCH(Automakers!$D$73,Lists!$B$2:$B$50,0))*1000/#REF!,NA())</f>
        <v>#N/A</v>
      </c>
      <c r="J111" s="179" t="e">
        <f>IFERROR(J109*INDEX(Lists!$F$6:$F$50,MATCH(Automakers!$D$73,Lists!$B$2:$B$50,0))*1000/#REF!,NA())</f>
        <v>#N/A</v>
      </c>
      <c r="K111" s="179" t="e">
        <f>IFERROR(K109*INDEX(Lists!$F$6:$F$50,MATCH(Automakers!$D$73,Lists!$B$2:$B$50,0))*1000/#REF!,NA())</f>
        <v>#N/A</v>
      </c>
      <c r="L111" s="179" t="e">
        <f>IFERROR(L109*INDEX(Lists!$F$6:$F$50,MATCH(Automakers!$D$73,Lists!$B$2:$B$50,0))*1000/#REF!,NA())</f>
        <v>#N/A</v>
      </c>
      <c r="M111" s="179" t="e">
        <f>IFERROR(M109*INDEX(Lists!$F$6:$F$50,MATCH(Automakers!$D$73,Lists!$B$2:$B$50,0))*1000/#REF!,NA())</f>
        <v>#N/A</v>
      </c>
      <c r="N111" s="179" t="e">
        <f>IFERROR(N109*INDEX(Lists!$F$6:$F$50,MATCH(Automakers!$D$73,Lists!$B$2:$B$50,0))*1000/#REF!,NA())</f>
        <v>#N/A</v>
      </c>
      <c r="O111" s="179" t="e">
        <f>IFERROR(O109*INDEX(Lists!$F$6:$F$50,MATCH(Automakers!$D$73,Lists!$B$2:$B$50,0))*1000/#REF!,NA())</f>
        <v>#N/A</v>
      </c>
      <c r="P111" s="179" t="e">
        <f>IFERROR(P109*INDEX(Lists!$F$6:$F$50,MATCH(Automakers!$D$73,Lists!$B$2:$B$50,0))*1000/#REF!,NA())</f>
        <v>#N/A</v>
      </c>
      <c r="Q111" s="179" t="e">
        <f>IFERROR(Q109*INDEX(Lists!$F$6:$F$50,MATCH(Automakers!$D$73,Lists!$B$2:$B$50,0))*1000/#REF!,NA())</f>
        <v>#N/A</v>
      </c>
      <c r="R111" s="179" t="e">
        <f>IFERROR(R109*INDEX(Lists!$F$6:$F$50,MATCH(Automakers!$D$73,Lists!$B$2:$B$50,0))*1000/#REF!,NA())</f>
        <v>#N/A</v>
      </c>
      <c r="S111" s="179" t="e">
        <f>IFERROR(S109*INDEX(Lists!$F$6:$F$50,MATCH(Automakers!$D$73,Lists!$B$2:$B$50,0))*1000/#REF!,NA())</f>
        <v>#N/A</v>
      </c>
      <c r="T111" s="179" t="e">
        <f>IFERROR(T109*INDEX(Lists!$F$6:$F$50,MATCH(Automakers!$D$73,Lists!$B$2:$B$50,0))*1000/#REF!,NA())</f>
        <v>#N/A</v>
      </c>
      <c r="U111" s="179" t="e">
        <f>IFERROR(U109*INDEX(Lists!$F$6:$F$50,MATCH(Automakers!$D$73,Lists!$B$2:$B$50,0))*1000/#REF!,NA())</f>
        <v>#N/A</v>
      </c>
      <c r="V111" s="179" t="e">
        <f>IFERROR(V109*INDEX(Lists!$F$6:$F$50,MATCH(Automakers!$D$73,Lists!$B$2:$B$50,0))*1000/#REF!,NA())</f>
        <v>#N/A</v>
      </c>
      <c r="W111" s="179" t="e">
        <f>IFERROR(W109*INDEX(Lists!$F$6:$F$50,MATCH(Automakers!$D$73,Lists!$B$2:$B$50,0))*1000/#REF!,NA())</f>
        <v>#N/A</v>
      </c>
      <c r="X111" s="179" t="e">
        <f>IFERROR(X109*INDEX(Lists!$F$6:$F$50,MATCH(Automakers!$D$73,Lists!$B$2:$B$50,0))*1000/#REF!,NA())</f>
        <v>#N/A</v>
      </c>
      <c r="Y111" s="179" t="e">
        <f>IFERROR(Y109*INDEX(Lists!$F$6:$F$50,MATCH(Automakers!$D$73,Lists!$B$2:$B$50,0))*1000/#REF!,NA())</f>
        <v>#N/A</v>
      </c>
      <c r="Z111" s="179" t="e">
        <f>IFERROR(Z109*INDEX(Lists!$F$6:$F$50,MATCH(Automakers!$D$73,Lists!$B$2:$B$50,0))*1000/#REF!,NA())</f>
        <v>#N/A</v>
      </c>
      <c r="AA111" s="179" t="e">
        <f>IFERROR(AA109*INDEX(Lists!$F$6:$F$50,MATCH(Automakers!$D$73,Lists!$B$2:$B$50,0))*1000/#REF!,NA())</f>
        <v>#N/A</v>
      </c>
      <c r="AB111" s="179" t="e">
        <f>IFERROR(AB109*INDEX(Lists!$F$6:$F$50,MATCH(Automakers!$D$73,Lists!$B$2:$B$50,0))*1000/#REF!,NA())</f>
        <v>#N/A</v>
      </c>
      <c r="AC111" s="179" t="e">
        <f>IFERROR(AC109*INDEX(Lists!$F$6:$F$50,MATCH(Automakers!$D$73,Lists!$B$2:$B$50,0))*1000/#REF!,NA())</f>
        <v>#N/A</v>
      </c>
      <c r="AD111" s="179" t="e">
        <f>IFERROR(AD109*INDEX(Lists!$F$6:$F$50,MATCH(Automakers!$D$73,Lists!$B$2:$B$50,0))*1000/#REF!,NA())</f>
        <v>#N/A</v>
      </c>
      <c r="AE111" s="179" t="e">
        <f>IFERROR(AE109*INDEX(Lists!$F$6:$F$50,MATCH(Automakers!$D$73,Lists!$B$2:$B$50,0))*1000/#REF!,NA())</f>
        <v>#N/A</v>
      </c>
      <c r="AF111" s="179" t="e">
        <f>IFERROR(AF109*INDEX(Lists!$F$6:$F$50,MATCH(Automakers!$D$73,Lists!$B$2:$B$50,0))*1000/#REF!,NA())</f>
        <v>#N/A</v>
      </c>
      <c r="AG111" s="179" t="e">
        <f>IFERROR(AG109*INDEX(Lists!$F$6:$F$50,MATCH(Automakers!$D$73,Lists!$B$2:$B$50,0))*1000/#REF!,NA())</f>
        <v>#N/A</v>
      </c>
      <c r="AH111" s="179" t="e">
        <f>IFERROR(AH109*INDEX(Lists!$F$6:$F$50,MATCH(Automakers!$D$73,Lists!$B$2:$B$50,0))*1000/#REF!,NA())</f>
        <v>#N/A</v>
      </c>
      <c r="AI111" s="179" t="e">
        <f>IFERROR(AI109*INDEX(Lists!$F$6:$F$50,MATCH(Automakers!$D$73,Lists!$B$2:$B$50,0))*1000/#REF!,NA())</f>
        <v>#N/A</v>
      </c>
    </row>
    <row r="112" spans="1:35" s="178" customFormat="1" hidden="1" x14ac:dyDescent="0.15">
      <c r="A112" s="178" t="s">
        <v>13</v>
      </c>
      <c r="B112" s="178" t="e">
        <f>"Scope 2 emissions intensity ("&amp;C112&amp;")"</f>
        <v>#N/A</v>
      </c>
      <c r="C112" s="178" t="e">
        <f>INDEX(Lists!$E$2:$E$50,MATCH(Automakers!$D$73,Lists!$B$2:$B$50,0))</f>
        <v>#N/A</v>
      </c>
      <c r="E112" s="179" t="e">
        <f>IFERROR(E110*INDEX(Lists!$F$6:$F$50,MATCH(Automakers!$D$73,Lists!$B$2:$B$50,0))*1000/#REF!,NA())</f>
        <v>#N/A</v>
      </c>
      <c r="F112" s="179" t="e">
        <f>IFERROR(F110*INDEX(Lists!$F$6:$F$50,MATCH(Automakers!$D$73,Lists!$B$2:$B$50,0))*1000/#REF!,NA())</f>
        <v>#N/A</v>
      </c>
      <c r="G112" s="179" t="e">
        <f>IFERROR(G110*INDEX(Lists!$F$6:$F$50,MATCH(Automakers!$D$73,Lists!$B$2:$B$50,0))*1000/#REF!,NA())</f>
        <v>#N/A</v>
      </c>
      <c r="H112" s="179" t="e">
        <f>IFERROR(H110*INDEX(Lists!$F$6:$F$50,MATCH(Automakers!$D$73,Lists!$B$2:$B$50,0))*1000/#REF!,NA())</f>
        <v>#N/A</v>
      </c>
      <c r="I112" s="179" t="e">
        <f>IFERROR(I110*INDEX(Lists!$F$6:$F$50,MATCH(Automakers!$D$73,Lists!$B$2:$B$50,0))*1000/#REF!,NA())</f>
        <v>#N/A</v>
      </c>
      <c r="J112" s="179" t="e">
        <f>IFERROR(J110*INDEX(Lists!$F$6:$F$50,MATCH(Automakers!$D$73,Lists!$B$2:$B$50,0))*1000/#REF!,NA())</f>
        <v>#N/A</v>
      </c>
      <c r="K112" s="179" t="e">
        <f>IFERROR(K110*INDEX(Lists!$F$6:$F$50,MATCH(Automakers!$D$73,Lists!$B$2:$B$50,0))*1000/#REF!,NA())</f>
        <v>#N/A</v>
      </c>
      <c r="L112" s="179" t="e">
        <f>IFERROR(L110*INDEX(Lists!$F$6:$F$50,MATCH(Automakers!$D$73,Lists!$B$2:$B$50,0))*1000/#REF!,NA())</f>
        <v>#N/A</v>
      </c>
      <c r="M112" s="179" t="e">
        <f>IFERROR(M110*INDEX(Lists!$F$6:$F$50,MATCH(Automakers!$D$73,Lists!$B$2:$B$50,0))*1000/#REF!,NA())</f>
        <v>#N/A</v>
      </c>
      <c r="N112" s="179" t="e">
        <f>IFERROR(N110*INDEX(Lists!$F$6:$F$50,MATCH(Automakers!$D$73,Lists!$B$2:$B$50,0))*1000/#REF!,NA())</f>
        <v>#N/A</v>
      </c>
      <c r="O112" s="179" t="e">
        <f>IFERROR(O110*INDEX(Lists!$F$6:$F$50,MATCH(Automakers!$D$73,Lists!$B$2:$B$50,0))*1000/#REF!,NA())</f>
        <v>#N/A</v>
      </c>
      <c r="P112" s="179" t="e">
        <f>IFERROR(P110*INDEX(Lists!$F$6:$F$50,MATCH(Automakers!$D$73,Lists!$B$2:$B$50,0))*1000/#REF!,NA())</f>
        <v>#N/A</v>
      </c>
      <c r="Q112" s="179" t="e">
        <f>IFERROR(Q110*INDEX(Lists!$F$6:$F$50,MATCH(Automakers!$D$73,Lists!$B$2:$B$50,0))*1000/#REF!,NA())</f>
        <v>#N/A</v>
      </c>
      <c r="R112" s="179" t="e">
        <f>IFERROR(R110*INDEX(Lists!$F$6:$F$50,MATCH(Automakers!$D$73,Lists!$B$2:$B$50,0))*1000/#REF!,NA())</f>
        <v>#N/A</v>
      </c>
      <c r="S112" s="179" t="e">
        <f>IFERROR(S110*INDEX(Lists!$F$6:$F$50,MATCH(Automakers!$D$73,Lists!$B$2:$B$50,0))*1000/#REF!,NA())</f>
        <v>#N/A</v>
      </c>
      <c r="T112" s="179" t="e">
        <f>IFERROR(T110*INDEX(Lists!$F$6:$F$50,MATCH(Automakers!$D$73,Lists!$B$2:$B$50,0))*1000/#REF!,NA())</f>
        <v>#N/A</v>
      </c>
      <c r="U112" s="179" t="e">
        <f>IFERROR(U110*INDEX(Lists!$F$6:$F$50,MATCH(Automakers!$D$73,Lists!$B$2:$B$50,0))*1000/#REF!,NA())</f>
        <v>#N/A</v>
      </c>
      <c r="V112" s="179" t="e">
        <f>IFERROR(V110*INDEX(Lists!$F$6:$F$50,MATCH(Automakers!$D$73,Lists!$B$2:$B$50,0))*1000/#REF!,NA())</f>
        <v>#N/A</v>
      </c>
      <c r="W112" s="179" t="e">
        <f>IFERROR(W110*INDEX(Lists!$F$6:$F$50,MATCH(Automakers!$D$73,Lists!$B$2:$B$50,0))*1000/#REF!,NA())</f>
        <v>#N/A</v>
      </c>
      <c r="X112" s="179" t="e">
        <f>IFERROR(X110*INDEX(Lists!$F$6:$F$50,MATCH(Automakers!$D$73,Lists!$B$2:$B$50,0))*1000/#REF!,NA())</f>
        <v>#N/A</v>
      </c>
      <c r="Y112" s="179" t="e">
        <f>IFERROR(Y110*INDEX(Lists!$F$6:$F$50,MATCH(Automakers!$D$73,Lists!$B$2:$B$50,0))*1000/#REF!,NA())</f>
        <v>#N/A</v>
      </c>
      <c r="Z112" s="179" t="e">
        <f>IFERROR(Z110*INDEX(Lists!$F$6:$F$50,MATCH(Automakers!$D$73,Lists!$B$2:$B$50,0))*1000/#REF!,NA())</f>
        <v>#N/A</v>
      </c>
      <c r="AA112" s="179" t="e">
        <f>IFERROR(AA110*INDEX(Lists!$F$6:$F$50,MATCH(Automakers!$D$73,Lists!$B$2:$B$50,0))*1000/#REF!,NA())</f>
        <v>#N/A</v>
      </c>
      <c r="AB112" s="179" t="e">
        <f>IFERROR(AB110*INDEX(Lists!$F$6:$F$50,MATCH(Automakers!$D$73,Lists!$B$2:$B$50,0))*1000/#REF!,NA())</f>
        <v>#N/A</v>
      </c>
      <c r="AC112" s="179" t="e">
        <f>IFERROR(AC110*INDEX(Lists!$F$6:$F$50,MATCH(Automakers!$D$73,Lists!$B$2:$B$50,0))*1000/#REF!,NA())</f>
        <v>#N/A</v>
      </c>
      <c r="AD112" s="179" t="e">
        <f>IFERROR(AD110*INDEX(Lists!$F$6:$F$50,MATCH(Automakers!$D$73,Lists!$B$2:$B$50,0))*1000/#REF!,NA())</f>
        <v>#N/A</v>
      </c>
      <c r="AE112" s="179" t="e">
        <f>IFERROR(AE110*INDEX(Lists!$F$6:$F$50,MATCH(Automakers!$D$73,Lists!$B$2:$B$50,0))*1000/#REF!,NA())</f>
        <v>#N/A</v>
      </c>
      <c r="AF112" s="179" t="e">
        <f>IFERROR(AF110*INDEX(Lists!$F$6:$F$50,MATCH(Automakers!$D$73,Lists!$B$2:$B$50,0))*1000/#REF!,NA())</f>
        <v>#N/A</v>
      </c>
      <c r="AG112" s="179" t="e">
        <f>IFERROR(AG110*INDEX(Lists!$F$6:$F$50,MATCH(Automakers!$D$73,Lists!$B$2:$B$50,0))*1000/#REF!,NA())</f>
        <v>#N/A</v>
      </c>
      <c r="AH112" s="179" t="e">
        <f>IFERROR(AH110*INDEX(Lists!$F$6:$F$50,MATCH(Automakers!$D$73,Lists!$B$2:$B$50,0))*1000/#REF!,NA())</f>
        <v>#N/A</v>
      </c>
      <c r="AI112" s="179" t="e">
        <f>IFERROR(AI110*INDEX(Lists!$F$6:$F$50,MATCH(Automakers!$D$73,Lists!$B$2:$B$50,0))*1000/#REF!,NA())</f>
        <v>#N/A</v>
      </c>
    </row>
    <row r="113" spans="1:35" s="178" customFormat="1" hidden="1" x14ac:dyDescent="0.15">
      <c r="E113" s="179"/>
      <c r="F113" s="179"/>
      <c r="G113" s="179"/>
      <c r="H113" s="179"/>
      <c r="I113" s="179"/>
      <c r="J113" s="179"/>
      <c r="K113" s="179"/>
      <c r="L113" s="179"/>
      <c r="M113" s="179"/>
      <c r="N113" s="179"/>
      <c r="O113" s="179"/>
      <c r="P113" s="179"/>
      <c r="Q113" s="179"/>
      <c r="R113" s="179"/>
      <c r="S113" s="179"/>
      <c r="T113" s="179"/>
      <c r="U113" s="179"/>
      <c r="V113" s="179"/>
      <c r="W113" s="179"/>
      <c r="X113" s="179"/>
      <c r="Y113" s="179"/>
      <c r="Z113" s="179"/>
      <c r="AA113" s="179"/>
      <c r="AB113" s="179"/>
      <c r="AC113" s="179"/>
      <c r="AD113" s="179"/>
      <c r="AE113" s="179"/>
      <c r="AF113" s="179"/>
      <c r="AG113" s="179"/>
      <c r="AH113" s="179"/>
      <c r="AI113" s="179"/>
    </row>
    <row r="114" spans="1:35" s="178" customFormat="1" hidden="1" x14ac:dyDescent="0.15">
      <c r="A114" s="189" t="s">
        <v>12</v>
      </c>
      <c r="E114" s="179"/>
      <c r="F114" s="179"/>
      <c r="G114" s="179"/>
      <c r="H114" s="179"/>
      <c r="I114" s="179"/>
      <c r="J114" s="179"/>
      <c r="K114" s="179"/>
      <c r="L114" s="179"/>
      <c r="M114" s="179"/>
      <c r="N114" s="179"/>
      <c r="O114" s="179"/>
      <c r="P114" s="179"/>
      <c r="Q114" s="179"/>
      <c r="R114" s="179"/>
      <c r="S114" s="179"/>
      <c r="T114" s="179"/>
      <c r="U114" s="179"/>
      <c r="V114" s="179"/>
      <c r="W114" s="179"/>
      <c r="X114" s="179"/>
      <c r="Y114" s="179"/>
      <c r="Z114" s="179"/>
      <c r="AA114" s="179"/>
      <c r="AB114" s="179"/>
      <c r="AC114" s="179"/>
      <c r="AD114" s="179"/>
      <c r="AE114" s="179"/>
      <c r="AF114" s="179"/>
      <c r="AG114" s="179"/>
      <c r="AH114" s="179"/>
      <c r="AI114" s="179"/>
    </row>
    <row r="115" spans="1:35" s="178" customFormat="1" hidden="1" x14ac:dyDescent="0.15">
      <c r="A115" s="189"/>
      <c r="E115" s="179"/>
      <c r="F115" s="179"/>
      <c r="G115" s="179"/>
      <c r="H115" s="179"/>
      <c r="I115" s="179"/>
      <c r="J115" s="179"/>
      <c r="K115" s="179"/>
      <c r="L115" s="179"/>
      <c r="M115" s="179"/>
      <c r="N115" s="179"/>
      <c r="O115" s="179"/>
      <c r="P115" s="179"/>
      <c r="Q115" s="179"/>
      <c r="R115" s="179"/>
      <c r="S115" s="179"/>
      <c r="T115" s="179"/>
      <c r="U115" s="179"/>
      <c r="V115" s="179"/>
      <c r="W115" s="179"/>
      <c r="X115" s="179"/>
      <c r="Y115" s="179"/>
      <c r="Z115" s="179"/>
      <c r="AA115" s="179"/>
      <c r="AB115" s="179"/>
      <c r="AC115" s="179"/>
      <c r="AD115" s="179"/>
      <c r="AE115" s="179"/>
      <c r="AF115" s="179"/>
      <c r="AG115" s="179"/>
      <c r="AH115" s="179"/>
      <c r="AI115" s="179"/>
    </row>
    <row r="116" spans="1:35" s="178" customFormat="1" hidden="1" x14ac:dyDescent="0.15">
      <c r="A116" s="178" t="s">
        <v>8</v>
      </c>
      <c r="B116" s="178" t="str">
        <f>IF(OR(Automakers!$D$73=Lists!$B$26,Automakers!$D$73=Lists!$B$27,Automakers!$D$73=Lists!$B$28),"Scope 3 emissions ("&amp;C116&amp;")","Scope 1 emissions ("&amp;C116&amp;")")</f>
        <v>Scope 3 emissions (MtCO2)</v>
      </c>
      <c r="C116" s="178" t="s">
        <v>6</v>
      </c>
      <c r="E116" s="179" t="e">
        <f>IFERROR(IF(HLOOKUP(Automakers!$D$27,$E$1:$AI$41,ROW(#REF!),)&lt;0,NA(),IF(E$1&lt;Automakers!$D$24,NA(),IF(E$1&gt;Automakers!$D$27,NA(),Automakers!$D$25*(((Automakers!$D$25*(HLOOKUP(Automakers!$D$27,$E$1:$AI$41,ROW(#REF!),)/HLOOKUP(Automakers!$D$24,$E$1:$AI$41,ROW(#REF!),)))/Automakers!$D$25)^(1/(Automakers!$D$27-Automakers!$D$24)))^(E$1-Automakers!$D$24)))/1000),NA())</f>
        <v>#N/A</v>
      </c>
      <c r="F116" s="179" t="e">
        <f>IFERROR(IF(HLOOKUP(Automakers!$D$27,$E$1:$AI$41,ROW(#REF!),)&lt;0,NA(),IF(F$1&lt;Automakers!$D$24,NA(),IF(F$1&gt;Automakers!$D$27,NA(),Automakers!$D$25*(((Automakers!$D$25*(HLOOKUP(Automakers!$D$27,$E$1:$AI$41,ROW(#REF!),)/HLOOKUP(Automakers!$D$24,$E$1:$AI$41,ROW(#REF!),)))/Automakers!$D$25)^(1/(Automakers!$D$27-Automakers!$D$24)))^(F$1-Automakers!$D$24)))/1000),NA())</f>
        <v>#N/A</v>
      </c>
      <c r="G116" s="179" t="e">
        <f>IFERROR(IF(HLOOKUP(Automakers!$D$27,$E$1:$AI$41,ROW(#REF!),)&lt;0,NA(),IF(G$1&lt;Automakers!$D$24,NA(),IF(G$1&gt;Automakers!$D$27,NA(),Automakers!$D$25*(((Automakers!$D$25*(HLOOKUP(Automakers!$D$27,$E$1:$AI$41,ROW(#REF!),)/HLOOKUP(Automakers!$D$24,$E$1:$AI$41,ROW(#REF!),)))/Automakers!$D$25)^(1/(Automakers!$D$27-Automakers!$D$24)))^(G$1-Automakers!$D$24)))/1000),NA())</f>
        <v>#N/A</v>
      </c>
      <c r="H116" s="179" t="e">
        <f>IFERROR(IF(HLOOKUP(Automakers!$D$27,$E$1:$AI$41,ROW(#REF!),)&lt;0,NA(),IF(H$1&lt;Automakers!$D$24,NA(),IF(H$1&gt;Automakers!$D$27,NA(),Automakers!$D$25*(((Automakers!$D$25*(HLOOKUP(Automakers!$D$27,$E$1:$AI$41,ROW(#REF!),)/HLOOKUP(Automakers!$D$24,$E$1:$AI$41,ROW(#REF!),)))/Automakers!$D$25)^(1/(Automakers!$D$27-Automakers!$D$24)))^(H$1-Automakers!$D$24)))/1000),NA())</f>
        <v>#N/A</v>
      </c>
      <c r="I116" s="179" t="e">
        <f>IFERROR(IF(HLOOKUP(Automakers!$D$27,$E$1:$AI$41,ROW(#REF!),)&lt;0,NA(),IF(I$1&lt;Automakers!$D$24,NA(),IF(I$1&gt;Automakers!$D$27,NA(),Automakers!$D$25*(((Automakers!$D$25*(HLOOKUP(Automakers!$D$27,$E$1:$AI$41,ROW(#REF!),)/HLOOKUP(Automakers!$D$24,$E$1:$AI$41,ROW(#REF!),)))/Automakers!$D$25)^(1/(Automakers!$D$27-Automakers!$D$24)))^(I$1-Automakers!$D$24)))/1000),NA())</f>
        <v>#N/A</v>
      </c>
      <c r="J116" s="179" t="e">
        <f>IFERROR(IF(HLOOKUP(Automakers!$D$27,$E$1:$AI$41,ROW(#REF!),)&lt;0,NA(),IF(J$1&lt;Automakers!$D$24,NA(),IF(J$1&gt;Automakers!$D$27,NA(),Automakers!$D$25*(((Automakers!$D$25*(HLOOKUP(Automakers!$D$27,$E$1:$AI$41,ROW(#REF!),)/HLOOKUP(Automakers!$D$24,$E$1:$AI$41,ROW(#REF!),)))/Automakers!$D$25)^(1/(Automakers!$D$27-Automakers!$D$24)))^(J$1-Automakers!$D$24)))/1000),NA())</f>
        <v>#N/A</v>
      </c>
      <c r="K116" s="179" t="e">
        <f>IFERROR(IF(HLOOKUP(Automakers!$D$27,$E$1:$AI$41,ROW(#REF!),)&lt;0,NA(),IF(K$1&lt;Automakers!$D$24,NA(),IF(K$1&gt;Automakers!$D$27,NA(),Automakers!$D$25*(((Automakers!$D$25*(HLOOKUP(Automakers!$D$27,$E$1:$AI$41,ROW(#REF!),)/HLOOKUP(Automakers!$D$24,$E$1:$AI$41,ROW(#REF!),)))/Automakers!$D$25)^(1/(Automakers!$D$27-Automakers!$D$24)))^(K$1-Automakers!$D$24)))/1000),NA())</f>
        <v>#N/A</v>
      </c>
      <c r="L116" s="179" t="e">
        <f>IFERROR(IF(HLOOKUP(Automakers!$D$27,$E$1:$AI$41,ROW(#REF!),)&lt;0,NA(),IF(L$1&lt;Automakers!$D$24,NA(),IF(L$1&gt;Automakers!$D$27,NA(),Automakers!$D$25*(((Automakers!$D$25*(HLOOKUP(Automakers!$D$27,$E$1:$AI$41,ROW(#REF!),)/HLOOKUP(Automakers!$D$24,$E$1:$AI$41,ROW(#REF!),)))/Automakers!$D$25)^(1/(Automakers!$D$27-Automakers!$D$24)))^(L$1-Automakers!$D$24)))/1000),NA())</f>
        <v>#N/A</v>
      </c>
      <c r="M116" s="179" t="e">
        <f>IFERROR(IF(HLOOKUP(Automakers!$D$27,$E$1:$AI$41,ROW(#REF!),)&lt;0,NA(),IF(M$1&lt;Automakers!$D$24,NA(),IF(M$1&gt;Automakers!$D$27,NA(),Automakers!$D$25*(((Automakers!$D$25*(HLOOKUP(Automakers!$D$27,$E$1:$AI$41,ROW(#REF!),)/HLOOKUP(Automakers!$D$24,$E$1:$AI$41,ROW(#REF!),)))/Automakers!$D$25)^(1/(Automakers!$D$27-Automakers!$D$24)))^(M$1-Automakers!$D$24)))/1000),NA())</f>
        <v>#N/A</v>
      </c>
      <c r="N116" s="179" t="e">
        <f>IFERROR(IF(HLOOKUP(Automakers!$D$27,$E$1:$AI$41,ROW(#REF!),)&lt;0,NA(),IF(N$1&lt;Automakers!$D$24,NA(),IF(N$1&gt;Automakers!$D$27,NA(),Automakers!$D$25*(((Automakers!$D$25*(HLOOKUP(Automakers!$D$27,$E$1:$AI$41,ROW(#REF!),)/HLOOKUP(Automakers!$D$24,$E$1:$AI$41,ROW(#REF!),)))/Automakers!$D$25)^(1/(Automakers!$D$27-Automakers!$D$24)))^(N$1-Automakers!$D$24)))/1000),NA())</f>
        <v>#N/A</v>
      </c>
      <c r="O116" s="179" t="e">
        <f>IFERROR(IF(HLOOKUP(Automakers!$D$27,$E$1:$AI$41,ROW(#REF!),)&lt;0,NA(),IF(O$1&lt;Automakers!$D$24,NA(),IF(O$1&gt;Automakers!$D$27,NA(),Automakers!$D$25*(((Automakers!$D$25*(HLOOKUP(Automakers!$D$27,$E$1:$AI$41,ROW(#REF!),)/HLOOKUP(Automakers!$D$24,$E$1:$AI$41,ROW(#REF!),)))/Automakers!$D$25)^(1/(Automakers!$D$27-Automakers!$D$24)))^(O$1-Automakers!$D$24)))/1000),NA())</f>
        <v>#N/A</v>
      </c>
      <c r="P116" s="179" t="e">
        <f>IFERROR(IF(HLOOKUP(Automakers!$D$27,$E$1:$AI$41,ROW(#REF!),)&lt;0,NA(),IF(P$1&lt;Automakers!$D$24,NA(),IF(P$1&gt;Automakers!$D$27,NA(),Automakers!$D$25*(((Automakers!$D$25*(HLOOKUP(Automakers!$D$27,$E$1:$AI$41,ROW(#REF!),)/HLOOKUP(Automakers!$D$24,$E$1:$AI$41,ROW(#REF!),)))/Automakers!$D$25)^(1/(Automakers!$D$27-Automakers!$D$24)))^(P$1-Automakers!$D$24)))/1000),NA())</f>
        <v>#N/A</v>
      </c>
      <c r="Q116" s="179" t="e">
        <f>IFERROR(IF(HLOOKUP(Automakers!$D$27,$E$1:$AI$41,ROW(#REF!),)&lt;0,NA(),IF(Q$1&lt;Automakers!$D$24,NA(),IF(Q$1&gt;Automakers!$D$27,NA(),Automakers!$D$25*(((Automakers!$D$25*(HLOOKUP(Automakers!$D$27,$E$1:$AI$41,ROW(#REF!),)/HLOOKUP(Automakers!$D$24,$E$1:$AI$41,ROW(#REF!),)))/Automakers!$D$25)^(1/(Automakers!$D$27-Automakers!$D$24)))^(Q$1-Automakers!$D$24)))/1000),NA())</f>
        <v>#N/A</v>
      </c>
      <c r="R116" s="179" t="e">
        <f>IFERROR(IF(HLOOKUP(Automakers!$D$27,$E$1:$AI$41,ROW(#REF!),)&lt;0,NA(),IF(R$1&lt;Automakers!$D$24,NA(),IF(R$1&gt;Automakers!$D$27,NA(),Automakers!$D$25*(((Automakers!$D$25*(HLOOKUP(Automakers!$D$27,$E$1:$AI$41,ROW(#REF!),)/HLOOKUP(Automakers!$D$24,$E$1:$AI$41,ROW(#REF!),)))/Automakers!$D$25)^(1/(Automakers!$D$27-Automakers!$D$24)))^(R$1-Automakers!$D$24)))/1000),NA())</f>
        <v>#N/A</v>
      </c>
      <c r="S116" s="179" t="e">
        <f>IFERROR(IF(HLOOKUP(Automakers!$D$27,$E$1:$AI$41,ROW(#REF!),)&lt;0,NA(),IF(S$1&lt;Automakers!$D$24,NA(),IF(S$1&gt;Automakers!$D$27,NA(),Automakers!$D$25*(((Automakers!$D$25*(HLOOKUP(Automakers!$D$27,$E$1:$AI$41,ROW(#REF!),)/HLOOKUP(Automakers!$D$24,$E$1:$AI$41,ROW(#REF!),)))/Automakers!$D$25)^(1/(Automakers!$D$27-Automakers!$D$24)))^(S$1-Automakers!$D$24)))/1000),NA())</f>
        <v>#N/A</v>
      </c>
      <c r="T116" s="179" t="e">
        <f>IFERROR(IF(HLOOKUP(Automakers!$D$27,$E$1:$AI$41,ROW(#REF!),)&lt;0,NA(),IF(T$1&lt;Automakers!$D$24,NA(),IF(T$1&gt;Automakers!$D$27,NA(),Automakers!$D$25*(((Automakers!$D$25*(HLOOKUP(Automakers!$D$27,$E$1:$AI$41,ROW(#REF!),)/HLOOKUP(Automakers!$D$24,$E$1:$AI$41,ROW(#REF!),)))/Automakers!$D$25)^(1/(Automakers!$D$27-Automakers!$D$24)))^(T$1-Automakers!$D$24)))/1000),NA())</f>
        <v>#N/A</v>
      </c>
      <c r="U116" s="179" t="e">
        <f>IFERROR(IF(HLOOKUP(Automakers!$D$27,$E$1:$AI$41,ROW(#REF!),)&lt;0,NA(),IF(U$1&lt;Automakers!$D$24,NA(),IF(U$1&gt;Automakers!$D$27,NA(),Automakers!$D$25*(((Automakers!$D$25*(HLOOKUP(Automakers!$D$27,$E$1:$AI$41,ROW(#REF!),)/HLOOKUP(Automakers!$D$24,$E$1:$AI$41,ROW(#REF!),)))/Automakers!$D$25)^(1/(Automakers!$D$27-Automakers!$D$24)))^(U$1-Automakers!$D$24)))/1000),NA())</f>
        <v>#N/A</v>
      </c>
      <c r="V116" s="179" t="e">
        <f>IFERROR(IF(HLOOKUP(Automakers!$D$27,$E$1:$AI$41,ROW(#REF!),)&lt;0,NA(),IF(V$1&lt;Automakers!$D$24,NA(),IF(V$1&gt;Automakers!$D$27,NA(),Automakers!$D$25*(((Automakers!$D$25*(HLOOKUP(Automakers!$D$27,$E$1:$AI$41,ROW(#REF!),)/HLOOKUP(Automakers!$D$24,$E$1:$AI$41,ROW(#REF!),)))/Automakers!$D$25)^(1/(Automakers!$D$27-Automakers!$D$24)))^(V$1-Automakers!$D$24)))/1000),NA())</f>
        <v>#N/A</v>
      </c>
      <c r="W116" s="179" t="e">
        <f>IFERROR(IF(HLOOKUP(Automakers!$D$27,$E$1:$AI$41,ROW(#REF!),)&lt;0,NA(),IF(W$1&lt;Automakers!$D$24,NA(),IF(W$1&gt;Automakers!$D$27,NA(),Automakers!$D$25*(((Automakers!$D$25*(HLOOKUP(Automakers!$D$27,$E$1:$AI$41,ROW(#REF!),)/HLOOKUP(Automakers!$D$24,$E$1:$AI$41,ROW(#REF!),)))/Automakers!$D$25)^(1/(Automakers!$D$27-Automakers!$D$24)))^(W$1-Automakers!$D$24)))/1000),NA())</f>
        <v>#N/A</v>
      </c>
      <c r="X116" s="179" t="e">
        <f>IFERROR(IF(HLOOKUP(Automakers!$D$27,$E$1:$AI$41,ROW(#REF!),)&lt;0,NA(),IF(X$1&lt;Automakers!$D$24,NA(),IF(X$1&gt;Automakers!$D$27,NA(),Automakers!$D$25*(((Automakers!$D$25*(HLOOKUP(Automakers!$D$27,$E$1:$AI$41,ROW(#REF!),)/HLOOKUP(Automakers!$D$24,$E$1:$AI$41,ROW(#REF!),)))/Automakers!$D$25)^(1/(Automakers!$D$27-Automakers!$D$24)))^(X$1-Automakers!$D$24)))/1000),NA())</f>
        <v>#N/A</v>
      </c>
      <c r="Y116" s="179" t="e">
        <f>IFERROR(IF(HLOOKUP(Automakers!$D$27,$E$1:$AI$41,ROW(#REF!),)&lt;0,NA(),IF(Y$1&lt;Automakers!$D$24,NA(),IF(Y$1&gt;Automakers!$D$27,NA(),Automakers!$D$25*(((Automakers!$D$25*(HLOOKUP(Automakers!$D$27,$E$1:$AI$41,ROW(#REF!),)/HLOOKUP(Automakers!$D$24,$E$1:$AI$41,ROW(#REF!),)))/Automakers!$D$25)^(1/(Automakers!$D$27-Automakers!$D$24)))^(Y$1-Automakers!$D$24)))/1000),NA())</f>
        <v>#N/A</v>
      </c>
      <c r="Z116" s="179" t="e">
        <f>IFERROR(IF(HLOOKUP(Automakers!$D$27,$E$1:$AI$41,ROW(#REF!),)&lt;0,NA(),IF(Z$1&lt;Automakers!$D$24,NA(),IF(Z$1&gt;Automakers!$D$27,NA(),Automakers!$D$25*(((Automakers!$D$25*(HLOOKUP(Automakers!$D$27,$E$1:$AI$41,ROW(#REF!),)/HLOOKUP(Automakers!$D$24,$E$1:$AI$41,ROW(#REF!),)))/Automakers!$D$25)^(1/(Automakers!$D$27-Automakers!$D$24)))^(Z$1-Automakers!$D$24)))/1000),NA())</f>
        <v>#N/A</v>
      </c>
      <c r="AA116" s="179" t="e">
        <f>IFERROR(IF(HLOOKUP(Automakers!$D$27,$E$1:$AI$41,ROW(#REF!),)&lt;0,NA(),IF(AA$1&lt;Automakers!$D$24,NA(),IF(AA$1&gt;Automakers!$D$27,NA(),Automakers!$D$25*(((Automakers!$D$25*(HLOOKUP(Automakers!$D$27,$E$1:$AI$41,ROW(#REF!),)/HLOOKUP(Automakers!$D$24,$E$1:$AI$41,ROW(#REF!),)))/Automakers!$D$25)^(1/(Automakers!$D$27-Automakers!$D$24)))^(AA$1-Automakers!$D$24)))/1000),NA())</f>
        <v>#N/A</v>
      </c>
      <c r="AB116" s="179" t="e">
        <f>IFERROR(IF(HLOOKUP(Automakers!$D$27,$E$1:$AI$41,ROW(#REF!),)&lt;0,NA(),IF(AB$1&lt;Automakers!$D$24,NA(),IF(AB$1&gt;Automakers!$D$27,NA(),Automakers!$D$25*(((Automakers!$D$25*(HLOOKUP(Automakers!$D$27,$E$1:$AI$41,ROW(#REF!),)/HLOOKUP(Automakers!$D$24,$E$1:$AI$41,ROW(#REF!),)))/Automakers!$D$25)^(1/(Automakers!$D$27-Automakers!$D$24)))^(AB$1-Automakers!$D$24)))/1000),NA())</f>
        <v>#N/A</v>
      </c>
      <c r="AC116" s="179" t="e">
        <f>IFERROR(IF(HLOOKUP(Automakers!$D$27,$E$1:$AI$41,ROW(#REF!),)&lt;0,NA(),IF(AC$1&lt;Automakers!$D$24,NA(),IF(AC$1&gt;Automakers!$D$27,NA(),Automakers!$D$25*(((Automakers!$D$25*(HLOOKUP(Automakers!$D$27,$E$1:$AI$41,ROW(#REF!),)/HLOOKUP(Automakers!$D$24,$E$1:$AI$41,ROW(#REF!),)))/Automakers!$D$25)^(1/(Automakers!$D$27-Automakers!$D$24)))^(AC$1-Automakers!$D$24)))/1000),NA())</f>
        <v>#N/A</v>
      </c>
      <c r="AD116" s="179" t="e">
        <f>IFERROR(IF(HLOOKUP(Automakers!$D$27,$E$1:$AI$41,ROW(#REF!),)&lt;0,NA(),IF(AD$1&lt;Automakers!$D$24,NA(),IF(AD$1&gt;Automakers!$D$27,NA(),Automakers!$D$25*(((Automakers!$D$25*(HLOOKUP(Automakers!$D$27,$E$1:$AI$41,ROW(#REF!),)/HLOOKUP(Automakers!$D$24,$E$1:$AI$41,ROW(#REF!),)))/Automakers!$D$25)^(1/(Automakers!$D$27-Automakers!$D$24)))^(AD$1-Automakers!$D$24)))/1000),NA())</f>
        <v>#N/A</v>
      </c>
      <c r="AE116" s="179" t="e">
        <f>IFERROR(IF(HLOOKUP(Automakers!$D$27,$E$1:$AI$41,ROW(#REF!),)&lt;0,NA(),IF(AE$1&lt;Automakers!$D$24,NA(),IF(AE$1&gt;Automakers!$D$27,NA(),Automakers!$D$25*(((Automakers!$D$25*(HLOOKUP(Automakers!$D$27,$E$1:$AI$41,ROW(#REF!),)/HLOOKUP(Automakers!$D$24,$E$1:$AI$41,ROW(#REF!),)))/Automakers!$D$25)^(1/(Automakers!$D$27-Automakers!$D$24)))^(AE$1-Automakers!$D$24)))/1000),NA())</f>
        <v>#N/A</v>
      </c>
      <c r="AF116" s="179" t="e">
        <f>IFERROR(IF(HLOOKUP(Automakers!$D$27,$E$1:$AI$41,ROW(#REF!),)&lt;0,NA(),IF(AF$1&lt;Automakers!$D$24,NA(),IF(AF$1&gt;Automakers!$D$27,NA(),Automakers!$D$25*(((Automakers!$D$25*(HLOOKUP(Automakers!$D$27,$E$1:$AI$41,ROW(#REF!),)/HLOOKUP(Automakers!$D$24,$E$1:$AI$41,ROW(#REF!),)))/Automakers!$D$25)^(1/(Automakers!$D$27-Automakers!$D$24)))^(AF$1-Automakers!$D$24)))/1000),NA())</f>
        <v>#N/A</v>
      </c>
      <c r="AG116" s="179" t="e">
        <f>IFERROR(IF(HLOOKUP(Automakers!$D$27,$E$1:$AI$41,ROW(#REF!),)&lt;0,NA(),IF(AG$1&lt;Automakers!$D$24,NA(),IF(AG$1&gt;Automakers!$D$27,NA(),Automakers!$D$25*(((Automakers!$D$25*(HLOOKUP(Automakers!$D$27,$E$1:$AI$41,ROW(#REF!),)/HLOOKUP(Automakers!$D$24,$E$1:$AI$41,ROW(#REF!),)))/Automakers!$D$25)^(1/(Automakers!$D$27-Automakers!$D$24)))^(AG$1-Automakers!$D$24)))/1000),NA())</f>
        <v>#N/A</v>
      </c>
      <c r="AH116" s="179" t="e">
        <f>IFERROR(IF(HLOOKUP(Automakers!$D$27,$E$1:$AI$41,ROW(#REF!),)&lt;0,NA(),IF(AH$1&lt;Automakers!$D$24,NA(),IF(AH$1&gt;Automakers!$D$27,NA(),Automakers!$D$25*(((Automakers!$D$25*(HLOOKUP(Automakers!$D$27,$E$1:$AI$41,ROW(#REF!),)/HLOOKUP(Automakers!$D$24,$E$1:$AI$41,ROW(#REF!),)))/Automakers!$D$25)^(1/(Automakers!$D$27-Automakers!$D$24)))^(AH$1-Automakers!$D$24)))/1000),NA())</f>
        <v>#N/A</v>
      </c>
      <c r="AI116" s="179" t="e">
        <f>IFERROR(IF(HLOOKUP(Automakers!$D$27,$E$1:$AI$41,ROW(#REF!),)&lt;0,NA(),IF(AI$1&lt;Automakers!$D$24,NA(),IF(AI$1&gt;Automakers!$D$27,NA(),Automakers!$D$25*(((Automakers!$D$25*(HLOOKUP(Automakers!$D$27,$E$1:$AI$41,ROW(#REF!),)/HLOOKUP(Automakers!$D$24,$E$1:$AI$41,ROW(#REF!),)))/Automakers!$D$25)^(1/(Automakers!$D$27-Automakers!$D$24)))^(AI$1-Automakers!$D$24)))/1000),NA())</f>
        <v>#N/A</v>
      </c>
    </row>
    <row r="117" spans="1:35" s="178" customFormat="1" hidden="1" x14ac:dyDescent="0.15">
      <c r="A117" s="178" t="s">
        <v>10</v>
      </c>
      <c r="B117" s="178" t="str">
        <f>"Scope 2 emissions ("&amp;C117&amp;")"</f>
        <v>Scope 2 emissions (MtCO2)</v>
      </c>
      <c r="C117" s="178" t="s">
        <v>6</v>
      </c>
      <c r="E117" s="179" t="e">
        <f>IFERROR(IF(HLOOKUP(Automakers!$D$27,$E$1:$AI$34,ROW(#REF!),)&lt;0,NA(),IF(E$1&lt;Automakers!$D$24,NA(),IF(E$1&gt;Automakers!$D$27,NA(),Automakers!$D$26*(((Automakers!$D$26*(HLOOKUP(Automakers!$D$27,$E$1:$AI$34,ROW(#REF!),)/HLOOKUP(Automakers!$D$24,$E$1:$AI$34,ROW(#REF!),)))/Automakers!$D$26)^(1/(Automakers!$D$27-Automakers!$D$24)))^(E$1-Automakers!$D$24)))/1000),NA())</f>
        <v>#N/A</v>
      </c>
      <c r="F117" s="179" t="e">
        <f>IFERROR(IF(HLOOKUP(Automakers!$D$27,$E$1:$AI$34,ROW(#REF!),)&lt;0,NA(),IF(F$1&lt;Automakers!$D$24,NA(),IF(F$1&gt;Automakers!$D$27,NA(),Automakers!$D$26*(((Automakers!$D$26*(HLOOKUP(Automakers!$D$27,$E$1:$AI$34,ROW(#REF!),)/HLOOKUP(Automakers!$D$24,$E$1:$AI$34,ROW(#REF!),)))/Automakers!$D$26)^(1/(Automakers!$D$27-Automakers!$D$24)))^(F$1-Automakers!$D$24)))/1000),NA())</f>
        <v>#N/A</v>
      </c>
      <c r="G117" s="179" t="e">
        <f>IFERROR(IF(HLOOKUP(Automakers!$D$27,$E$1:$AI$34,ROW(#REF!),)&lt;0,NA(),IF(G$1&lt;Automakers!$D$24,NA(),IF(G$1&gt;Automakers!$D$27,NA(),Automakers!$D$26*(((Automakers!$D$26*(HLOOKUP(Automakers!$D$27,$E$1:$AI$34,ROW(#REF!),)/HLOOKUP(Automakers!$D$24,$E$1:$AI$34,ROW(#REF!),)))/Automakers!$D$26)^(1/(Automakers!$D$27-Automakers!$D$24)))^(G$1-Automakers!$D$24)))/1000),NA())</f>
        <v>#N/A</v>
      </c>
      <c r="H117" s="179" t="e">
        <f>IFERROR(IF(HLOOKUP(Automakers!$D$27,$E$1:$AI$34,ROW(#REF!),)&lt;0,NA(),IF(H$1&lt;Automakers!$D$24,NA(),IF(H$1&gt;Automakers!$D$27,NA(),Automakers!$D$26*(((Automakers!$D$26*(HLOOKUP(Automakers!$D$27,$E$1:$AI$34,ROW(#REF!),)/HLOOKUP(Automakers!$D$24,$E$1:$AI$34,ROW(#REF!),)))/Automakers!$D$26)^(1/(Automakers!$D$27-Automakers!$D$24)))^(H$1-Automakers!$D$24)))/1000),NA())</f>
        <v>#N/A</v>
      </c>
      <c r="I117" s="179" t="e">
        <f>IFERROR(IF(HLOOKUP(Automakers!$D$27,$E$1:$AI$34,ROW(#REF!),)&lt;0,NA(),IF(I$1&lt;Automakers!$D$24,NA(),IF(I$1&gt;Automakers!$D$27,NA(),Automakers!$D$26*(((Automakers!$D$26*(HLOOKUP(Automakers!$D$27,$E$1:$AI$34,ROW(#REF!),)/HLOOKUP(Automakers!$D$24,$E$1:$AI$34,ROW(#REF!),)))/Automakers!$D$26)^(1/(Automakers!$D$27-Automakers!$D$24)))^(I$1-Automakers!$D$24)))/1000),NA())</f>
        <v>#N/A</v>
      </c>
      <c r="J117" s="179" t="e">
        <f>IFERROR(IF(HLOOKUP(Automakers!$D$27,$E$1:$AI$34,ROW(#REF!),)&lt;0,NA(),IF(J$1&lt;Automakers!$D$24,NA(),IF(J$1&gt;Automakers!$D$27,NA(),Automakers!$D$26*(((Automakers!$D$26*(HLOOKUP(Automakers!$D$27,$E$1:$AI$34,ROW(#REF!),)/HLOOKUP(Automakers!$D$24,$E$1:$AI$34,ROW(#REF!),)))/Automakers!$D$26)^(1/(Automakers!$D$27-Automakers!$D$24)))^(J$1-Automakers!$D$24)))/1000),NA())</f>
        <v>#N/A</v>
      </c>
      <c r="K117" s="179" t="e">
        <f>IFERROR(IF(HLOOKUP(Automakers!$D$27,$E$1:$AI$34,ROW(#REF!),)&lt;0,NA(),IF(K$1&lt;Automakers!$D$24,NA(),IF(K$1&gt;Automakers!$D$27,NA(),Automakers!$D$26*(((Automakers!$D$26*(HLOOKUP(Automakers!$D$27,$E$1:$AI$34,ROW(#REF!),)/HLOOKUP(Automakers!$D$24,$E$1:$AI$34,ROW(#REF!),)))/Automakers!$D$26)^(1/(Automakers!$D$27-Automakers!$D$24)))^(K$1-Automakers!$D$24)))/1000),NA())</f>
        <v>#N/A</v>
      </c>
      <c r="L117" s="179" t="e">
        <f>IFERROR(IF(HLOOKUP(Automakers!$D$27,$E$1:$AI$34,ROW(#REF!),)&lt;0,NA(),IF(L$1&lt;Automakers!$D$24,NA(),IF(L$1&gt;Automakers!$D$27,NA(),Automakers!$D$26*(((Automakers!$D$26*(HLOOKUP(Automakers!$D$27,$E$1:$AI$34,ROW(#REF!),)/HLOOKUP(Automakers!$D$24,$E$1:$AI$34,ROW(#REF!),)))/Automakers!$D$26)^(1/(Automakers!$D$27-Automakers!$D$24)))^(L$1-Automakers!$D$24)))/1000),NA())</f>
        <v>#N/A</v>
      </c>
      <c r="M117" s="179" t="e">
        <f>IFERROR(IF(HLOOKUP(Automakers!$D$27,$E$1:$AI$34,ROW(#REF!),)&lt;0,NA(),IF(M$1&lt;Automakers!$D$24,NA(),IF(M$1&gt;Automakers!$D$27,NA(),Automakers!$D$26*(((Automakers!$D$26*(HLOOKUP(Automakers!$D$27,$E$1:$AI$34,ROW(#REF!),)/HLOOKUP(Automakers!$D$24,$E$1:$AI$34,ROW(#REF!),)))/Automakers!$D$26)^(1/(Automakers!$D$27-Automakers!$D$24)))^(M$1-Automakers!$D$24)))/1000),NA())</f>
        <v>#N/A</v>
      </c>
      <c r="N117" s="179" t="e">
        <f>IFERROR(IF(HLOOKUP(Automakers!$D$27,$E$1:$AI$34,ROW(#REF!),)&lt;0,NA(),IF(N$1&lt;Automakers!$D$24,NA(),IF(N$1&gt;Automakers!$D$27,NA(),Automakers!$D$26*(((Automakers!$D$26*(HLOOKUP(Automakers!$D$27,$E$1:$AI$34,ROW(#REF!),)/HLOOKUP(Automakers!$D$24,$E$1:$AI$34,ROW(#REF!),)))/Automakers!$D$26)^(1/(Automakers!$D$27-Automakers!$D$24)))^(N$1-Automakers!$D$24)))/1000),NA())</f>
        <v>#N/A</v>
      </c>
      <c r="O117" s="179" t="e">
        <f>IFERROR(IF(HLOOKUP(Automakers!$D$27,$E$1:$AI$34,ROW(#REF!),)&lt;0,NA(),IF(O$1&lt;Automakers!$D$24,NA(),IF(O$1&gt;Automakers!$D$27,NA(),Automakers!$D$26*(((Automakers!$D$26*(HLOOKUP(Automakers!$D$27,$E$1:$AI$34,ROW(#REF!),)/HLOOKUP(Automakers!$D$24,$E$1:$AI$34,ROW(#REF!),)))/Automakers!$D$26)^(1/(Automakers!$D$27-Automakers!$D$24)))^(O$1-Automakers!$D$24)))/1000),NA())</f>
        <v>#N/A</v>
      </c>
      <c r="P117" s="179" t="e">
        <f>IFERROR(IF(HLOOKUP(Automakers!$D$27,$E$1:$AI$34,ROW(#REF!),)&lt;0,NA(),IF(P$1&lt;Automakers!$D$24,NA(),IF(P$1&gt;Automakers!$D$27,NA(),Automakers!$D$26*(((Automakers!$D$26*(HLOOKUP(Automakers!$D$27,$E$1:$AI$34,ROW(#REF!),)/HLOOKUP(Automakers!$D$24,$E$1:$AI$34,ROW(#REF!),)))/Automakers!$D$26)^(1/(Automakers!$D$27-Automakers!$D$24)))^(P$1-Automakers!$D$24)))/1000),NA())</f>
        <v>#N/A</v>
      </c>
      <c r="Q117" s="179" t="e">
        <f>IFERROR(IF(HLOOKUP(Automakers!$D$27,$E$1:$AI$34,ROW(#REF!),)&lt;0,NA(),IF(Q$1&lt;Automakers!$D$24,NA(),IF(Q$1&gt;Automakers!$D$27,NA(),Automakers!$D$26*(((Automakers!$D$26*(HLOOKUP(Automakers!$D$27,$E$1:$AI$34,ROW(#REF!),)/HLOOKUP(Automakers!$D$24,$E$1:$AI$34,ROW(#REF!),)))/Automakers!$D$26)^(1/(Automakers!$D$27-Automakers!$D$24)))^(Q$1-Automakers!$D$24)))/1000),NA())</f>
        <v>#N/A</v>
      </c>
      <c r="R117" s="179" t="e">
        <f>IFERROR(IF(HLOOKUP(Automakers!$D$27,$E$1:$AI$34,ROW(#REF!),)&lt;0,NA(),IF(R$1&lt;Automakers!$D$24,NA(),IF(R$1&gt;Automakers!$D$27,NA(),Automakers!$D$26*(((Automakers!$D$26*(HLOOKUP(Automakers!$D$27,$E$1:$AI$34,ROW(#REF!),)/HLOOKUP(Automakers!$D$24,$E$1:$AI$34,ROW(#REF!),)))/Automakers!$D$26)^(1/(Automakers!$D$27-Automakers!$D$24)))^(R$1-Automakers!$D$24)))/1000),NA())</f>
        <v>#N/A</v>
      </c>
      <c r="S117" s="179" t="e">
        <f>IFERROR(IF(HLOOKUP(Automakers!$D$27,$E$1:$AI$34,ROW(#REF!),)&lt;0,NA(),IF(S$1&lt;Automakers!$D$24,NA(),IF(S$1&gt;Automakers!$D$27,NA(),Automakers!$D$26*(((Automakers!$D$26*(HLOOKUP(Automakers!$D$27,$E$1:$AI$34,ROW(#REF!),)/HLOOKUP(Automakers!$D$24,$E$1:$AI$34,ROW(#REF!),)))/Automakers!$D$26)^(1/(Automakers!$D$27-Automakers!$D$24)))^(S$1-Automakers!$D$24)))/1000),NA())</f>
        <v>#N/A</v>
      </c>
      <c r="T117" s="179" t="e">
        <f>IFERROR(IF(HLOOKUP(Automakers!$D$27,$E$1:$AI$34,ROW(#REF!),)&lt;0,NA(),IF(T$1&lt;Automakers!$D$24,NA(),IF(T$1&gt;Automakers!$D$27,NA(),Automakers!$D$26*(((Automakers!$D$26*(HLOOKUP(Automakers!$D$27,$E$1:$AI$34,ROW(#REF!),)/HLOOKUP(Automakers!$D$24,$E$1:$AI$34,ROW(#REF!),)))/Automakers!$D$26)^(1/(Automakers!$D$27-Automakers!$D$24)))^(T$1-Automakers!$D$24)))/1000),NA())</f>
        <v>#N/A</v>
      </c>
      <c r="U117" s="179" t="e">
        <f>IFERROR(IF(HLOOKUP(Automakers!$D$27,$E$1:$AI$34,ROW(#REF!),)&lt;0,NA(),IF(U$1&lt;Automakers!$D$24,NA(),IF(U$1&gt;Automakers!$D$27,NA(),Automakers!$D$26*(((Automakers!$D$26*(HLOOKUP(Automakers!$D$27,$E$1:$AI$34,ROW(#REF!),)/HLOOKUP(Automakers!$D$24,$E$1:$AI$34,ROW(#REF!),)))/Automakers!$D$26)^(1/(Automakers!$D$27-Automakers!$D$24)))^(U$1-Automakers!$D$24)))/1000),NA())</f>
        <v>#N/A</v>
      </c>
      <c r="V117" s="179" t="e">
        <f>IFERROR(IF(HLOOKUP(Automakers!$D$27,$E$1:$AI$34,ROW(#REF!),)&lt;0,NA(),IF(V$1&lt;Automakers!$D$24,NA(),IF(V$1&gt;Automakers!$D$27,NA(),Automakers!$D$26*(((Automakers!$D$26*(HLOOKUP(Automakers!$D$27,$E$1:$AI$34,ROW(#REF!),)/HLOOKUP(Automakers!$D$24,$E$1:$AI$34,ROW(#REF!),)))/Automakers!$D$26)^(1/(Automakers!$D$27-Automakers!$D$24)))^(V$1-Automakers!$D$24)))/1000),NA())</f>
        <v>#N/A</v>
      </c>
      <c r="W117" s="179" t="e">
        <f>IFERROR(IF(HLOOKUP(Automakers!$D$27,$E$1:$AI$34,ROW(#REF!),)&lt;0,NA(),IF(W$1&lt;Automakers!$D$24,NA(),IF(W$1&gt;Automakers!$D$27,NA(),Automakers!$D$26*(((Automakers!$D$26*(HLOOKUP(Automakers!$D$27,$E$1:$AI$34,ROW(#REF!),)/HLOOKUP(Automakers!$D$24,$E$1:$AI$34,ROW(#REF!),)))/Automakers!$D$26)^(1/(Automakers!$D$27-Automakers!$D$24)))^(W$1-Automakers!$D$24)))/1000),NA())</f>
        <v>#N/A</v>
      </c>
      <c r="X117" s="179" t="e">
        <f>IFERROR(IF(HLOOKUP(Automakers!$D$27,$E$1:$AI$34,ROW(#REF!),)&lt;0,NA(),IF(X$1&lt;Automakers!$D$24,NA(),IF(X$1&gt;Automakers!$D$27,NA(),Automakers!$D$26*(((Automakers!$D$26*(HLOOKUP(Automakers!$D$27,$E$1:$AI$34,ROW(#REF!),)/HLOOKUP(Automakers!$D$24,$E$1:$AI$34,ROW(#REF!),)))/Automakers!$D$26)^(1/(Automakers!$D$27-Automakers!$D$24)))^(X$1-Automakers!$D$24)))/1000),NA())</f>
        <v>#N/A</v>
      </c>
      <c r="Y117" s="179" t="e">
        <f>IFERROR(IF(HLOOKUP(Automakers!$D$27,$E$1:$AI$34,ROW(#REF!),)&lt;0,NA(),IF(Y$1&lt;Automakers!$D$24,NA(),IF(Y$1&gt;Automakers!$D$27,NA(),Automakers!$D$26*(((Automakers!$D$26*(HLOOKUP(Automakers!$D$27,$E$1:$AI$34,ROW(#REF!),)/HLOOKUP(Automakers!$D$24,$E$1:$AI$34,ROW(#REF!),)))/Automakers!$D$26)^(1/(Automakers!$D$27-Automakers!$D$24)))^(Y$1-Automakers!$D$24)))/1000),NA())</f>
        <v>#N/A</v>
      </c>
      <c r="Z117" s="179" t="e">
        <f>IFERROR(IF(HLOOKUP(Automakers!$D$27,$E$1:$AI$34,ROW(#REF!),)&lt;0,NA(),IF(Z$1&lt;Automakers!$D$24,NA(),IF(Z$1&gt;Automakers!$D$27,NA(),Automakers!$D$26*(((Automakers!$D$26*(HLOOKUP(Automakers!$D$27,$E$1:$AI$34,ROW(#REF!),)/HLOOKUP(Automakers!$D$24,$E$1:$AI$34,ROW(#REF!),)))/Automakers!$D$26)^(1/(Automakers!$D$27-Automakers!$D$24)))^(Z$1-Automakers!$D$24)))/1000),NA())</f>
        <v>#N/A</v>
      </c>
      <c r="AA117" s="179" t="e">
        <f>IFERROR(IF(HLOOKUP(Automakers!$D$27,$E$1:$AI$34,ROW(#REF!),)&lt;0,NA(),IF(AA$1&lt;Automakers!$D$24,NA(),IF(AA$1&gt;Automakers!$D$27,NA(),Automakers!$D$26*(((Automakers!$D$26*(HLOOKUP(Automakers!$D$27,$E$1:$AI$34,ROW(#REF!),)/HLOOKUP(Automakers!$D$24,$E$1:$AI$34,ROW(#REF!),)))/Automakers!$D$26)^(1/(Automakers!$D$27-Automakers!$D$24)))^(AA$1-Automakers!$D$24)))/1000),NA())</f>
        <v>#N/A</v>
      </c>
      <c r="AB117" s="179" t="e">
        <f>IFERROR(IF(HLOOKUP(Automakers!$D$27,$E$1:$AI$34,ROW(#REF!),)&lt;0,NA(),IF(AB$1&lt;Automakers!$D$24,NA(),IF(AB$1&gt;Automakers!$D$27,NA(),Automakers!$D$26*(((Automakers!$D$26*(HLOOKUP(Automakers!$D$27,$E$1:$AI$34,ROW(#REF!),)/HLOOKUP(Automakers!$D$24,$E$1:$AI$34,ROW(#REF!),)))/Automakers!$D$26)^(1/(Automakers!$D$27-Automakers!$D$24)))^(AB$1-Automakers!$D$24)))/1000),NA())</f>
        <v>#N/A</v>
      </c>
      <c r="AC117" s="179" t="e">
        <f>IFERROR(IF(HLOOKUP(Automakers!$D$27,$E$1:$AI$34,ROW(#REF!),)&lt;0,NA(),IF(AC$1&lt;Automakers!$D$24,NA(),IF(AC$1&gt;Automakers!$D$27,NA(),Automakers!$D$26*(((Automakers!$D$26*(HLOOKUP(Automakers!$D$27,$E$1:$AI$34,ROW(#REF!),)/HLOOKUP(Automakers!$D$24,$E$1:$AI$34,ROW(#REF!),)))/Automakers!$D$26)^(1/(Automakers!$D$27-Automakers!$D$24)))^(AC$1-Automakers!$D$24)))/1000),NA())</f>
        <v>#N/A</v>
      </c>
      <c r="AD117" s="179" t="e">
        <f>IFERROR(IF(HLOOKUP(Automakers!$D$27,$E$1:$AI$34,ROW(#REF!),)&lt;0,NA(),IF(AD$1&lt;Automakers!$D$24,NA(),IF(AD$1&gt;Automakers!$D$27,NA(),Automakers!$D$26*(((Automakers!$D$26*(HLOOKUP(Automakers!$D$27,$E$1:$AI$34,ROW(#REF!),)/HLOOKUP(Automakers!$D$24,$E$1:$AI$34,ROW(#REF!),)))/Automakers!$D$26)^(1/(Automakers!$D$27-Automakers!$D$24)))^(AD$1-Automakers!$D$24)))/1000),NA())</f>
        <v>#N/A</v>
      </c>
      <c r="AE117" s="179" t="e">
        <f>IFERROR(IF(HLOOKUP(Automakers!$D$27,$E$1:$AI$34,ROW(#REF!),)&lt;0,NA(),IF(AE$1&lt;Automakers!$D$24,NA(),IF(AE$1&gt;Automakers!$D$27,NA(),Automakers!$D$26*(((Automakers!$D$26*(HLOOKUP(Automakers!$D$27,$E$1:$AI$34,ROW(#REF!),)/HLOOKUP(Automakers!$D$24,$E$1:$AI$34,ROW(#REF!),)))/Automakers!$D$26)^(1/(Automakers!$D$27-Automakers!$D$24)))^(AE$1-Automakers!$D$24)))/1000),NA())</f>
        <v>#N/A</v>
      </c>
      <c r="AF117" s="179" t="e">
        <f>IFERROR(IF(HLOOKUP(Automakers!$D$27,$E$1:$AI$34,ROW(#REF!),)&lt;0,NA(),IF(AF$1&lt;Automakers!$D$24,NA(),IF(AF$1&gt;Automakers!$D$27,NA(),Automakers!$D$26*(((Automakers!$D$26*(HLOOKUP(Automakers!$D$27,$E$1:$AI$34,ROW(#REF!),)/HLOOKUP(Automakers!$D$24,$E$1:$AI$34,ROW(#REF!),)))/Automakers!$D$26)^(1/(Automakers!$D$27-Automakers!$D$24)))^(AF$1-Automakers!$D$24)))/1000),NA())</f>
        <v>#N/A</v>
      </c>
      <c r="AG117" s="179" t="e">
        <f>IFERROR(IF(HLOOKUP(Automakers!$D$27,$E$1:$AI$34,ROW(#REF!),)&lt;0,NA(),IF(AG$1&lt;Automakers!$D$24,NA(),IF(AG$1&gt;Automakers!$D$27,NA(),Automakers!$D$26*(((Automakers!$D$26*(HLOOKUP(Automakers!$D$27,$E$1:$AI$34,ROW(#REF!),)/HLOOKUP(Automakers!$D$24,$E$1:$AI$34,ROW(#REF!),)))/Automakers!$D$26)^(1/(Automakers!$D$27-Automakers!$D$24)))^(AG$1-Automakers!$D$24)))/1000),NA())</f>
        <v>#N/A</v>
      </c>
      <c r="AH117" s="179" t="e">
        <f>IFERROR(IF(HLOOKUP(Automakers!$D$27,$E$1:$AI$34,ROW(#REF!),)&lt;0,NA(),IF(AH$1&lt;Automakers!$D$24,NA(),IF(AH$1&gt;Automakers!$D$27,NA(),Automakers!$D$26*(((Automakers!$D$26*(HLOOKUP(Automakers!$D$27,$E$1:$AI$34,ROW(#REF!),)/HLOOKUP(Automakers!$D$24,$E$1:$AI$34,ROW(#REF!),)))/Automakers!$D$26)^(1/(Automakers!$D$27-Automakers!$D$24)))^(AH$1-Automakers!$D$24)))/1000),NA())</f>
        <v>#N/A</v>
      </c>
      <c r="AI117" s="179" t="e">
        <f>IFERROR(IF(HLOOKUP(Automakers!$D$27,$E$1:$AI$34,ROW(#REF!),)&lt;0,NA(),IF(AI$1&lt;Automakers!$D$24,NA(),IF(AI$1&gt;Automakers!$D$27,NA(),Automakers!$D$26*(((Automakers!$D$26*(HLOOKUP(Automakers!$D$27,$E$1:$AI$34,ROW(#REF!),)/HLOOKUP(Automakers!$D$24,$E$1:$AI$34,ROW(#REF!),)))/Automakers!$D$26)^(1/(Automakers!$D$27-Automakers!$D$24)))^(AI$1-Automakers!$D$24)))/1000),NA())</f>
        <v>#N/A</v>
      </c>
    </row>
    <row r="118" spans="1:35" s="178" customFormat="1" hidden="1" x14ac:dyDescent="0.15">
      <c r="A118" s="178" t="s">
        <v>9</v>
      </c>
      <c r="B118" s="178" t="e">
        <f>IF(OR(Automakers!$D$73=Lists!$B$26,Automakers!$D$73=Lists!$B$27,Automakers!$D$73=Lists!$B$28),"Scope 3 emissions intensity ("&amp;C118&amp;")","Scope 1 emissions intensity ("&amp;C118&amp;")")</f>
        <v>#N/A</v>
      </c>
      <c r="C118" s="178" t="e">
        <f>INDEX(Lists!$E$2:$E$50,MATCH(Automakers!$D$73,Lists!$B$2:$B$50,0))</f>
        <v>#N/A</v>
      </c>
      <c r="E118" s="179" t="e">
        <f>IFERROR(E116*INDEX(Lists!$F$6:$F$50,MATCH(Automakers!$D$73,Lists!$B$2:$B$50,0))*1000/#REF!,NA())</f>
        <v>#N/A</v>
      </c>
      <c r="F118" s="179" t="e">
        <f>IFERROR(F116*INDEX(Lists!$F$6:$F$50,MATCH(Automakers!$D$73,Lists!$B$2:$B$50,0))*1000/#REF!,NA())</f>
        <v>#N/A</v>
      </c>
      <c r="G118" s="179" t="e">
        <f>IFERROR(G116*INDEX(Lists!$F$6:$F$50,MATCH(Automakers!$D$73,Lists!$B$2:$B$50,0))*1000/#REF!,NA())</f>
        <v>#N/A</v>
      </c>
      <c r="H118" s="179" t="e">
        <f>IFERROR(H116*INDEX(Lists!$F$6:$F$50,MATCH(Automakers!$D$73,Lists!$B$2:$B$50,0))*1000/#REF!,NA())</f>
        <v>#N/A</v>
      </c>
      <c r="I118" s="179" t="e">
        <f>IFERROR(I116*INDEX(Lists!$F$6:$F$50,MATCH(Automakers!$D$73,Lists!$B$2:$B$50,0))*1000/#REF!,NA())</f>
        <v>#N/A</v>
      </c>
      <c r="J118" s="179" t="e">
        <f>IFERROR(J116*INDEX(Lists!$F$6:$F$50,MATCH(Automakers!$D$73,Lists!$B$2:$B$50,0))*1000/#REF!,NA())</f>
        <v>#N/A</v>
      </c>
      <c r="K118" s="179" t="e">
        <f>IFERROR(K116*INDEX(Lists!$F$6:$F$50,MATCH(Automakers!$D$73,Lists!$B$2:$B$50,0))*1000/#REF!,NA())</f>
        <v>#N/A</v>
      </c>
      <c r="L118" s="179" t="e">
        <f>IFERROR(L116*INDEX(Lists!$F$6:$F$50,MATCH(Automakers!$D$73,Lists!$B$2:$B$50,0))*1000/#REF!,NA())</f>
        <v>#N/A</v>
      </c>
      <c r="M118" s="179" t="e">
        <f>IFERROR(M116*INDEX(Lists!$F$6:$F$50,MATCH(Automakers!$D$73,Lists!$B$2:$B$50,0))*1000/#REF!,NA())</f>
        <v>#N/A</v>
      </c>
      <c r="N118" s="179" t="e">
        <f>IFERROR(N116*INDEX(Lists!$F$6:$F$50,MATCH(Automakers!$D$73,Lists!$B$2:$B$50,0))*1000/#REF!,NA())</f>
        <v>#N/A</v>
      </c>
      <c r="O118" s="179" t="e">
        <f>IFERROR(O116*INDEX(Lists!$F$6:$F$50,MATCH(Automakers!$D$73,Lists!$B$2:$B$50,0))*1000/#REF!,NA())</f>
        <v>#N/A</v>
      </c>
      <c r="P118" s="179" t="e">
        <f>IFERROR(P116*INDEX(Lists!$F$6:$F$50,MATCH(Automakers!$D$73,Lists!$B$2:$B$50,0))*1000/#REF!,NA())</f>
        <v>#N/A</v>
      </c>
      <c r="Q118" s="179" t="e">
        <f>IFERROR(Q116*INDEX(Lists!$F$6:$F$50,MATCH(Automakers!$D$73,Lists!$B$2:$B$50,0))*1000/#REF!,NA())</f>
        <v>#N/A</v>
      </c>
      <c r="R118" s="179" t="e">
        <f>IFERROR(R116*INDEX(Lists!$F$6:$F$50,MATCH(Automakers!$D$73,Lists!$B$2:$B$50,0))*1000/#REF!,NA())</f>
        <v>#N/A</v>
      </c>
      <c r="S118" s="179" t="e">
        <f>IFERROR(S116*INDEX(Lists!$F$6:$F$50,MATCH(Automakers!$D$73,Lists!$B$2:$B$50,0))*1000/#REF!,NA())</f>
        <v>#N/A</v>
      </c>
      <c r="T118" s="179" t="e">
        <f>IFERROR(T116*INDEX(Lists!$F$6:$F$50,MATCH(Automakers!$D$73,Lists!$B$2:$B$50,0))*1000/#REF!,NA())</f>
        <v>#N/A</v>
      </c>
      <c r="U118" s="179" t="e">
        <f>IFERROR(U116*INDEX(Lists!$F$6:$F$50,MATCH(Automakers!$D$73,Lists!$B$2:$B$50,0))*1000/#REF!,NA())</f>
        <v>#N/A</v>
      </c>
      <c r="V118" s="179" t="e">
        <f>IFERROR(V116*INDEX(Lists!$F$6:$F$50,MATCH(Automakers!$D$73,Lists!$B$2:$B$50,0))*1000/#REF!,NA())</f>
        <v>#N/A</v>
      </c>
      <c r="W118" s="179" t="e">
        <f>IFERROR(W116*INDEX(Lists!$F$6:$F$50,MATCH(Automakers!$D$73,Lists!$B$2:$B$50,0))*1000/#REF!,NA())</f>
        <v>#N/A</v>
      </c>
      <c r="X118" s="179" t="e">
        <f>IFERROR(X116*INDEX(Lists!$F$6:$F$50,MATCH(Automakers!$D$73,Lists!$B$2:$B$50,0))*1000/#REF!,NA())</f>
        <v>#N/A</v>
      </c>
      <c r="Y118" s="179" t="e">
        <f>IFERROR(Y116*INDEX(Lists!$F$6:$F$50,MATCH(Automakers!$D$73,Lists!$B$2:$B$50,0))*1000/#REF!,NA())</f>
        <v>#N/A</v>
      </c>
      <c r="Z118" s="179" t="e">
        <f>IFERROR(Z116*INDEX(Lists!$F$6:$F$50,MATCH(Automakers!$D$73,Lists!$B$2:$B$50,0))*1000/#REF!,NA())</f>
        <v>#N/A</v>
      </c>
      <c r="AA118" s="179" t="e">
        <f>IFERROR(AA116*INDEX(Lists!$F$6:$F$50,MATCH(Automakers!$D$73,Lists!$B$2:$B$50,0))*1000/#REF!,NA())</f>
        <v>#N/A</v>
      </c>
      <c r="AB118" s="179" t="e">
        <f>IFERROR(AB116*INDEX(Lists!$F$6:$F$50,MATCH(Automakers!$D$73,Lists!$B$2:$B$50,0))*1000/#REF!,NA())</f>
        <v>#N/A</v>
      </c>
      <c r="AC118" s="179" t="e">
        <f>IFERROR(AC116*INDEX(Lists!$F$6:$F$50,MATCH(Automakers!$D$73,Lists!$B$2:$B$50,0))*1000/#REF!,NA())</f>
        <v>#N/A</v>
      </c>
      <c r="AD118" s="179" t="e">
        <f>IFERROR(AD116*INDEX(Lists!$F$6:$F$50,MATCH(Automakers!$D$73,Lists!$B$2:$B$50,0))*1000/#REF!,NA())</f>
        <v>#N/A</v>
      </c>
      <c r="AE118" s="179" t="e">
        <f>IFERROR(AE116*INDEX(Lists!$F$6:$F$50,MATCH(Automakers!$D$73,Lists!$B$2:$B$50,0))*1000/#REF!,NA())</f>
        <v>#N/A</v>
      </c>
      <c r="AF118" s="179" t="e">
        <f>IFERROR(AF116*INDEX(Lists!$F$6:$F$50,MATCH(Automakers!$D$73,Lists!$B$2:$B$50,0))*1000/#REF!,NA())</f>
        <v>#N/A</v>
      </c>
      <c r="AG118" s="179" t="e">
        <f>IFERROR(AG116*INDEX(Lists!$F$6:$F$50,MATCH(Automakers!$D$73,Lists!$B$2:$B$50,0))*1000/#REF!,NA())</f>
        <v>#N/A</v>
      </c>
      <c r="AH118" s="179" t="e">
        <f>IFERROR(AH116*INDEX(Lists!$F$6:$F$50,MATCH(Automakers!$D$73,Lists!$B$2:$B$50,0))*1000/#REF!,NA())</f>
        <v>#N/A</v>
      </c>
      <c r="AI118" s="179" t="e">
        <f>IFERROR(AI116*INDEX(Lists!$F$6:$F$50,MATCH(Automakers!$D$73,Lists!$B$2:$B$50,0))*1000/#REF!,NA())</f>
        <v>#N/A</v>
      </c>
    </row>
    <row r="119" spans="1:35" s="178" customFormat="1" hidden="1" x14ac:dyDescent="0.15">
      <c r="A119" s="178" t="s">
        <v>13</v>
      </c>
      <c r="B119" s="178" t="e">
        <f>"Scope 2 emissions intensity ("&amp;C119&amp;")"</f>
        <v>#N/A</v>
      </c>
      <c r="C119" s="178" t="e">
        <f>INDEX(Lists!$E$2:$E$50,MATCH(Automakers!$D$73,Lists!$B$2:$B$50,0))</f>
        <v>#N/A</v>
      </c>
      <c r="E119" s="179" t="e">
        <f>IFERROR(E117*INDEX(Lists!$F$6:$F$50,MATCH(Automakers!$D$73,Lists!$B$2:$B$50,0))*1000/#REF!,NA())</f>
        <v>#N/A</v>
      </c>
      <c r="F119" s="179" t="e">
        <f>IFERROR(F117*INDEX(Lists!$F$6:$F$50,MATCH(Automakers!$D$73,Lists!$B$2:$B$50,0))*1000/#REF!,NA())</f>
        <v>#N/A</v>
      </c>
      <c r="G119" s="179" t="e">
        <f>IFERROR(G117*INDEX(Lists!$F$6:$F$50,MATCH(Automakers!$D$73,Lists!$B$2:$B$50,0))*1000/#REF!,NA())</f>
        <v>#N/A</v>
      </c>
      <c r="H119" s="179" t="e">
        <f>IFERROR(H117*INDEX(Lists!$F$6:$F$50,MATCH(Automakers!$D$73,Lists!$B$2:$B$50,0))*1000/#REF!,NA())</f>
        <v>#N/A</v>
      </c>
      <c r="I119" s="179" t="e">
        <f>IFERROR(I117*INDEX(Lists!$F$6:$F$50,MATCH(Automakers!$D$73,Lists!$B$2:$B$50,0))*1000/#REF!,NA())</f>
        <v>#N/A</v>
      </c>
      <c r="J119" s="179" t="e">
        <f>IFERROR(J117*INDEX(Lists!$F$6:$F$50,MATCH(Automakers!$D$73,Lists!$B$2:$B$50,0))*1000/#REF!,NA())</f>
        <v>#N/A</v>
      </c>
      <c r="K119" s="179" t="e">
        <f>IFERROR(K117*INDEX(Lists!$F$6:$F$50,MATCH(Automakers!$D$73,Lists!$B$2:$B$50,0))*1000/#REF!,NA())</f>
        <v>#N/A</v>
      </c>
      <c r="L119" s="179" t="e">
        <f>IFERROR(L117*INDEX(Lists!$F$6:$F$50,MATCH(Automakers!$D$73,Lists!$B$2:$B$50,0))*1000/#REF!,NA())</f>
        <v>#N/A</v>
      </c>
      <c r="M119" s="179" t="e">
        <f>IFERROR(M117*INDEX(Lists!$F$6:$F$50,MATCH(Automakers!$D$73,Lists!$B$2:$B$50,0))*1000/#REF!,NA())</f>
        <v>#N/A</v>
      </c>
      <c r="N119" s="179" t="e">
        <f>IFERROR(N117*INDEX(Lists!$F$6:$F$50,MATCH(Automakers!$D$73,Lists!$B$2:$B$50,0))*1000/#REF!,NA())</f>
        <v>#N/A</v>
      </c>
      <c r="O119" s="179" t="e">
        <f>IFERROR(O117*INDEX(Lists!$F$6:$F$50,MATCH(Automakers!$D$73,Lists!$B$2:$B$50,0))*1000/#REF!,NA())</f>
        <v>#N/A</v>
      </c>
      <c r="P119" s="179" t="e">
        <f>IFERROR(P117*INDEX(Lists!$F$6:$F$50,MATCH(Automakers!$D$73,Lists!$B$2:$B$50,0))*1000/#REF!,NA())</f>
        <v>#N/A</v>
      </c>
      <c r="Q119" s="179" t="e">
        <f>IFERROR(Q117*INDEX(Lists!$F$6:$F$50,MATCH(Automakers!$D$73,Lists!$B$2:$B$50,0))*1000/#REF!,NA())</f>
        <v>#N/A</v>
      </c>
      <c r="R119" s="179" t="e">
        <f>IFERROR(R117*INDEX(Lists!$F$6:$F$50,MATCH(Automakers!$D$73,Lists!$B$2:$B$50,0))*1000/#REF!,NA())</f>
        <v>#N/A</v>
      </c>
      <c r="S119" s="179" t="e">
        <f>IFERROR(S117*INDEX(Lists!$F$6:$F$50,MATCH(Automakers!$D$73,Lists!$B$2:$B$50,0))*1000/#REF!,NA())</f>
        <v>#N/A</v>
      </c>
      <c r="T119" s="179" t="e">
        <f>IFERROR(T117*INDEX(Lists!$F$6:$F$50,MATCH(Automakers!$D$73,Lists!$B$2:$B$50,0))*1000/#REF!,NA())</f>
        <v>#N/A</v>
      </c>
      <c r="U119" s="179" t="e">
        <f>IFERROR(U117*INDEX(Lists!$F$6:$F$50,MATCH(Automakers!$D$73,Lists!$B$2:$B$50,0))*1000/#REF!,NA())</f>
        <v>#N/A</v>
      </c>
      <c r="V119" s="179" t="e">
        <f>IFERROR(V117*INDEX(Lists!$F$6:$F$50,MATCH(Automakers!$D$73,Lists!$B$2:$B$50,0))*1000/#REF!,NA())</f>
        <v>#N/A</v>
      </c>
      <c r="W119" s="179" t="e">
        <f>IFERROR(W117*INDEX(Lists!$F$6:$F$50,MATCH(Automakers!$D$73,Lists!$B$2:$B$50,0))*1000/#REF!,NA())</f>
        <v>#N/A</v>
      </c>
      <c r="X119" s="179" t="e">
        <f>IFERROR(X117*INDEX(Lists!$F$6:$F$50,MATCH(Automakers!$D$73,Lists!$B$2:$B$50,0))*1000/#REF!,NA())</f>
        <v>#N/A</v>
      </c>
      <c r="Y119" s="179" t="e">
        <f>IFERROR(Y117*INDEX(Lists!$F$6:$F$50,MATCH(Automakers!$D$73,Lists!$B$2:$B$50,0))*1000/#REF!,NA())</f>
        <v>#N/A</v>
      </c>
      <c r="Z119" s="179" t="e">
        <f>IFERROR(Z117*INDEX(Lists!$F$6:$F$50,MATCH(Automakers!$D$73,Lists!$B$2:$B$50,0))*1000/#REF!,NA())</f>
        <v>#N/A</v>
      </c>
      <c r="AA119" s="179" t="e">
        <f>IFERROR(AA117*INDEX(Lists!$F$6:$F$50,MATCH(Automakers!$D$73,Lists!$B$2:$B$50,0))*1000/#REF!,NA())</f>
        <v>#N/A</v>
      </c>
      <c r="AB119" s="179" t="e">
        <f>IFERROR(AB117*INDEX(Lists!$F$6:$F$50,MATCH(Automakers!$D$73,Lists!$B$2:$B$50,0))*1000/#REF!,NA())</f>
        <v>#N/A</v>
      </c>
      <c r="AC119" s="179" t="e">
        <f>IFERROR(AC117*INDEX(Lists!$F$6:$F$50,MATCH(Automakers!$D$73,Lists!$B$2:$B$50,0))*1000/#REF!,NA())</f>
        <v>#N/A</v>
      </c>
      <c r="AD119" s="179" t="e">
        <f>IFERROR(AD117*INDEX(Lists!$F$6:$F$50,MATCH(Automakers!$D$73,Lists!$B$2:$B$50,0))*1000/#REF!,NA())</f>
        <v>#N/A</v>
      </c>
      <c r="AE119" s="179" t="e">
        <f>IFERROR(AE117*INDEX(Lists!$F$6:$F$50,MATCH(Automakers!$D$73,Lists!$B$2:$B$50,0))*1000/#REF!,NA())</f>
        <v>#N/A</v>
      </c>
      <c r="AF119" s="179" t="e">
        <f>IFERROR(AF117*INDEX(Lists!$F$6:$F$50,MATCH(Automakers!$D$73,Lists!$B$2:$B$50,0))*1000/#REF!,NA())</f>
        <v>#N/A</v>
      </c>
      <c r="AG119" s="179" t="e">
        <f>IFERROR(AG117*INDEX(Lists!$F$6:$F$50,MATCH(Automakers!$D$73,Lists!$B$2:$B$50,0))*1000/#REF!,NA())</f>
        <v>#N/A</v>
      </c>
      <c r="AH119" s="179" t="e">
        <f>IFERROR(AH117*INDEX(Lists!$F$6:$F$50,MATCH(Automakers!$D$73,Lists!$B$2:$B$50,0))*1000/#REF!,NA())</f>
        <v>#N/A</v>
      </c>
      <c r="AI119" s="179" t="e">
        <f>IFERROR(AI117*INDEX(Lists!$F$6:$F$50,MATCH(Automakers!$D$73,Lists!$B$2:$B$50,0))*1000/#REF!,NA())</f>
        <v>#N/A</v>
      </c>
    </row>
    <row r="120" spans="1:35" s="178" customFormat="1" hidden="1" x14ac:dyDescent="0.15">
      <c r="E120" s="179"/>
      <c r="F120" s="179"/>
      <c r="G120" s="179"/>
      <c r="H120" s="179"/>
      <c r="I120" s="179"/>
      <c r="J120" s="179"/>
      <c r="K120" s="179"/>
      <c r="L120" s="179"/>
      <c r="M120" s="179"/>
      <c r="N120" s="179"/>
      <c r="O120" s="179"/>
      <c r="P120" s="179"/>
      <c r="Q120" s="179"/>
      <c r="R120" s="179"/>
      <c r="S120" s="179"/>
      <c r="T120" s="179"/>
      <c r="U120" s="179"/>
      <c r="V120" s="179"/>
      <c r="W120" s="179"/>
      <c r="X120" s="179"/>
      <c r="Y120" s="179"/>
      <c r="Z120" s="179"/>
      <c r="AA120" s="179"/>
      <c r="AB120" s="179"/>
      <c r="AC120" s="179"/>
      <c r="AD120" s="179"/>
      <c r="AE120" s="179"/>
      <c r="AF120" s="179"/>
      <c r="AG120" s="179"/>
      <c r="AH120" s="179"/>
      <c r="AI120" s="179"/>
    </row>
    <row r="121" spans="1:35" x14ac:dyDescent="0.15">
      <c r="E121" s="190"/>
      <c r="F121" s="190"/>
      <c r="G121" s="190">
        <f>IF(AND(G$1&gt;=Autoparts!$D$26,G$1&lt;=2050),IF(G$1=Autoparts!$D$26,Autoparts!$D$26,G$1),NA())</f>
        <v>2022</v>
      </c>
      <c r="H121" s="190">
        <f>IF(AND(H$1&gt;=Autoparts!$D$26,H$1&lt;=2050),IF(H$1=Autoparts!$D$26,Autoparts!$D$26,H$1),NA())</f>
        <v>2023</v>
      </c>
      <c r="I121" s="190">
        <f>IF(AND(I$1&gt;=Autoparts!$D$26,I$1&lt;=2050),IF(I$1=Autoparts!$D$26,Autoparts!$D$26,I$1),NA())</f>
        <v>2024</v>
      </c>
      <c r="J121" s="190">
        <f>IF(AND(J$1&gt;=Autoparts!$D$26,J$1&lt;=2050),IF(J$1=Autoparts!$D$26,Autoparts!$D$26,J$1),NA())</f>
        <v>2025</v>
      </c>
      <c r="K121" s="190">
        <f>IF(AND(K$1&gt;=Autoparts!$D$26,K$1&lt;=2050),IF(K$1=Autoparts!$D$26,Autoparts!$D$26,K$1),NA())</f>
        <v>2026</v>
      </c>
      <c r="L121" s="190">
        <f>IF(AND(L$1&gt;=Autoparts!$D$26,L$1&lt;=2050),IF(L$1=Autoparts!$D$26,Autoparts!$D$26,L$1),NA())</f>
        <v>2027</v>
      </c>
      <c r="M121" s="190">
        <f>IF(AND(M$1&gt;=Autoparts!$D$26,M$1&lt;=2050),IF(M$1=Autoparts!$D$26,Autoparts!$D$26,M$1),NA())</f>
        <v>2028</v>
      </c>
      <c r="N121" s="190">
        <f>IF(AND(N$1&gt;=Autoparts!$D$26,N$1&lt;=2050),IF(N$1=Autoparts!$D$26,Autoparts!$D$26,N$1),NA())</f>
        <v>2029</v>
      </c>
      <c r="O121" s="190">
        <f>IF(AND(O$1&gt;=Autoparts!$D$26,O$1&lt;=2050),IF(O$1=Autoparts!$D$26,Autoparts!$D$26,O$1),NA())</f>
        <v>2030</v>
      </c>
      <c r="P121" s="190">
        <f>IF(AND(P$1&gt;=Autoparts!$D$26,P$1&lt;=2050),IF(P$1=Autoparts!$D$26,Autoparts!$D$26,P$1),NA())</f>
        <v>2031</v>
      </c>
      <c r="Q121" s="190">
        <f>IF(AND(Q$1&gt;=Autoparts!$D$26,Q$1&lt;=2050),IF(Q$1=Autoparts!$D$26,Autoparts!$D$26,Q$1),NA())</f>
        <v>2032</v>
      </c>
      <c r="R121" s="190">
        <f>IF(AND(R$1&gt;=Autoparts!$D$26,R$1&lt;=2050),IF(R$1=Autoparts!$D$26,Autoparts!$D$26,R$1),NA())</f>
        <v>2033</v>
      </c>
      <c r="S121" s="190">
        <f>IF(AND(S$1&gt;=Autoparts!$D$26,S$1&lt;=2050),IF(S$1=Autoparts!$D$26,Autoparts!$D$26,S$1),NA())</f>
        <v>2034</v>
      </c>
      <c r="T121" s="190">
        <f>IF(AND(T$1&gt;=Autoparts!$D$26,T$1&lt;=2050),IF(T$1=Autoparts!$D$26,Autoparts!$D$26,T$1),NA())</f>
        <v>2035</v>
      </c>
      <c r="U121" s="190">
        <f>IF(AND(U$1&gt;=Autoparts!$D$26,U$1&lt;=2050),IF(U$1=Autoparts!$D$26,Autoparts!$D$26,U$1),NA())</f>
        <v>2036</v>
      </c>
      <c r="V121" s="190">
        <f>IF(AND(V$1&gt;=Autoparts!$D$26,V$1&lt;=2050),IF(V$1=Autoparts!$D$26,Autoparts!$D$26,V$1),NA())</f>
        <v>2037</v>
      </c>
      <c r="W121" s="190">
        <f>IF(AND(W$1&gt;=Autoparts!$D$26,W$1&lt;=2050),IF(W$1=Autoparts!$D$26,Autoparts!$D$26,W$1),NA())</f>
        <v>2038</v>
      </c>
      <c r="X121" s="190">
        <f>IF(AND(X$1&gt;=Autoparts!$D$26,X$1&lt;=2050),IF(X$1=Autoparts!$D$26,Autoparts!$D$26,X$1),NA())</f>
        <v>2039</v>
      </c>
      <c r="Y121" s="190">
        <f>IF(AND(Y$1&gt;=Autoparts!$D$26,Y$1&lt;=2050),IF(Y$1=Autoparts!$D$26,Autoparts!$D$26,Y$1),NA())</f>
        <v>2040</v>
      </c>
      <c r="Z121" s="190">
        <f>IF(AND(Z$1&gt;=Autoparts!$D$26,Z$1&lt;=2050),IF(Z$1=Autoparts!$D$26,Autoparts!$D$26,Z$1),NA())</f>
        <v>2041</v>
      </c>
      <c r="AA121" s="190">
        <f>IF(AND(AA$1&gt;=Autoparts!$D$26,AA$1&lt;=2050),IF(AA$1=Autoparts!$D$26,Autoparts!$D$26,AA$1),NA())</f>
        <v>2042</v>
      </c>
      <c r="AB121" s="190">
        <f>IF(AND(AB$1&gt;=Autoparts!$D$26,AB$1&lt;=2050),IF(AB$1=Autoparts!$D$26,Autoparts!$D$26,AB$1),NA())</f>
        <v>2043</v>
      </c>
      <c r="AC121" s="190">
        <f>IF(AND(AC$1&gt;=Autoparts!$D$26,AC$1&lt;=2050),IF(AC$1=Autoparts!$D$26,Autoparts!$D$26,AC$1),NA())</f>
        <v>2044</v>
      </c>
      <c r="AD121" s="190">
        <f>IF(AND(AD$1&gt;=Autoparts!$D$26,AD$1&lt;=2050),IF(AD$1=Autoparts!$D$26,Autoparts!$D$26,AD$1),NA())</f>
        <v>2045</v>
      </c>
      <c r="AE121" s="190">
        <f>IF(AND(AE$1&gt;=Autoparts!$D$26,AE$1&lt;=2050),IF(AE$1=Autoparts!$D$26,Autoparts!$D$26,AE$1),NA())</f>
        <v>2046</v>
      </c>
      <c r="AF121" s="190">
        <f>IF(AND(AF$1&gt;=Autoparts!$D$26,AF$1&lt;=2050),IF(AF$1=Autoparts!$D$26,Autoparts!$D$26,AF$1),NA())</f>
        <v>2047</v>
      </c>
      <c r="AG121" s="190">
        <f>IF(AND(AG$1&gt;=Autoparts!$D$26,AG$1&lt;=2050),IF(AG$1=Autoparts!$D$26,Autoparts!$D$26,AG$1),NA())</f>
        <v>2048</v>
      </c>
      <c r="AH121" s="190">
        <f>IF(AND(AH$1&gt;=Autoparts!$D$26,AH$1&lt;=2050),IF(AH$1=Autoparts!$D$26,Autoparts!$D$26,AH$1),NA())</f>
        <v>2049</v>
      </c>
      <c r="AI121" s="190">
        <f>IF(AND(AI$1&gt;=Autoparts!$D$26,AI$1&lt;=2050),IF(AI$1=Autoparts!$D$26,Autoparts!$D$26,AI$1),NA())</f>
        <v>2050</v>
      </c>
    </row>
    <row r="122" spans="1:35" hidden="1" x14ac:dyDescent="0.15"/>
    <row r="123" spans="1:35" hidden="1" x14ac:dyDescent="0.15">
      <c r="B123" s="1" t="s">
        <v>266</v>
      </c>
      <c r="E123"/>
      <c r="F123"/>
      <c r="G123"/>
      <c r="H123"/>
      <c r="I123"/>
      <c r="J123"/>
      <c r="K123"/>
      <c r="L123"/>
      <c r="M123"/>
      <c r="N123"/>
      <c r="O123"/>
      <c r="P123"/>
      <c r="Q123"/>
      <c r="R123"/>
      <c r="S123"/>
      <c r="T123"/>
      <c r="U123"/>
      <c r="V123"/>
      <c r="W123"/>
      <c r="X123"/>
      <c r="Y123"/>
      <c r="Z123"/>
      <c r="AA123"/>
      <c r="AB123"/>
      <c r="AC123"/>
      <c r="AD123"/>
      <c r="AE123"/>
      <c r="AF123"/>
      <c r="AG123"/>
      <c r="AH123"/>
      <c r="AI123"/>
    </row>
    <row r="124" spans="1:35" hidden="1" x14ac:dyDescent="0.15">
      <c r="B124" t="s">
        <v>155</v>
      </c>
      <c r="C124" t="str">
        <f>+C14</f>
        <v>tCO2e</v>
      </c>
      <c r="E124" s="191"/>
      <c r="F124" s="191"/>
      <c r="G124" s="191">
        <f t="shared" ref="G124:AI124" si="0">IF(G19&gt;=0,G19,0)</f>
        <v>100000</v>
      </c>
      <c r="H124" s="191">
        <f t="shared" si="0"/>
        <v>95036.363636363647</v>
      </c>
      <c r="I124" s="191">
        <f t="shared" si="0"/>
        <v>90072.727272727265</v>
      </c>
      <c r="J124" s="191">
        <f t="shared" si="0"/>
        <v>85109.090909090912</v>
      </c>
      <c r="K124" s="191">
        <f t="shared" si="0"/>
        <v>80145.454545454544</v>
      </c>
      <c r="L124" s="191">
        <f t="shared" si="0"/>
        <v>75181.818181818177</v>
      </c>
      <c r="M124" s="191">
        <f t="shared" si="0"/>
        <v>70218.181818181823</v>
      </c>
      <c r="N124" s="191">
        <f t="shared" si="0"/>
        <v>65254.545454545456</v>
      </c>
      <c r="O124" s="191">
        <f t="shared" si="0"/>
        <v>60290.909090909081</v>
      </c>
      <c r="P124" s="191">
        <f t="shared" si="0"/>
        <v>55327.272727272728</v>
      </c>
      <c r="Q124" s="191">
        <f t="shared" si="0"/>
        <v>50363.636363636368</v>
      </c>
      <c r="R124" s="191">
        <f t="shared" si="0"/>
        <v>45399.999999999993</v>
      </c>
      <c r="S124" s="191">
        <f t="shared" si="0"/>
        <v>40436.36363636364</v>
      </c>
      <c r="T124" s="191">
        <f t="shared" si="0"/>
        <v>35472.727272727265</v>
      </c>
      <c r="U124" s="191" t="e">
        <f t="shared" si="0"/>
        <v>#N/A</v>
      </c>
      <c r="V124" s="191" t="e">
        <f t="shared" si="0"/>
        <v>#N/A</v>
      </c>
      <c r="W124" s="191" t="e">
        <f t="shared" si="0"/>
        <v>#N/A</v>
      </c>
      <c r="X124" s="191" t="e">
        <f t="shared" si="0"/>
        <v>#N/A</v>
      </c>
      <c r="Y124" s="191" t="e">
        <f t="shared" si="0"/>
        <v>#N/A</v>
      </c>
      <c r="Z124" s="191" t="e">
        <f t="shared" si="0"/>
        <v>#N/A</v>
      </c>
      <c r="AA124" s="191" t="e">
        <f t="shared" si="0"/>
        <v>#N/A</v>
      </c>
      <c r="AB124" s="191" t="e">
        <f t="shared" si="0"/>
        <v>#N/A</v>
      </c>
      <c r="AC124" s="191" t="e">
        <f t="shared" si="0"/>
        <v>#N/A</v>
      </c>
      <c r="AD124" s="191" t="e">
        <f t="shared" si="0"/>
        <v>#N/A</v>
      </c>
      <c r="AE124" s="191" t="e">
        <f t="shared" si="0"/>
        <v>#N/A</v>
      </c>
      <c r="AF124" s="191" t="e">
        <f t="shared" si="0"/>
        <v>#N/A</v>
      </c>
      <c r="AG124" s="191" t="e">
        <f t="shared" si="0"/>
        <v>#N/A</v>
      </c>
      <c r="AH124" s="191" t="e">
        <f t="shared" si="0"/>
        <v>#N/A</v>
      </c>
      <c r="AI124" s="191">
        <f t="shared" si="0"/>
        <v>9999.9999999999982</v>
      </c>
    </row>
    <row r="125" spans="1:35" hidden="1" x14ac:dyDescent="0.15">
      <c r="B125" t="s">
        <v>156</v>
      </c>
      <c r="C125" t="str">
        <f>+C21</f>
        <v>tCO2e</v>
      </c>
      <c r="E125" s="191"/>
      <c r="F125" s="191"/>
      <c r="G125" s="191">
        <f t="shared" ref="G125:AI125" si="1">IF(G26&gt;=0,G26,"---")</f>
        <v>500000</v>
      </c>
      <c r="H125" s="191">
        <f t="shared" si="1"/>
        <v>475181.81818181818</v>
      </c>
      <c r="I125" s="191">
        <f t="shared" si="1"/>
        <v>450363.63636363635</v>
      </c>
      <c r="J125" s="191">
        <f t="shared" si="1"/>
        <v>425545.45454545459</v>
      </c>
      <c r="K125" s="191">
        <f t="shared" si="1"/>
        <v>400727.27272727271</v>
      </c>
      <c r="L125" s="191">
        <f t="shared" si="1"/>
        <v>375909.09090909094</v>
      </c>
      <c r="M125" s="191">
        <f t="shared" si="1"/>
        <v>351090.90909090912</v>
      </c>
      <c r="N125" s="191">
        <f t="shared" si="1"/>
        <v>326272.72727272729</v>
      </c>
      <c r="O125" s="191">
        <f t="shared" si="1"/>
        <v>301454.54545454541</v>
      </c>
      <c r="P125" s="191">
        <f t="shared" si="1"/>
        <v>276636.36363636365</v>
      </c>
      <c r="Q125" s="191">
        <f t="shared" si="1"/>
        <v>251818.18181818182</v>
      </c>
      <c r="R125" s="191">
        <f t="shared" si="1"/>
        <v>226999.99999999997</v>
      </c>
      <c r="S125" s="191">
        <f t="shared" si="1"/>
        <v>202181.81818181818</v>
      </c>
      <c r="T125" s="191">
        <f t="shared" si="1"/>
        <v>177363.63636363632</v>
      </c>
      <c r="U125" s="191" t="e">
        <f t="shared" si="1"/>
        <v>#N/A</v>
      </c>
      <c r="V125" s="191" t="e">
        <f t="shared" si="1"/>
        <v>#N/A</v>
      </c>
      <c r="W125" s="191" t="e">
        <f t="shared" si="1"/>
        <v>#N/A</v>
      </c>
      <c r="X125" s="191" t="e">
        <f t="shared" si="1"/>
        <v>#N/A</v>
      </c>
      <c r="Y125" s="191" t="e">
        <f t="shared" si="1"/>
        <v>#N/A</v>
      </c>
      <c r="Z125" s="191" t="e">
        <f t="shared" si="1"/>
        <v>#N/A</v>
      </c>
      <c r="AA125" s="191" t="e">
        <f t="shared" si="1"/>
        <v>#N/A</v>
      </c>
      <c r="AB125" s="191" t="e">
        <f t="shared" si="1"/>
        <v>#N/A</v>
      </c>
      <c r="AC125" s="191" t="e">
        <f t="shared" si="1"/>
        <v>#N/A</v>
      </c>
      <c r="AD125" s="191" t="e">
        <f t="shared" si="1"/>
        <v>#N/A</v>
      </c>
      <c r="AE125" s="191" t="e">
        <f t="shared" si="1"/>
        <v>#N/A</v>
      </c>
      <c r="AF125" s="191" t="e">
        <f t="shared" si="1"/>
        <v>#N/A</v>
      </c>
      <c r="AG125" s="191" t="e">
        <f t="shared" si="1"/>
        <v>#N/A</v>
      </c>
      <c r="AH125" s="191" t="e">
        <f t="shared" si="1"/>
        <v>#N/A</v>
      </c>
      <c r="AI125" s="191">
        <f t="shared" si="1"/>
        <v>49999.999999999985</v>
      </c>
    </row>
    <row r="126" spans="1:35" hidden="1" x14ac:dyDescent="0.15">
      <c r="B126" s="192" t="s">
        <v>24</v>
      </c>
      <c r="D126" s="187">
        <f>IF(Automakers!$D$25&gt;0,Automakers!$H$35,NA())</f>
        <v>45399.999999999993</v>
      </c>
    </row>
    <row r="127" spans="1:35" hidden="1" x14ac:dyDescent="0.15">
      <c r="B127" s="192" t="s">
        <v>25</v>
      </c>
      <c r="D127" s="187">
        <f>IF(Automakers!$D$26&gt;0,Automakers!$H$36,NA())</f>
        <v>226999.99999999997</v>
      </c>
    </row>
    <row r="129" spans="1:35" x14ac:dyDescent="0.15">
      <c r="B129" s="1" t="str">
        <f>CONCATENATE("Graph 1 | Aggregated emissions intensity | convergence method (",Automakers!D73,")")</f>
        <v>Graph 1 | Aggregated emissions intensity | convergence method ()</v>
      </c>
    </row>
    <row r="130" spans="1:35" s="2" customFormat="1" x14ac:dyDescent="0.15">
      <c r="A130"/>
      <c r="B130" t="str">
        <f>IF(ISTEXT(Automakers!$D$73)=TRUE,IF(Automakers!D73=Lists!$B$2,"Passenger cars | Aggregated emissions intensity in "&amp;Automakers!D72,IF(Automakers!$D$73=Lists!$B$3,"LCVs | Aggregated emissions intensity in "&amp;Automakers!D72,"select a LDV category")),"select a LDV category")</f>
        <v>select a LDV category</v>
      </c>
      <c r="C130" t="str">
        <f>+C34</f>
        <v>gCO2e/vkm</v>
      </c>
      <c r="D130"/>
      <c r="E130" s="185"/>
      <c r="F130" s="185"/>
      <c r="G130" s="185" t="e">
        <f t="shared" ref="G130:AI130" si="2">IF(G37&lt;&gt;0,G37,NA())</f>
        <v>#N/A</v>
      </c>
      <c r="H130" s="185" t="e">
        <f t="shared" si="2"/>
        <v>#N/A</v>
      </c>
      <c r="I130" s="185" t="e">
        <f t="shared" si="2"/>
        <v>#N/A</v>
      </c>
      <c r="J130" s="185" t="e">
        <f t="shared" si="2"/>
        <v>#N/A</v>
      </c>
      <c r="K130" s="185" t="e">
        <f t="shared" si="2"/>
        <v>#N/A</v>
      </c>
      <c r="L130" s="185" t="e">
        <f t="shared" si="2"/>
        <v>#N/A</v>
      </c>
      <c r="M130" s="185" t="e">
        <f t="shared" si="2"/>
        <v>#N/A</v>
      </c>
      <c r="N130" s="185" t="e">
        <f t="shared" si="2"/>
        <v>#N/A</v>
      </c>
      <c r="O130" s="185" t="e">
        <f t="shared" si="2"/>
        <v>#N/A</v>
      </c>
      <c r="P130" s="185" t="e">
        <f t="shared" si="2"/>
        <v>#N/A</v>
      </c>
      <c r="Q130" s="185" t="e">
        <f t="shared" si="2"/>
        <v>#N/A</v>
      </c>
      <c r="R130" s="185" t="e">
        <f t="shared" si="2"/>
        <v>#N/A</v>
      </c>
      <c r="S130" s="185" t="e">
        <f t="shared" si="2"/>
        <v>#N/A</v>
      </c>
      <c r="T130" s="185" t="e">
        <f t="shared" si="2"/>
        <v>#N/A</v>
      </c>
      <c r="U130" s="185" t="e">
        <f t="shared" si="2"/>
        <v>#N/A</v>
      </c>
      <c r="V130" s="185" t="e">
        <f t="shared" si="2"/>
        <v>#N/A</v>
      </c>
      <c r="W130" s="185" t="e">
        <f t="shared" si="2"/>
        <v>#N/A</v>
      </c>
      <c r="X130" s="185" t="e">
        <f t="shared" si="2"/>
        <v>#N/A</v>
      </c>
      <c r="Y130" s="185" t="e">
        <f t="shared" si="2"/>
        <v>#N/A</v>
      </c>
      <c r="Z130" s="185" t="e">
        <f t="shared" si="2"/>
        <v>#N/A</v>
      </c>
      <c r="AA130" s="185" t="e">
        <f t="shared" si="2"/>
        <v>#N/A</v>
      </c>
      <c r="AB130" s="185" t="e">
        <f t="shared" si="2"/>
        <v>#N/A</v>
      </c>
      <c r="AC130" s="185" t="e">
        <f t="shared" si="2"/>
        <v>#N/A</v>
      </c>
      <c r="AD130" s="185" t="e">
        <f t="shared" si="2"/>
        <v>#N/A</v>
      </c>
      <c r="AE130" s="185" t="e">
        <f t="shared" si="2"/>
        <v>#N/A</v>
      </c>
      <c r="AF130" s="185" t="e">
        <f t="shared" si="2"/>
        <v>#N/A</v>
      </c>
      <c r="AG130" s="185" t="e">
        <f t="shared" si="2"/>
        <v>#N/A</v>
      </c>
      <c r="AH130" s="185" t="e">
        <f t="shared" si="2"/>
        <v>#N/A</v>
      </c>
      <c r="AI130" s="185" t="e">
        <f t="shared" si="2"/>
        <v>#N/A</v>
      </c>
    </row>
    <row r="131" spans="1:35" s="2" customFormat="1" x14ac:dyDescent="0.15">
      <c r="A131"/>
      <c r="B131" t="str">
        <f>IF(ISTEXT(Automakers!$D$73)=TRUE,IF(Automakers!D73=Lists!$B$2,"Passenger cars | Benchmark aggregated emissions intensity in "&amp;Automakers!D72,IF(Automakers!$D$73=Lists!$B$3,"LCVs | Benchmark aggregated emissions intensity in "&amp;Automakers!D72,"select a LDV category")),"select a LDV category")</f>
        <v>select a LDV category</v>
      </c>
      <c r="C131" t="str">
        <f>+C36</f>
        <v>gCO2e/vkm</v>
      </c>
      <c r="D131"/>
      <c r="E131" s="185"/>
      <c r="F131" s="185"/>
      <c r="G131" s="185" t="e">
        <f t="shared" ref="G131:AI131" si="3">IF(G34&lt;&gt;0,G34,NA())</f>
        <v>#N/A</v>
      </c>
      <c r="H131" s="185" t="e">
        <f t="shared" si="3"/>
        <v>#N/A</v>
      </c>
      <c r="I131" s="185" t="e">
        <f t="shared" si="3"/>
        <v>#N/A</v>
      </c>
      <c r="J131" s="185" t="e">
        <f t="shared" si="3"/>
        <v>#N/A</v>
      </c>
      <c r="K131" s="185" t="e">
        <f t="shared" si="3"/>
        <v>#N/A</v>
      </c>
      <c r="L131" s="185" t="e">
        <f t="shared" si="3"/>
        <v>#N/A</v>
      </c>
      <c r="M131" s="185" t="e">
        <f t="shared" si="3"/>
        <v>#N/A</v>
      </c>
      <c r="N131" s="185" t="e">
        <f t="shared" si="3"/>
        <v>#N/A</v>
      </c>
      <c r="O131" s="185" t="e">
        <f t="shared" si="3"/>
        <v>#N/A</v>
      </c>
      <c r="P131" s="185" t="e">
        <f t="shared" si="3"/>
        <v>#N/A</v>
      </c>
      <c r="Q131" s="185" t="e">
        <f t="shared" si="3"/>
        <v>#N/A</v>
      </c>
      <c r="R131" s="185" t="e">
        <f t="shared" si="3"/>
        <v>#N/A</v>
      </c>
      <c r="S131" s="185" t="e">
        <f t="shared" si="3"/>
        <v>#N/A</v>
      </c>
      <c r="T131" s="185" t="e">
        <f t="shared" si="3"/>
        <v>#N/A</v>
      </c>
      <c r="U131" s="185" t="e">
        <f t="shared" si="3"/>
        <v>#N/A</v>
      </c>
      <c r="V131" s="185" t="e">
        <f t="shared" si="3"/>
        <v>#N/A</v>
      </c>
      <c r="W131" s="185" t="e">
        <f t="shared" si="3"/>
        <v>#N/A</v>
      </c>
      <c r="X131" s="185" t="e">
        <f t="shared" si="3"/>
        <v>#N/A</v>
      </c>
      <c r="Y131" s="185" t="e">
        <f t="shared" si="3"/>
        <v>#N/A</v>
      </c>
      <c r="Z131" s="185" t="e">
        <f t="shared" si="3"/>
        <v>#N/A</v>
      </c>
      <c r="AA131" s="185" t="e">
        <f t="shared" si="3"/>
        <v>#N/A</v>
      </c>
      <c r="AB131" s="185" t="e">
        <f t="shared" si="3"/>
        <v>#N/A</v>
      </c>
      <c r="AC131" s="185" t="e">
        <f t="shared" si="3"/>
        <v>#N/A</v>
      </c>
      <c r="AD131" s="185" t="e">
        <f t="shared" si="3"/>
        <v>#N/A</v>
      </c>
      <c r="AE131" s="185" t="e">
        <f t="shared" si="3"/>
        <v>#N/A</v>
      </c>
      <c r="AF131" s="185" t="e">
        <f t="shared" si="3"/>
        <v>#N/A</v>
      </c>
      <c r="AG131" s="185" t="e">
        <f t="shared" si="3"/>
        <v>#N/A</v>
      </c>
      <c r="AH131" s="185" t="e">
        <f t="shared" si="3"/>
        <v>#N/A</v>
      </c>
      <c r="AI131" s="185" t="e">
        <f t="shared" si="3"/>
        <v>#N/A</v>
      </c>
    </row>
    <row r="132" spans="1:35" s="2" customFormat="1" x14ac:dyDescent="0.15">
      <c r="A132"/>
      <c r="B132" s="192" t="str">
        <f>+B38</f>
        <v>select a LDV category</v>
      </c>
      <c r="C132" t="str">
        <f>+C37</f>
        <v>gCO2e/vkm</v>
      </c>
      <c r="D132" s="187" t="e">
        <f>IF(Automakers!$D$74&gt;0,D38,NA())</f>
        <v>#N/A</v>
      </c>
      <c r="E132"/>
      <c r="F132"/>
      <c r="G132"/>
      <c r="H132"/>
      <c r="I132"/>
      <c r="J132"/>
      <c r="K132"/>
      <c r="L132"/>
      <c r="M132"/>
      <c r="N132"/>
      <c r="O132"/>
      <c r="P132"/>
      <c r="Q132"/>
      <c r="R132"/>
      <c r="S132"/>
      <c r="T132"/>
      <c r="U132"/>
      <c r="V132"/>
      <c r="W132"/>
      <c r="X132"/>
      <c r="Y132"/>
      <c r="Z132"/>
      <c r="AA132"/>
      <c r="AB132"/>
      <c r="AC132"/>
      <c r="AD132"/>
      <c r="AE132"/>
      <c r="AF132"/>
      <c r="AG132"/>
      <c r="AH132"/>
      <c r="AI132"/>
    </row>
    <row r="133" spans="1:35" s="2" customFormat="1" x14ac:dyDescent="0.15">
      <c r="A133"/>
      <c r="B133" s="192"/>
      <c r="C133"/>
      <c r="D133"/>
      <c r="E133"/>
      <c r="F133"/>
      <c r="G133"/>
      <c r="H133"/>
      <c r="I133"/>
      <c r="J133"/>
      <c r="K133"/>
      <c r="L133"/>
      <c r="M133"/>
      <c r="N133"/>
      <c r="O133"/>
      <c r="P133"/>
      <c r="Q133"/>
      <c r="R133"/>
      <c r="S133"/>
      <c r="T133"/>
      <c r="U133"/>
      <c r="V133"/>
      <c r="W133"/>
      <c r="X133"/>
      <c r="Y133"/>
      <c r="Z133"/>
      <c r="AA133"/>
      <c r="AB133"/>
      <c r="AC133"/>
      <c r="AD133"/>
      <c r="AE133"/>
      <c r="AF133"/>
      <c r="AG133"/>
      <c r="AH133"/>
      <c r="AI133"/>
    </row>
    <row r="134" spans="1:35" s="2" customFormat="1" x14ac:dyDescent="0.15">
      <c r="A134"/>
      <c r="B134" s="1" t="str">
        <f>CONCATENATE("Graph 2 | LEV sales share | convergence method (",Automakers!D73,")")</f>
        <v>Graph 2 | LEV sales share | convergence method ()</v>
      </c>
      <c r="C134"/>
      <c r="D134"/>
      <c r="E134"/>
      <c r="F134"/>
      <c r="G134"/>
      <c r="H134"/>
      <c r="I134"/>
      <c r="J134"/>
      <c r="K134"/>
      <c r="L134"/>
      <c r="M134"/>
      <c r="N134"/>
      <c r="O134"/>
      <c r="P134"/>
      <c r="Q134"/>
      <c r="R134"/>
      <c r="S134"/>
      <c r="T134"/>
      <c r="U134"/>
      <c r="V134"/>
      <c r="W134"/>
      <c r="X134"/>
      <c r="Y134"/>
      <c r="Z134"/>
      <c r="AA134"/>
      <c r="AB134"/>
      <c r="AC134"/>
      <c r="AD134"/>
      <c r="AE134"/>
      <c r="AF134"/>
      <c r="AG134"/>
      <c r="AH134"/>
      <c r="AI134"/>
    </row>
    <row r="135" spans="1:35" s="2" customFormat="1" x14ac:dyDescent="0.15">
      <c r="A135"/>
      <c r="B135" t="str">
        <f>IF(ISTEXT(Automakers!$D$73)=TRUE,IF(Automakers!D73=Lists!$B$2,"Passenger cars | LEV sales share in "&amp;Automakers!D72,IF(Automakers!$D$73=Lists!$B$3,"LCVs | LEV sales share in "&amp;Automakers!D72,"select a LDV category")),"select a LDV category")</f>
        <v>select a LDV category</v>
      </c>
      <c r="C135" t="e">
        <f>INDEX(Lists!$E$2:$E$50,MATCH(Automakers!$D$73,Lists!$B$2:$B$50,0))</f>
        <v>#N/A</v>
      </c>
      <c r="D135"/>
      <c r="E135" s="185"/>
      <c r="F135" s="185"/>
      <c r="G135" s="185" t="e">
        <f t="shared" ref="G135:AI135" si="4">IF(G44&lt;&gt;0,G44,NA())</f>
        <v>#N/A</v>
      </c>
      <c r="H135" s="185" t="e">
        <f t="shared" si="4"/>
        <v>#N/A</v>
      </c>
      <c r="I135" s="185" t="e">
        <f t="shared" si="4"/>
        <v>#N/A</v>
      </c>
      <c r="J135" s="185" t="e">
        <f t="shared" si="4"/>
        <v>#N/A</v>
      </c>
      <c r="K135" s="185" t="e">
        <f t="shared" si="4"/>
        <v>#N/A</v>
      </c>
      <c r="L135" s="185" t="e">
        <f t="shared" si="4"/>
        <v>#N/A</v>
      </c>
      <c r="M135" s="185" t="e">
        <f t="shared" si="4"/>
        <v>#N/A</v>
      </c>
      <c r="N135" s="185" t="e">
        <f t="shared" si="4"/>
        <v>#N/A</v>
      </c>
      <c r="O135" s="185" t="e">
        <f t="shared" si="4"/>
        <v>#N/A</v>
      </c>
      <c r="P135" s="185" t="e">
        <f t="shared" si="4"/>
        <v>#N/A</v>
      </c>
      <c r="Q135" s="185" t="e">
        <f t="shared" si="4"/>
        <v>#N/A</v>
      </c>
      <c r="R135" s="185" t="e">
        <f t="shared" si="4"/>
        <v>#N/A</v>
      </c>
      <c r="S135" s="185" t="e">
        <f t="shared" si="4"/>
        <v>#N/A</v>
      </c>
      <c r="T135" s="185" t="e">
        <f t="shared" si="4"/>
        <v>#N/A</v>
      </c>
      <c r="U135" s="185" t="e">
        <f t="shared" si="4"/>
        <v>#N/A</v>
      </c>
      <c r="V135" s="185" t="e">
        <f t="shared" si="4"/>
        <v>#N/A</v>
      </c>
      <c r="W135" s="185" t="e">
        <f t="shared" si="4"/>
        <v>#N/A</v>
      </c>
      <c r="X135" s="185" t="e">
        <f t="shared" si="4"/>
        <v>#N/A</v>
      </c>
      <c r="Y135" s="185" t="e">
        <f t="shared" si="4"/>
        <v>#N/A</v>
      </c>
      <c r="Z135" s="185" t="e">
        <f t="shared" si="4"/>
        <v>#N/A</v>
      </c>
      <c r="AA135" s="185" t="e">
        <f t="shared" si="4"/>
        <v>#N/A</v>
      </c>
      <c r="AB135" s="185" t="e">
        <f t="shared" si="4"/>
        <v>#N/A</v>
      </c>
      <c r="AC135" s="185" t="e">
        <f t="shared" si="4"/>
        <v>#N/A</v>
      </c>
      <c r="AD135" s="185" t="e">
        <f t="shared" si="4"/>
        <v>#N/A</v>
      </c>
      <c r="AE135" s="185" t="e">
        <f t="shared" si="4"/>
        <v>#N/A</v>
      </c>
      <c r="AF135" s="185" t="e">
        <f t="shared" si="4"/>
        <v>#N/A</v>
      </c>
      <c r="AG135" s="185" t="e">
        <f t="shared" si="4"/>
        <v>#N/A</v>
      </c>
      <c r="AH135" s="185" t="e">
        <f t="shared" si="4"/>
        <v>#N/A</v>
      </c>
      <c r="AI135" s="185" t="e">
        <f t="shared" si="4"/>
        <v>#N/A</v>
      </c>
    </row>
    <row r="136" spans="1:35" s="2" customFormat="1" x14ac:dyDescent="0.15">
      <c r="A136"/>
      <c r="B136" t="str">
        <f>IF(ISTEXT(Automakers!$D$73)=TRUE,IF(Automakers!D73=Lists!$B$2,"Passenger cars | Benchmark LEV sales share in "&amp;Automakers!D72,IF(Automakers!$D$73=Lists!$B$3,"LCVs | Benchmark LEV sales share in "&amp;Automakers!D72,"select a LDV category")),"select a LDV category")</f>
        <v>select a LDV category</v>
      </c>
      <c r="C136" t="e">
        <f>INDEX(Lists!$E$2:$E$50,MATCH(Automakers!$D$73,Lists!$B$2:$B$50,0))</f>
        <v>#N/A</v>
      </c>
      <c r="D136"/>
      <c r="E136" s="185"/>
      <c r="F136" s="185"/>
      <c r="G136" s="185" t="e">
        <f t="shared" ref="G136:AI136" si="5">IF(G41&lt;&gt;0,G41,NA())</f>
        <v>#N/A</v>
      </c>
      <c r="H136" s="185" t="e">
        <f t="shared" si="5"/>
        <v>#N/A</v>
      </c>
      <c r="I136" s="185" t="e">
        <f t="shared" si="5"/>
        <v>#N/A</v>
      </c>
      <c r="J136" s="185" t="e">
        <f t="shared" si="5"/>
        <v>#N/A</v>
      </c>
      <c r="K136" s="185" t="e">
        <f t="shared" si="5"/>
        <v>#N/A</v>
      </c>
      <c r="L136" s="185" t="e">
        <f t="shared" si="5"/>
        <v>#N/A</v>
      </c>
      <c r="M136" s="185" t="e">
        <f t="shared" si="5"/>
        <v>#N/A</v>
      </c>
      <c r="N136" s="185" t="e">
        <f t="shared" si="5"/>
        <v>#N/A</v>
      </c>
      <c r="O136" s="185" t="e">
        <f t="shared" si="5"/>
        <v>#N/A</v>
      </c>
      <c r="P136" s="185" t="e">
        <f t="shared" si="5"/>
        <v>#N/A</v>
      </c>
      <c r="Q136" s="185" t="e">
        <f t="shared" si="5"/>
        <v>#N/A</v>
      </c>
      <c r="R136" s="185" t="e">
        <f t="shared" si="5"/>
        <v>#N/A</v>
      </c>
      <c r="S136" s="185" t="e">
        <f t="shared" si="5"/>
        <v>#N/A</v>
      </c>
      <c r="T136" s="185" t="e">
        <f t="shared" si="5"/>
        <v>#N/A</v>
      </c>
      <c r="U136" s="185" t="e">
        <f t="shared" si="5"/>
        <v>#N/A</v>
      </c>
      <c r="V136" s="185" t="e">
        <f t="shared" si="5"/>
        <v>#N/A</v>
      </c>
      <c r="W136" s="185" t="e">
        <f t="shared" si="5"/>
        <v>#N/A</v>
      </c>
      <c r="X136" s="185" t="e">
        <f t="shared" si="5"/>
        <v>#N/A</v>
      </c>
      <c r="Y136" s="185" t="e">
        <f t="shared" si="5"/>
        <v>#N/A</v>
      </c>
      <c r="Z136" s="185" t="e">
        <f t="shared" si="5"/>
        <v>#N/A</v>
      </c>
      <c r="AA136" s="185" t="e">
        <f t="shared" si="5"/>
        <v>#N/A</v>
      </c>
      <c r="AB136" s="185" t="e">
        <f t="shared" si="5"/>
        <v>#N/A</v>
      </c>
      <c r="AC136" s="185" t="e">
        <f t="shared" si="5"/>
        <v>#N/A</v>
      </c>
      <c r="AD136" s="185" t="e">
        <f t="shared" si="5"/>
        <v>#N/A</v>
      </c>
      <c r="AE136" s="185" t="e">
        <f t="shared" si="5"/>
        <v>#N/A</v>
      </c>
      <c r="AF136" s="185" t="e">
        <f t="shared" si="5"/>
        <v>#N/A</v>
      </c>
      <c r="AG136" s="185" t="e">
        <f t="shared" si="5"/>
        <v>#N/A</v>
      </c>
      <c r="AH136" s="185" t="e">
        <f t="shared" si="5"/>
        <v>#N/A</v>
      </c>
      <c r="AI136" s="185" t="e">
        <f t="shared" si="5"/>
        <v>#N/A</v>
      </c>
    </row>
    <row r="137" spans="1:35" s="2" customFormat="1" x14ac:dyDescent="0.15">
      <c r="A137"/>
      <c r="B137" s="192" t="str">
        <f>+B45</f>
        <v>select a LDV category</v>
      </c>
      <c r="C137" t="e">
        <f>INDEX(Lists!$E$2:$E$50,MATCH(Automakers!$D$73,Lists!$B$2:$B$50,0))</f>
        <v>#N/A</v>
      </c>
      <c r="D137" s="187" t="e">
        <f>IF(Automakers!$D$74&gt;0,D45,NA())</f>
        <v>#N/A</v>
      </c>
      <c r="E137"/>
      <c r="F137"/>
      <c r="G137"/>
      <c r="H137"/>
      <c r="I137"/>
      <c r="J137"/>
      <c r="K137"/>
      <c r="L137"/>
      <c r="M137"/>
      <c r="N137"/>
      <c r="O137"/>
      <c r="P137"/>
      <c r="Q137"/>
      <c r="R137"/>
      <c r="S137"/>
      <c r="T137"/>
      <c r="U137"/>
      <c r="V137"/>
      <c r="W137"/>
      <c r="X137"/>
      <c r="Y137"/>
      <c r="Z137"/>
      <c r="AA137"/>
      <c r="AB137"/>
      <c r="AC137"/>
      <c r="AD137"/>
      <c r="AE137"/>
      <c r="AF137"/>
      <c r="AG137"/>
      <c r="AH137"/>
      <c r="AI137"/>
    </row>
    <row r="139" spans="1:35" x14ac:dyDescent="0.15">
      <c r="B139" s="1" t="str">
        <f>CONCATENATE("Graph 3 | Aggregated emissions intensity | percent improvement method (",Automakers!D113,")")</f>
        <v>Graph 3 | Aggregated emissions intensity | percent improvement method ()</v>
      </c>
    </row>
    <row r="140" spans="1:35" x14ac:dyDescent="0.15">
      <c r="B140" t="str">
        <f>IF(ISTEXT(Automakers!$D$113)=TRUE,Automakers!D113&amp;" | Aggregated emissions intensity in "&amp;Automakers!D112,"select a vehicle category")</f>
        <v>select a vehicle category</v>
      </c>
      <c r="C140" t="str">
        <f>+C132</f>
        <v>gCO2e/vkm</v>
      </c>
      <c r="G140" s="2" t="e">
        <f t="shared" ref="G140:AI140" si="6">IF(G56&lt;&gt;0,G56,NA())</f>
        <v>#N/A</v>
      </c>
      <c r="H140" s="2" t="e">
        <f t="shared" si="6"/>
        <v>#N/A</v>
      </c>
      <c r="I140" s="2" t="e">
        <f t="shared" si="6"/>
        <v>#N/A</v>
      </c>
      <c r="J140" s="2" t="e">
        <f t="shared" si="6"/>
        <v>#N/A</v>
      </c>
      <c r="K140" s="2" t="e">
        <f t="shared" si="6"/>
        <v>#N/A</v>
      </c>
      <c r="L140" s="2" t="e">
        <f t="shared" si="6"/>
        <v>#N/A</v>
      </c>
      <c r="M140" s="2" t="e">
        <f t="shared" si="6"/>
        <v>#N/A</v>
      </c>
      <c r="N140" s="2" t="e">
        <f t="shared" si="6"/>
        <v>#N/A</v>
      </c>
      <c r="O140" s="2" t="e">
        <f t="shared" si="6"/>
        <v>#N/A</v>
      </c>
      <c r="P140" s="2" t="e">
        <f t="shared" si="6"/>
        <v>#N/A</v>
      </c>
      <c r="Q140" s="2" t="e">
        <f t="shared" si="6"/>
        <v>#N/A</v>
      </c>
      <c r="R140" s="2" t="e">
        <f t="shared" si="6"/>
        <v>#N/A</v>
      </c>
      <c r="S140" s="2" t="e">
        <f t="shared" si="6"/>
        <v>#N/A</v>
      </c>
      <c r="T140" s="2" t="e">
        <f t="shared" si="6"/>
        <v>#N/A</v>
      </c>
      <c r="U140" s="2" t="e">
        <f t="shared" si="6"/>
        <v>#N/A</v>
      </c>
      <c r="V140" s="2" t="e">
        <f t="shared" si="6"/>
        <v>#N/A</v>
      </c>
      <c r="W140" s="2" t="e">
        <f t="shared" si="6"/>
        <v>#N/A</v>
      </c>
      <c r="X140" s="2" t="e">
        <f t="shared" si="6"/>
        <v>#N/A</v>
      </c>
      <c r="Y140" s="2" t="e">
        <f t="shared" si="6"/>
        <v>#N/A</v>
      </c>
      <c r="Z140" s="2" t="e">
        <f t="shared" si="6"/>
        <v>#N/A</v>
      </c>
      <c r="AA140" s="2" t="e">
        <f t="shared" si="6"/>
        <v>#N/A</v>
      </c>
      <c r="AB140" s="2" t="e">
        <f t="shared" si="6"/>
        <v>#N/A</v>
      </c>
      <c r="AC140" s="2" t="e">
        <f t="shared" si="6"/>
        <v>#N/A</v>
      </c>
      <c r="AD140" s="2" t="e">
        <f t="shared" si="6"/>
        <v>#N/A</v>
      </c>
      <c r="AE140" s="2" t="e">
        <f t="shared" si="6"/>
        <v>#N/A</v>
      </c>
      <c r="AF140" s="2" t="e">
        <f t="shared" si="6"/>
        <v>#N/A</v>
      </c>
      <c r="AG140" s="2" t="e">
        <f t="shared" si="6"/>
        <v>#N/A</v>
      </c>
      <c r="AH140" s="2" t="e">
        <f t="shared" si="6"/>
        <v>#N/A</v>
      </c>
      <c r="AI140" s="2" t="e">
        <f t="shared" si="6"/>
        <v>#N/A</v>
      </c>
    </row>
    <row r="141" spans="1:35" x14ac:dyDescent="0.15">
      <c r="B141" t="str">
        <f>IF(ISTEXT(Automakers!$D$113)=TRUE,Automakers!D113&amp;" | Benchmark aggregated emissions intensity in "&amp;Automakers!D112,"select a vehicle category")</f>
        <v>select a vehicle category</v>
      </c>
      <c r="C141" t="str">
        <f>+C140</f>
        <v>gCO2e/vkm</v>
      </c>
      <c r="G141" s="2" t="e">
        <f t="shared" ref="G141:AI141" si="7">IF(G53&lt;&gt;0,G53,NA())</f>
        <v>#N/A</v>
      </c>
      <c r="H141" s="2" t="e">
        <f t="shared" si="7"/>
        <v>#N/A</v>
      </c>
      <c r="I141" s="2" t="e">
        <f t="shared" si="7"/>
        <v>#N/A</v>
      </c>
      <c r="J141" s="2" t="e">
        <f t="shared" si="7"/>
        <v>#N/A</v>
      </c>
      <c r="K141" s="2" t="e">
        <f t="shared" si="7"/>
        <v>#N/A</v>
      </c>
      <c r="L141" s="2" t="e">
        <f t="shared" si="7"/>
        <v>#N/A</v>
      </c>
      <c r="M141" s="2" t="e">
        <f t="shared" si="7"/>
        <v>#N/A</v>
      </c>
      <c r="N141" s="2" t="e">
        <f t="shared" si="7"/>
        <v>#N/A</v>
      </c>
      <c r="O141" s="2" t="e">
        <f t="shared" si="7"/>
        <v>#N/A</v>
      </c>
      <c r="P141" s="2" t="e">
        <f t="shared" si="7"/>
        <v>#N/A</v>
      </c>
      <c r="Q141" s="2" t="e">
        <f t="shared" si="7"/>
        <v>#N/A</v>
      </c>
      <c r="R141" s="2" t="e">
        <f t="shared" si="7"/>
        <v>#N/A</v>
      </c>
      <c r="S141" s="2" t="e">
        <f t="shared" si="7"/>
        <v>#N/A</v>
      </c>
      <c r="T141" s="2" t="e">
        <f t="shared" si="7"/>
        <v>#N/A</v>
      </c>
      <c r="U141" s="2" t="e">
        <f t="shared" si="7"/>
        <v>#N/A</v>
      </c>
      <c r="V141" s="2" t="e">
        <f t="shared" si="7"/>
        <v>#N/A</v>
      </c>
      <c r="W141" s="2" t="e">
        <f t="shared" si="7"/>
        <v>#N/A</v>
      </c>
      <c r="X141" s="2" t="e">
        <f t="shared" si="7"/>
        <v>#N/A</v>
      </c>
      <c r="Y141" s="2" t="e">
        <f t="shared" si="7"/>
        <v>#N/A</v>
      </c>
      <c r="Z141" s="2" t="e">
        <f t="shared" si="7"/>
        <v>#N/A</v>
      </c>
      <c r="AA141" s="2" t="e">
        <f t="shared" si="7"/>
        <v>#N/A</v>
      </c>
      <c r="AB141" s="2" t="e">
        <f t="shared" si="7"/>
        <v>#N/A</v>
      </c>
      <c r="AC141" s="2" t="e">
        <f t="shared" si="7"/>
        <v>#N/A</v>
      </c>
      <c r="AD141" s="2" t="e">
        <f t="shared" si="7"/>
        <v>#N/A</v>
      </c>
      <c r="AE141" s="2" t="e">
        <f t="shared" si="7"/>
        <v>#N/A</v>
      </c>
      <c r="AF141" s="2" t="e">
        <f t="shared" si="7"/>
        <v>#N/A</v>
      </c>
      <c r="AG141" s="2" t="e">
        <f t="shared" si="7"/>
        <v>#N/A</v>
      </c>
      <c r="AH141" s="2" t="e">
        <f t="shared" si="7"/>
        <v>#N/A</v>
      </c>
      <c r="AI141" s="2" t="e">
        <f t="shared" si="7"/>
        <v>#N/A</v>
      </c>
    </row>
    <row r="142" spans="1:35" x14ac:dyDescent="0.15">
      <c r="B142" s="192" t="str">
        <f>+B57</f>
        <v>select a vehicle category</v>
      </c>
      <c r="C142" t="str">
        <f>+C141</f>
        <v>gCO2e/vkm</v>
      </c>
      <c r="D142" s="187" t="e">
        <f>IF(Automakers!D116&gt;0,D57,NA())</f>
        <v>#N/A</v>
      </c>
    </row>
    <row r="144" spans="1:35" x14ac:dyDescent="0.15">
      <c r="B144" s="1" t="str">
        <f>CONCATENATE("Graph 4 | LEV sales share | convergence method (",Automakers!D113,")")</f>
        <v>Graph 4 | LEV sales share | convergence method ()</v>
      </c>
    </row>
    <row r="145" spans="2:35" x14ac:dyDescent="0.15">
      <c r="B145" t="str">
        <f>IF(ISTEXT(Automakers!$D$113)=TRUE,Automakers!D113&amp;" | LEV sales share in "&amp;Automakers!D112,"select a vehicle category")</f>
        <v>select a vehicle category</v>
      </c>
      <c r="C145" t="e">
        <f>+C137</f>
        <v>#N/A</v>
      </c>
      <c r="G145" s="2" t="e">
        <f t="shared" ref="G145:AI145" si="8">IF(G63&lt;&gt;0,G63,NA())</f>
        <v>#N/A</v>
      </c>
      <c r="H145" s="2" t="e">
        <f t="shared" si="8"/>
        <v>#N/A</v>
      </c>
      <c r="I145" s="2" t="e">
        <f t="shared" si="8"/>
        <v>#N/A</v>
      </c>
      <c r="J145" s="2" t="e">
        <f t="shared" si="8"/>
        <v>#N/A</v>
      </c>
      <c r="K145" s="2" t="e">
        <f t="shared" si="8"/>
        <v>#N/A</v>
      </c>
      <c r="L145" s="2" t="e">
        <f t="shared" si="8"/>
        <v>#N/A</v>
      </c>
      <c r="M145" s="2" t="e">
        <f t="shared" si="8"/>
        <v>#N/A</v>
      </c>
      <c r="N145" s="2" t="e">
        <f t="shared" si="8"/>
        <v>#N/A</v>
      </c>
      <c r="O145" s="2" t="e">
        <f t="shared" si="8"/>
        <v>#N/A</v>
      </c>
      <c r="P145" s="2" t="e">
        <f t="shared" si="8"/>
        <v>#N/A</v>
      </c>
      <c r="Q145" s="2" t="e">
        <f t="shared" si="8"/>
        <v>#N/A</v>
      </c>
      <c r="R145" s="2" t="e">
        <f t="shared" si="8"/>
        <v>#N/A</v>
      </c>
      <c r="S145" s="2" t="e">
        <f t="shared" si="8"/>
        <v>#N/A</v>
      </c>
      <c r="T145" s="2" t="e">
        <f t="shared" si="8"/>
        <v>#N/A</v>
      </c>
      <c r="U145" s="2" t="e">
        <f t="shared" si="8"/>
        <v>#N/A</v>
      </c>
      <c r="V145" s="2" t="e">
        <f t="shared" si="8"/>
        <v>#N/A</v>
      </c>
      <c r="W145" s="2" t="e">
        <f t="shared" si="8"/>
        <v>#N/A</v>
      </c>
      <c r="X145" s="2" t="e">
        <f t="shared" si="8"/>
        <v>#N/A</v>
      </c>
      <c r="Y145" s="2" t="e">
        <f t="shared" si="8"/>
        <v>#N/A</v>
      </c>
      <c r="Z145" s="2" t="e">
        <f t="shared" si="8"/>
        <v>#N/A</v>
      </c>
      <c r="AA145" s="2" t="e">
        <f t="shared" si="8"/>
        <v>#N/A</v>
      </c>
      <c r="AB145" s="2" t="e">
        <f t="shared" si="8"/>
        <v>#N/A</v>
      </c>
      <c r="AC145" s="2" t="e">
        <f t="shared" si="8"/>
        <v>#N/A</v>
      </c>
      <c r="AD145" s="2" t="e">
        <f t="shared" si="8"/>
        <v>#N/A</v>
      </c>
      <c r="AE145" s="2" t="e">
        <f t="shared" si="8"/>
        <v>#N/A</v>
      </c>
      <c r="AF145" s="2" t="e">
        <f t="shared" si="8"/>
        <v>#N/A</v>
      </c>
      <c r="AG145" s="2" t="e">
        <f t="shared" si="8"/>
        <v>#N/A</v>
      </c>
      <c r="AH145" s="2" t="e">
        <f t="shared" si="8"/>
        <v>#N/A</v>
      </c>
      <c r="AI145" s="2" t="e">
        <f t="shared" si="8"/>
        <v>#N/A</v>
      </c>
    </row>
    <row r="146" spans="2:35" x14ac:dyDescent="0.15">
      <c r="B146" t="str">
        <f>IF(ISTEXT(Automakers!$D$113)=TRUE,Automakers!D113&amp;" | Benchmark LEV sales share in "&amp;Automakers!D112,"select a vehicle category")</f>
        <v>select a vehicle category</v>
      </c>
      <c r="C146" t="e">
        <f>+C145</f>
        <v>#N/A</v>
      </c>
      <c r="G146" s="2" t="e">
        <f t="shared" ref="G146:AI146" si="9">IF(G60&lt;&gt;0,G60,NA())</f>
        <v>#N/A</v>
      </c>
      <c r="H146" s="2" t="e">
        <f t="shared" si="9"/>
        <v>#N/A</v>
      </c>
      <c r="I146" s="2" t="e">
        <f t="shared" si="9"/>
        <v>#N/A</v>
      </c>
      <c r="J146" s="2" t="e">
        <f t="shared" si="9"/>
        <v>#N/A</v>
      </c>
      <c r="K146" s="2" t="e">
        <f t="shared" si="9"/>
        <v>#N/A</v>
      </c>
      <c r="L146" s="2" t="e">
        <f t="shared" si="9"/>
        <v>#N/A</v>
      </c>
      <c r="M146" s="2" t="e">
        <f t="shared" si="9"/>
        <v>#N/A</v>
      </c>
      <c r="N146" s="2" t="e">
        <f t="shared" si="9"/>
        <v>#N/A</v>
      </c>
      <c r="O146" s="2" t="e">
        <f t="shared" si="9"/>
        <v>#N/A</v>
      </c>
      <c r="P146" s="2" t="e">
        <f t="shared" si="9"/>
        <v>#N/A</v>
      </c>
      <c r="Q146" s="2" t="e">
        <f t="shared" si="9"/>
        <v>#N/A</v>
      </c>
      <c r="R146" s="2" t="e">
        <f t="shared" si="9"/>
        <v>#N/A</v>
      </c>
      <c r="S146" s="2" t="e">
        <f t="shared" si="9"/>
        <v>#N/A</v>
      </c>
      <c r="T146" s="2" t="e">
        <f t="shared" si="9"/>
        <v>#N/A</v>
      </c>
      <c r="U146" s="2" t="e">
        <f t="shared" si="9"/>
        <v>#N/A</v>
      </c>
      <c r="V146" s="2" t="e">
        <f t="shared" si="9"/>
        <v>#N/A</v>
      </c>
      <c r="W146" s="2" t="e">
        <f t="shared" si="9"/>
        <v>#N/A</v>
      </c>
      <c r="X146" s="2" t="e">
        <f t="shared" si="9"/>
        <v>#N/A</v>
      </c>
      <c r="Y146" s="2" t="e">
        <f t="shared" si="9"/>
        <v>#N/A</v>
      </c>
      <c r="Z146" s="2" t="e">
        <f t="shared" si="9"/>
        <v>#N/A</v>
      </c>
      <c r="AA146" s="2" t="e">
        <f t="shared" si="9"/>
        <v>#N/A</v>
      </c>
      <c r="AB146" s="2" t="e">
        <f t="shared" si="9"/>
        <v>#N/A</v>
      </c>
      <c r="AC146" s="2" t="e">
        <f t="shared" si="9"/>
        <v>#N/A</v>
      </c>
      <c r="AD146" s="2" t="e">
        <f t="shared" si="9"/>
        <v>#N/A</v>
      </c>
      <c r="AE146" s="2" t="e">
        <f t="shared" si="9"/>
        <v>#N/A</v>
      </c>
      <c r="AF146" s="2" t="e">
        <f t="shared" si="9"/>
        <v>#N/A</v>
      </c>
      <c r="AG146" s="2" t="e">
        <f t="shared" si="9"/>
        <v>#N/A</v>
      </c>
      <c r="AH146" s="2" t="e">
        <f t="shared" si="9"/>
        <v>#N/A</v>
      </c>
      <c r="AI146" s="2" t="e">
        <f t="shared" si="9"/>
        <v>#N/A</v>
      </c>
    </row>
    <row r="147" spans="2:35" x14ac:dyDescent="0.15">
      <c r="B147" s="192" t="str">
        <f>+B64</f>
        <v>select a vehicle category</v>
      </c>
      <c r="C147" t="e">
        <f>+C146</f>
        <v>#N/A</v>
      </c>
      <c r="D147" s="187" t="e">
        <f>IF(Automakers!D117&gt;0,D64,NA())</f>
        <v>#N/A</v>
      </c>
    </row>
    <row r="149" spans="2:35" x14ac:dyDescent="0.15">
      <c r="B149" s="1" t="str">
        <f>CONCATENATE("Graph 5 | Automakers Scope 3 category 1 intensity | percent improvement method")</f>
        <v>Graph 5 | Automakers Scope 3 category 1 intensity | percent improvement method</v>
      </c>
    </row>
    <row r="150" spans="2:35" x14ac:dyDescent="0.15">
      <c r="B150" t="str">
        <f>IF(ISNUMBER(Automakers!$D$153)=TRUE,"Scope 3 category 1 emission intensity", "enter base year data")</f>
        <v>enter base year data</v>
      </c>
      <c r="C150" t="e">
        <f>+C137</f>
        <v>#N/A</v>
      </c>
      <c r="G150" s="2" t="e">
        <f>IF(G71&lt;&gt;0,G71,NA())</f>
        <v>#N/A</v>
      </c>
      <c r="H150" s="2" t="e">
        <f t="shared" ref="H150:AI150" si="10">IF(H71&lt;&gt;0,H71,NA())</f>
        <v>#N/A</v>
      </c>
      <c r="I150" s="2" t="e">
        <f t="shared" si="10"/>
        <v>#N/A</v>
      </c>
      <c r="J150" s="2" t="e">
        <f t="shared" si="10"/>
        <v>#N/A</v>
      </c>
      <c r="K150" s="2" t="e">
        <f t="shared" si="10"/>
        <v>#N/A</v>
      </c>
      <c r="L150" s="2" t="e">
        <f t="shared" si="10"/>
        <v>#N/A</v>
      </c>
      <c r="M150" s="2" t="e">
        <f t="shared" si="10"/>
        <v>#N/A</v>
      </c>
      <c r="N150" s="2" t="e">
        <f t="shared" si="10"/>
        <v>#N/A</v>
      </c>
      <c r="O150" s="2" t="e">
        <f t="shared" si="10"/>
        <v>#N/A</v>
      </c>
      <c r="P150" s="2" t="e">
        <f t="shared" si="10"/>
        <v>#N/A</v>
      </c>
      <c r="Q150" s="2" t="e">
        <f t="shared" si="10"/>
        <v>#N/A</v>
      </c>
      <c r="R150" s="2" t="e">
        <f t="shared" si="10"/>
        <v>#N/A</v>
      </c>
      <c r="S150" s="2" t="e">
        <f t="shared" si="10"/>
        <v>#N/A</v>
      </c>
      <c r="T150" s="2" t="e">
        <f t="shared" si="10"/>
        <v>#N/A</v>
      </c>
      <c r="U150" s="2" t="e">
        <f t="shared" si="10"/>
        <v>#N/A</v>
      </c>
      <c r="V150" s="2" t="e">
        <f t="shared" si="10"/>
        <v>#N/A</v>
      </c>
      <c r="W150" s="2" t="e">
        <f t="shared" si="10"/>
        <v>#N/A</v>
      </c>
      <c r="X150" s="2" t="e">
        <f t="shared" si="10"/>
        <v>#N/A</v>
      </c>
      <c r="Y150" s="2" t="e">
        <f t="shared" si="10"/>
        <v>#N/A</v>
      </c>
      <c r="Z150" s="2" t="e">
        <f t="shared" si="10"/>
        <v>#N/A</v>
      </c>
      <c r="AA150" s="2" t="e">
        <f t="shared" si="10"/>
        <v>#N/A</v>
      </c>
      <c r="AB150" s="2" t="e">
        <f t="shared" si="10"/>
        <v>#N/A</v>
      </c>
      <c r="AC150" s="2" t="e">
        <f t="shared" si="10"/>
        <v>#N/A</v>
      </c>
      <c r="AD150" s="2" t="e">
        <f t="shared" si="10"/>
        <v>#N/A</v>
      </c>
      <c r="AE150" s="2" t="e">
        <f t="shared" si="10"/>
        <v>#N/A</v>
      </c>
      <c r="AF150" s="2" t="e">
        <f t="shared" si="10"/>
        <v>#N/A</v>
      </c>
      <c r="AG150" s="2" t="e">
        <f t="shared" si="10"/>
        <v>#N/A</v>
      </c>
      <c r="AH150" s="2" t="e">
        <f t="shared" si="10"/>
        <v>#N/A</v>
      </c>
      <c r="AI150" s="2" t="e">
        <f t="shared" si="10"/>
        <v>#N/A</v>
      </c>
    </row>
    <row r="151" spans="2:35" x14ac:dyDescent="0.15">
      <c r="B151" t="str">
        <f>IF(ISNUMBER(Automakers!$D$153)=TRUE,"Benchmark | Intensity reduction trajectory for materials production (Indexed)", "enter base year data")</f>
        <v>enter base year data</v>
      </c>
      <c r="C151" t="e">
        <f>+C150</f>
        <v>#N/A</v>
      </c>
      <c r="G151" s="2" t="e">
        <f>IF(G69&lt;&gt;0,G69,NA())</f>
        <v>#N/A</v>
      </c>
      <c r="H151" s="2">
        <f t="shared" ref="H151:AI151" si="11">IF(H69&lt;&gt;0,H69,NA())</f>
        <v>1</v>
      </c>
      <c r="I151" s="2">
        <f t="shared" si="11"/>
        <v>0.96576747072674518</v>
      </c>
      <c r="J151" s="2">
        <f t="shared" si="11"/>
        <v>0.93153494145349003</v>
      </c>
      <c r="K151" s="2">
        <f t="shared" si="11"/>
        <v>0.89730241218023521</v>
      </c>
      <c r="L151" s="2">
        <f t="shared" si="11"/>
        <v>0.86306988290698017</v>
      </c>
      <c r="M151" s="2">
        <f t="shared" si="11"/>
        <v>0.82883735363372524</v>
      </c>
      <c r="N151" s="2">
        <f t="shared" si="11"/>
        <v>0.79460482436047042</v>
      </c>
      <c r="O151" s="2">
        <f t="shared" si="11"/>
        <v>0.76037229508721538</v>
      </c>
      <c r="P151" s="2">
        <f t="shared" si="11"/>
        <v>0.7161825737268781</v>
      </c>
      <c r="Q151" s="2">
        <f t="shared" si="11"/>
        <v>0.67199285236654105</v>
      </c>
      <c r="R151" s="2">
        <f t="shared" si="11"/>
        <v>0.62780313100620389</v>
      </c>
      <c r="S151" s="2">
        <f t="shared" si="11"/>
        <v>0.58361340964586683</v>
      </c>
      <c r="T151" s="2">
        <f t="shared" si="11"/>
        <v>0.53942368828552978</v>
      </c>
      <c r="U151" s="2">
        <f t="shared" si="11"/>
        <v>0.49693665164059386</v>
      </c>
      <c r="V151" s="2">
        <f t="shared" si="11"/>
        <v>0.454449614995658</v>
      </c>
      <c r="W151" s="2">
        <f t="shared" si="11"/>
        <v>0.41196257835072209</v>
      </c>
      <c r="X151" s="2">
        <f t="shared" si="11"/>
        <v>0.36947554170578634</v>
      </c>
      <c r="Y151" s="2">
        <f t="shared" si="11"/>
        <v>0.32698850506085048</v>
      </c>
      <c r="Z151" s="2">
        <f t="shared" si="11"/>
        <v>0.29883823918863928</v>
      </c>
      <c r="AA151" s="2">
        <f t="shared" si="11"/>
        <v>0.27068797331642813</v>
      </c>
      <c r="AB151" s="2">
        <f t="shared" si="11"/>
        <v>0.2425377074442169</v>
      </c>
      <c r="AC151" s="2">
        <f t="shared" si="11"/>
        <v>0.21438744157200568</v>
      </c>
      <c r="AD151" s="2">
        <f t="shared" si="11"/>
        <v>0.1862371756997945</v>
      </c>
      <c r="AE151" s="2">
        <f t="shared" si="11"/>
        <v>0.15808690982758328</v>
      </c>
      <c r="AF151" s="2">
        <f t="shared" si="11"/>
        <v>0.12993664395537211</v>
      </c>
      <c r="AG151" s="2">
        <f t="shared" si="11"/>
        <v>0.10178637808316089</v>
      </c>
      <c r="AH151" s="2">
        <f t="shared" si="11"/>
        <v>7.3636112210949692E-2</v>
      </c>
      <c r="AI151" s="2">
        <f t="shared" si="11"/>
        <v>4.5485846338738409E-2</v>
      </c>
    </row>
    <row r="152" spans="2:35" x14ac:dyDescent="0.15">
      <c r="B152" s="192" t="str">
        <f>+B72</f>
        <v>Scope 3 category 1 intensity target</v>
      </c>
      <c r="C152" t="e">
        <f>+C151</f>
        <v>#N/A</v>
      </c>
      <c r="D152" s="187" t="e">
        <f>IF(Automakers!D153&gt;0,D72,NA())</f>
        <v>#N/A</v>
      </c>
    </row>
    <row r="154" spans="2:35" x14ac:dyDescent="0.15">
      <c r="B154" s="1" t="str">
        <f>CONCATENATE("Graph 6 | Aggregated auto parts manufacture emission intensity | convergence method (",Autoparts!D25,")")</f>
        <v>Graph 6 | Aggregated auto parts manufacture emission intensity | convergence method ()</v>
      </c>
    </row>
    <row r="155" spans="2:35" x14ac:dyDescent="0.15">
      <c r="B155" t="str">
        <f>IF(ISTEXT(Autoparts!D25)=TRUE,Autoparts!D25&amp;" | Aggregated auto parts manufacture emission intensity in "&amp;Autoparts!D24,"select a vehicle category")</f>
        <v>select a vehicle category</v>
      </c>
      <c r="C155" t="str">
        <f>+C142</f>
        <v>gCO2e/vkm</v>
      </c>
      <c r="G155" s="2" t="e">
        <f>IF(G83&lt;&gt;0,G83,NA())</f>
        <v>#N/A</v>
      </c>
      <c r="H155" s="2" t="e">
        <f t="shared" ref="H155:AI155" si="12">IF(H83&lt;&gt;0,H83,NA())</f>
        <v>#N/A</v>
      </c>
      <c r="I155" s="2" t="e">
        <f t="shared" si="12"/>
        <v>#N/A</v>
      </c>
      <c r="J155" s="2" t="e">
        <f t="shared" si="12"/>
        <v>#N/A</v>
      </c>
      <c r="K155" s="2" t="e">
        <f t="shared" si="12"/>
        <v>#N/A</v>
      </c>
      <c r="L155" s="2" t="e">
        <f t="shared" si="12"/>
        <v>#N/A</v>
      </c>
      <c r="M155" s="2" t="e">
        <f t="shared" si="12"/>
        <v>#N/A</v>
      </c>
      <c r="N155" s="2" t="e">
        <f t="shared" si="12"/>
        <v>#N/A</v>
      </c>
      <c r="O155" s="2" t="e">
        <f t="shared" si="12"/>
        <v>#N/A</v>
      </c>
      <c r="P155" s="2" t="e">
        <f t="shared" si="12"/>
        <v>#N/A</v>
      </c>
      <c r="Q155" s="2" t="e">
        <f t="shared" si="12"/>
        <v>#N/A</v>
      </c>
      <c r="R155" s="2" t="e">
        <f t="shared" si="12"/>
        <v>#N/A</v>
      </c>
      <c r="S155" s="2" t="e">
        <f t="shared" si="12"/>
        <v>#N/A</v>
      </c>
      <c r="T155" s="2" t="e">
        <f t="shared" si="12"/>
        <v>#N/A</v>
      </c>
      <c r="U155" s="2" t="e">
        <f t="shared" si="12"/>
        <v>#N/A</v>
      </c>
      <c r="V155" s="2" t="e">
        <f t="shared" si="12"/>
        <v>#N/A</v>
      </c>
      <c r="W155" s="2" t="e">
        <f t="shared" si="12"/>
        <v>#N/A</v>
      </c>
      <c r="X155" s="2" t="e">
        <f t="shared" si="12"/>
        <v>#N/A</v>
      </c>
      <c r="Y155" s="2" t="e">
        <f t="shared" si="12"/>
        <v>#N/A</v>
      </c>
      <c r="Z155" s="2" t="e">
        <f t="shared" si="12"/>
        <v>#N/A</v>
      </c>
      <c r="AA155" s="2" t="e">
        <f t="shared" si="12"/>
        <v>#N/A</v>
      </c>
      <c r="AB155" s="2" t="e">
        <f t="shared" si="12"/>
        <v>#N/A</v>
      </c>
      <c r="AC155" s="2" t="e">
        <f t="shared" si="12"/>
        <v>#N/A</v>
      </c>
      <c r="AD155" s="2" t="e">
        <f t="shared" si="12"/>
        <v>#N/A</v>
      </c>
      <c r="AE155" s="2" t="e">
        <f t="shared" si="12"/>
        <v>#N/A</v>
      </c>
      <c r="AF155" s="2" t="e">
        <f t="shared" si="12"/>
        <v>#N/A</v>
      </c>
      <c r="AG155" s="2" t="e">
        <f t="shared" si="12"/>
        <v>#N/A</v>
      </c>
      <c r="AH155" s="2" t="e">
        <f t="shared" si="12"/>
        <v>#N/A</v>
      </c>
      <c r="AI155" s="2" t="e">
        <f t="shared" si="12"/>
        <v>#N/A</v>
      </c>
    </row>
    <row r="156" spans="2:35" x14ac:dyDescent="0.15">
      <c r="B156" t="str">
        <f>IF(ISTEXT(Autoparts!D25)=TRUE,Autoparts!D25&amp;" | Benchmark aggregated auto parts manufacture emission intensity in "&amp;Autoparts!D24,"select a vehicle category")</f>
        <v>select a vehicle category</v>
      </c>
      <c r="C156" t="str">
        <f>+C155</f>
        <v>gCO2e/vkm</v>
      </c>
      <c r="G156" s="2" t="e">
        <f>IF(G80&lt;&gt;0,G80,NA())</f>
        <v>#N/A</v>
      </c>
      <c r="H156" s="2" t="e">
        <f t="shared" ref="H156:AI156" si="13">IF(H80&lt;&gt;0,H80,NA())</f>
        <v>#N/A</v>
      </c>
      <c r="I156" s="2" t="e">
        <f t="shared" si="13"/>
        <v>#N/A</v>
      </c>
      <c r="J156" s="2" t="e">
        <f t="shared" si="13"/>
        <v>#N/A</v>
      </c>
      <c r="K156" s="2" t="e">
        <f t="shared" si="13"/>
        <v>#N/A</v>
      </c>
      <c r="L156" s="2" t="e">
        <f t="shared" si="13"/>
        <v>#N/A</v>
      </c>
      <c r="M156" s="2" t="e">
        <f t="shared" si="13"/>
        <v>#N/A</v>
      </c>
      <c r="N156" s="2" t="e">
        <f t="shared" si="13"/>
        <v>#N/A</v>
      </c>
      <c r="O156" s="2" t="e">
        <f t="shared" si="13"/>
        <v>#N/A</v>
      </c>
      <c r="P156" s="2" t="e">
        <f t="shared" si="13"/>
        <v>#N/A</v>
      </c>
      <c r="Q156" s="2" t="e">
        <f t="shared" si="13"/>
        <v>#N/A</v>
      </c>
      <c r="R156" s="2" t="e">
        <f t="shared" si="13"/>
        <v>#N/A</v>
      </c>
      <c r="S156" s="2" t="e">
        <f t="shared" si="13"/>
        <v>#N/A</v>
      </c>
      <c r="T156" s="2" t="e">
        <f t="shared" si="13"/>
        <v>#N/A</v>
      </c>
      <c r="U156" s="2" t="e">
        <f t="shared" si="13"/>
        <v>#N/A</v>
      </c>
      <c r="V156" s="2" t="e">
        <f t="shared" si="13"/>
        <v>#N/A</v>
      </c>
      <c r="W156" s="2" t="e">
        <f t="shared" si="13"/>
        <v>#N/A</v>
      </c>
      <c r="X156" s="2" t="e">
        <f t="shared" si="13"/>
        <v>#N/A</v>
      </c>
      <c r="Y156" s="2" t="e">
        <f t="shared" si="13"/>
        <v>#N/A</v>
      </c>
      <c r="Z156" s="2" t="e">
        <f t="shared" si="13"/>
        <v>#N/A</v>
      </c>
      <c r="AA156" s="2" t="e">
        <f t="shared" si="13"/>
        <v>#N/A</v>
      </c>
      <c r="AB156" s="2" t="e">
        <f t="shared" si="13"/>
        <v>#N/A</v>
      </c>
      <c r="AC156" s="2" t="e">
        <f t="shared" si="13"/>
        <v>#N/A</v>
      </c>
      <c r="AD156" s="2" t="e">
        <f t="shared" si="13"/>
        <v>#N/A</v>
      </c>
      <c r="AE156" s="2" t="e">
        <f t="shared" si="13"/>
        <v>#N/A</v>
      </c>
      <c r="AF156" s="2" t="e">
        <f t="shared" si="13"/>
        <v>#N/A</v>
      </c>
      <c r="AG156" s="2" t="e">
        <f t="shared" si="13"/>
        <v>#N/A</v>
      </c>
      <c r="AH156" s="2" t="e">
        <f t="shared" si="13"/>
        <v>#N/A</v>
      </c>
      <c r="AI156" s="2" t="e">
        <f t="shared" si="13"/>
        <v>#N/A</v>
      </c>
    </row>
    <row r="157" spans="2:35" x14ac:dyDescent="0.15">
      <c r="B157" s="192" t="str">
        <f>+B84</f>
        <v>select a vehicle category</v>
      </c>
      <c r="C157" t="str">
        <f>+C156</f>
        <v>gCO2e/vkm</v>
      </c>
      <c r="D157" s="187" t="e">
        <f>IF(Autoparts!D34&gt;0,D84,NA())</f>
        <v>#N/A</v>
      </c>
    </row>
    <row r="159" spans="2:35" x14ac:dyDescent="0.15">
      <c r="B159" s="1" t="str">
        <f>CONCATENATE("Graph 7 | Autoparts Scope 3 category 1 intensity | percent improvement method")</f>
        <v>Graph 7 | Autoparts Scope 3 category 1 intensity | percent improvement method</v>
      </c>
    </row>
    <row r="160" spans="2:35" x14ac:dyDescent="0.15">
      <c r="B160" t="str">
        <f>IF(ISNUMBER(Automakers!$D$153)=TRUE,"Scope 3 category 1 emission intensity", "enter base year data")</f>
        <v>enter base year data</v>
      </c>
      <c r="C160" t="e">
        <f>+C147</f>
        <v>#N/A</v>
      </c>
      <c r="G160" s="2" t="e">
        <f>IF(G89&lt;&gt;0,G89,NA())</f>
        <v>#N/A</v>
      </c>
      <c r="H160" s="2" t="e">
        <f t="shared" ref="H160:AI160" si="14">IF(H89&lt;&gt;0,H89,NA())</f>
        <v>#N/A</v>
      </c>
      <c r="I160" s="2" t="e">
        <f t="shared" si="14"/>
        <v>#N/A</v>
      </c>
      <c r="J160" s="2" t="e">
        <f t="shared" si="14"/>
        <v>#N/A</v>
      </c>
      <c r="K160" s="2" t="e">
        <f t="shared" si="14"/>
        <v>#N/A</v>
      </c>
      <c r="L160" s="2" t="e">
        <f t="shared" si="14"/>
        <v>#N/A</v>
      </c>
      <c r="M160" s="2" t="e">
        <f t="shared" si="14"/>
        <v>#N/A</v>
      </c>
      <c r="N160" s="2" t="e">
        <f t="shared" si="14"/>
        <v>#N/A</v>
      </c>
      <c r="O160" s="2" t="e">
        <f t="shared" si="14"/>
        <v>#N/A</v>
      </c>
      <c r="P160" s="2" t="e">
        <f t="shared" si="14"/>
        <v>#N/A</v>
      </c>
      <c r="Q160" s="2" t="e">
        <f t="shared" si="14"/>
        <v>#N/A</v>
      </c>
      <c r="R160" s="2" t="e">
        <f t="shared" si="14"/>
        <v>#N/A</v>
      </c>
      <c r="S160" s="2" t="e">
        <f t="shared" si="14"/>
        <v>#N/A</v>
      </c>
      <c r="T160" s="2" t="e">
        <f t="shared" si="14"/>
        <v>#N/A</v>
      </c>
      <c r="U160" s="2" t="e">
        <f t="shared" si="14"/>
        <v>#N/A</v>
      </c>
      <c r="V160" s="2" t="e">
        <f t="shared" si="14"/>
        <v>#N/A</v>
      </c>
      <c r="W160" s="2" t="e">
        <f t="shared" si="14"/>
        <v>#N/A</v>
      </c>
      <c r="X160" s="2" t="e">
        <f t="shared" si="14"/>
        <v>#N/A</v>
      </c>
      <c r="Y160" s="2" t="e">
        <f t="shared" si="14"/>
        <v>#N/A</v>
      </c>
      <c r="Z160" s="2" t="e">
        <f t="shared" si="14"/>
        <v>#N/A</v>
      </c>
      <c r="AA160" s="2" t="e">
        <f t="shared" si="14"/>
        <v>#N/A</v>
      </c>
      <c r="AB160" s="2" t="e">
        <f t="shared" si="14"/>
        <v>#N/A</v>
      </c>
      <c r="AC160" s="2" t="e">
        <f t="shared" si="14"/>
        <v>#N/A</v>
      </c>
      <c r="AD160" s="2" t="e">
        <f t="shared" si="14"/>
        <v>#N/A</v>
      </c>
      <c r="AE160" s="2" t="e">
        <f t="shared" si="14"/>
        <v>#N/A</v>
      </c>
      <c r="AF160" s="2" t="e">
        <f t="shared" si="14"/>
        <v>#N/A</v>
      </c>
      <c r="AG160" s="2" t="e">
        <f t="shared" si="14"/>
        <v>#N/A</v>
      </c>
      <c r="AH160" s="2" t="e">
        <f t="shared" si="14"/>
        <v>#N/A</v>
      </c>
      <c r="AI160" s="2" t="e">
        <f t="shared" si="14"/>
        <v>#N/A</v>
      </c>
    </row>
    <row r="161" spans="2:35" x14ac:dyDescent="0.15">
      <c r="B161" t="str">
        <f>IF(ISNUMBER(Automakers!$D$153)=TRUE,"Benchmark | Intensity reduction trajectory for materials production (Indexed)", "enter base year data")</f>
        <v>enter base year data</v>
      </c>
      <c r="C161" t="e">
        <f>+C160</f>
        <v>#N/A</v>
      </c>
      <c r="G161" s="2" t="e">
        <f>IF(G87&lt;&gt;0,G87,NA())</f>
        <v>#N/A</v>
      </c>
      <c r="H161" s="2">
        <f t="shared" ref="H161:AI161" si="15">IF(H87&lt;&gt;0,H87,NA())</f>
        <v>1</v>
      </c>
      <c r="I161" s="2">
        <f t="shared" si="15"/>
        <v>0.96576747072674518</v>
      </c>
      <c r="J161" s="2">
        <f t="shared" si="15"/>
        <v>0.93153494145349003</v>
      </c>
      <c r="K161" s="2">
        <f t="shared" si="15"/>
        <v>0.89730241218023521</v>
      </c>
      <c r="L161" s="2">
        <f t="shared" si="15"/>
        <v>0.86306988290698017</v>
      </c>
      <c r="M161" s="2">
        <f t="shared" si="15"/>
        <v>0.82883735363372524</v>
      </c>
      <c r="N161" s="2">
        <f t="shared" si="15"/>
        <v>0.79460482436047042</v>
      </c>
      <c r="O161" s="2">
        <f t="shared" si="15"/>
        <v>0.76037229508721538</v>
      </c>
      <c r="P161" s="2">
        <f t="shared" si="15"/>
        <v>0.7161825737268781</v>
      </c>
      <c r="Q161" s="2">
        <f t="shared" si="15"/>
        <v>0.67199285236654105</v>
      </c>
      <c r="R161" s="2">
        <f t="shared" si="15"/>
        <v>0.62780313100620389</v>
      </c>
      <c r="S161" s="2">
        <f t="shared" si="15"/>
        <v>0.58361340964586683</v>
      </c>
      <c r="T161" s="2">
        <f t="shared" si="15"/>
        <v>0.53942368828552978</v>
      </c>
      <c r="U161" s="2">
        <f t="shared" si="15"/>
        <v>0.49693665164059386</v>
      </c>
      <c r="V161" s="2">
        <f t="shared" si="15"/>
        <v>0.454449614995658</v>
      </c>
      <c r="W161" s="2">
        <f t="shared" si="15"/>
        <v>0.41196257835072209</v>
      </c>
      <c r="X161" s="2">
        <f t="shared" si="15"/>
        <v>0.36947554170578634</v>
      </c>
      <c r="Y161" s="2">
        <f t="shared" si="15"/>
        <v>0.32698850506085048</v>
      </c>
      <c r="Z161" s="2">
        <f t="shared" si="15"/>
        <v>0.29883823918863928</v>
      </c>
      <c r="AA161" s="2">
        <f t="shared" si="15"/>
        <v>0.27068797331642813</v>
      </c>
      <c r="AB161" s="2">
        <f t="shared" si="15"/>
        <v>0.2425377074442169</v>
      </c>
      <c r="AC161" s="2">
        <f t="shared" si="15"/>
        <v>0.21438744157200568</v>
      </c>
      <c r="AD161" s="2">
        <f t="shared" si="15"/>
        <v>0.1862371756997945</v>
      </c>
      <c r="AE161" s="2">
        <f t="shared" si="15"/>
        <v>0.15808690982758328</v>
      </c>
      <c r="AF161" s="2">
        <f t="shared" si="15"/>
        <v>0.12993664395537211</v>
      </c>
      <c r="AG161" s="2">
        <f t="shared" si="15"/>
        <v>0.10178637808316089</v>
      </c>
      <c r="AH161" s="2">
        <f t="shared" si="15"/>
        <v>7.3636112210949692E-2</v>
      </c>
      <c r="AI161" s="2">
        <f t="shared" si="15"/>
        <v>4.5485846338738409E-2</v>
      </c>
    </row>
    <row r="162" spans="2:35" x14ac:dyDescent="0.15">
      <c r="B162" s="192" t="str">
        <f>+B90</f>
        <v>Scope 3 category 1 intensity target</v>
      </c>
      <c r="C162" t="e">
        <f>+C161</f>
        <v>#N/A</v>
      </c>
      <c r="D162" s="187" t="e">
        <f>IF(Autoparts!$D$35&gt;0,D90,NA())</f>
        <v>#N/A</v>
      </c>
    </row>
    <row r="164" spans="2:35" x14ac:dyDescent="0.15">
      <c r="B164" s="1" t="str">
        <f>CONCATENATE("Graph 8 | Scope 3 category 11 fuel-cycle intensity for LDVs | convergence method (",Autoparts!D64,")")</f>
        <v>Graph 8 | Scope 3 category 11 fuel-cycle intensity for LDVs | convergence method ()</v>
      </c>
    </row>
    <row r="165" spans="2:35" x14ac:dyDescent="0.15">
      <c r="B165" t="str">
        <f>IF(ISTEXT(Autoparts!D64)=TRUE,Autoparts!D64&amp;" | Scope 3 category 11 fuel-cycle intensity in "&amp;Autoparts!D63,"select a vehicle category")</f>
        <v>select a vehicle category</v>
      </c>
      <c r="C165" t="e">
        <f>+C147</f>
        <v>#N/A</v>
      </c>
      <c r="G165" s="2" t="e">
        <f>IF(G96&lt;&gt;0,G96,NA())</f>
        <v>#N/A</v>
      </c>
      <c r="H165" s="2" t="e">
        <f t="shared" ref="H165:AI165" si="16">IF(H96&lt;&gt;0,H96,NA())</f>
        <v>#N/A</v>
      </c>
      <c r="I165" s="2" t="e">
        <f t="shared" si="16"/>
        <v>#N/A</v>
      </c>
      <c r="J165" s="2" t="e">
        <f t="shared" si="16"/>
        <v>#N/A</v>
      </c>
      <c r="K165" s="2" t="e">
        <f t="shared" si="16"/>
        <v>#N/A</v>
      </c>
      <c r="L165" s="2" t="e">
        <f t="shared" si="16"/>
        <v>#N/A</v>
      </c>
      <c r="M165" s="2" t="e">
        <f t="shared" si="16"/>
        <v>#N/A</v>
      </c>
      <c r="N165" s="2" t="e">
        <f t="shared" si="16"/>
        <v>#N/A</v>
      </c>
      <c r="O165" s="2" t="e">
        <f t="shared" si="16"/>
        <v>#N/A</v>
      </c>
      <c r="P165" s="2" t="e">
        <f t="shared" si="16"/>
        <v>#N/A</v>
      </c>
      <c r="Q165" s="2" t="e">
        <f t="shared" si="16"/>
        <v>#N/A</v>
      </c>
      <c r="R165" s="2" t="e">
        <f t="shared" si="16"/>
        <v>#N/A</v>
      </c>
      <c r="S165" s="2" t="e">
        <f t="shared" si="16"/>
        <v>#N/A</v>
      </c>
      <c r="T165" s="2" t="e">
        <f t="shared" si="16"/>
        <v>#N/A</v>
      </c>
      <c r="U165" s="2" t="e">
        <f t="shared" si="16"/>
        <v>#N/A</v>
      </c>
      <c r="V165" s="2" t="e">
        <f t="shared" si="16"/>
        <v>#N/A</v>
      </c>
      <c r="W165" s="2" t="e">
        <f t="shared" si="16"/>
        <v>#N/A</v>
      </c>
      <c r="X165" s="2" t="e">
        <f t="shared" si="16"/>
        <v>#N/A</v>
      </c>
      <c r="Y165" s="2" t="e">
        <f t="shared" si="16"/>
        <v>#N/A</v>
      </c>
      <c r="Z165" s="2" t="e">
        <f t="shared" si="16"/>
        <v>#N/A</v>
      </c>
      <c r="AA165" s="2" t="e">
        <f t="shared" si="16"/>
        <v>#N/A</v>
      </c>
      <c r="AB165" s="2" t="e">
        <f t="shared" si="16"/>
        <v>#N/A</v>
      </c>
      <c r="AC165" s="2" t="e">
        <f t="shared" si="16"/>
        <v>#N/A</v>
      </c>
      <c r="AD165" s="2" t="e">
        <f t="shared" si="16"/>
        <v>#N/A</v>
      </c>
      <c r="AE165" s="2" t="e">
        <f t="shared" si="16"/>
        <v>#N/A</v>
      </c>
      <c r="AF165" s="2" t="e">
        <f t="shared" si="16"/>
        <v>#N/A</v>
      </c>
      <c r="AG165" s="2" t="e">
        <f t="shared" si="16"/>
        <v>#N/A</v>
      </c>
      <c r="AH165" s="2" t="e">
        <f t="shared" si="16"/>
        <v>#N/A</v>
      </c>
      <c r="AI165" s="2" t="e">
        <f t="shared" si="16"/>
        <v>#N/A</v>
      </c>
    </row>
    <row r="166" spans="2:35" x14ac:dyDescent="0.15">
      <c r="B166" t="str">
        <f>IF(ISTEXT(Autoparts!D64)=TRUE,Autoparts!D64&amp;" | Benchmark fuel-cycle intensity in "&amp;Autoparts!D63,"select a vehicle category")</f>
        <v>select a vehicle category</v>
      </c>
      <c r="C166" t="e">
        <f>+C165</f>
        <v>#N/A</v>
      </c>
      <c r="G166" s="2" t="e">
        <f>IF(G93&lt;&gt;0,G93,NA())</f>
        <v>#N/A</v>
      </c>
      <c r="H166" s="2" t="e">
        <f t="shared" ref="H166:AI166" si="17">IF(H93&lt;&gt;0,H93,NA())</f>
        <v>#N/A</v>
      </c>
      <c r="I166" s="2" t="e">
        <f t="shared" si="17"/>
        <v>#N/A</v>
      </c>
      <c r="J166" s="2" t="e">
        <f t="shared" si="17"/>
        <v>#N/A</v>
      </c>
      <c r="K166" s="2" t="e">
        <f t="shared" si="17"/>
        <v>#N/A</v>
      </c>
      <c r="L166" s="2" t="e">
        <f t="shared" si="17"/>
        <v>#N/A</v>
      </c>
      <c r="M166" s="2" t="e">
        <f t="shared" si="17"/>
        <v>#N/A</v>
      </c>
      <c r="N166" s="2" t="e">
        <f t="shared" si="17"/>
        <v>#N/A</v>
      </c>
      <c r="O166" s="2" t="e">
        <f t="shared" si="17"/>
        <v>#N/A</v>
      </c>
      <c r="P166" s="2" t="e">
        <f t="shared" si="17"/>
        <v>#N/A</v>
      </c>
      <c r="Q166" s="2" t="e">
        <f t="shared" si="17"/>
        <v>#N/A</v>
      </c>
      <c r="R166" s="2" t="e">
        <f t="shared" si="17"/>
        <v>#N/A</v>
      </c>
      <c r="S166" s="2" t="e">
        <f t="shared" si="17"/>
        <v>#N/A</v>
      </c>
      <c r="T166" s="2" t="e">
        <f t="shared" si="17"/>
        <v>#N/A</v>
      </c>
      <c r="U166" s="2" t="e">
        <f t="shared" si="17"/>
        <v>#N/A</v>
      </c>
      <c r="V166" s="2" t="e">
        <f t="shared" si="17"/>
        <v>#N/A</v>
      </c>
      <c r="W166" s="2" t="e">
        <f t="shared" si="17"/>
        <v>#N/A</v>
      </c>
      <c r="X166" s="2" t="e">
        <f t="shared" si="17"/>
        <v>#N/A</v>
      </c>
      <c r="Y166" s="2" t="e">
        <f t="shared" si="17"/>
        <v>#N/A</v>
      </c>
      <c r="Z166" s="2" t="e">
        <f t="shared" si="17"/>
        <v>#N/A</v>
      </c>
      <c r="AA166" s="2" t="e">
        <f t="shared" si="17"/>
        <v>#N/A</v>
      </c>
      <c r="AB166" s="2" t="e">
        <f t="shared" si="17"/>
        <v>#N/A</v>
      </c>
      <c r="AC166" s="2" t="e">
        <f t="shared" si="17"/>
        <v>#N/A</v>
      </c>
      <c r="AD166" s="2" t="e">
        <f t="shared" si="17"/>
        <v>#N/A</v>
      </c>
      <c r="AE166" s="2" t="e">
        <f t="shared" si="17"/>
        <v>#N/A</v>
      </c>
      <c r="AF166" s="2" t="e">
        <f t="shared" si="17"/>
        <v>#N/A</v>
      </c>
      <c r="AG166" s="2" t="e">
        <f t="shared" si="17"/>
        <v>#N/A</v>
      </c>
      <c r="AH166" s="2" t="e">
        <f t="shared" si="17"/>
        <v>#N/A</v>
      </c>
      <c r="AI166" s="2" t="e">
        <f t="shared" si="17"/>
        <v>#N/A</v>
      </c>
    </row>
    <row r="167" spans="2:35" x14ac:dyDescent="0.15">
      <c r="B167" s="192" t="str">
        <f>+B97</f>
        <v>Scope 3 category 11 intensity target</v>
      </c>
      <c r="C167" t="e">
        <f>+C166</f>
        <v>#N/A</v>
      </c>
      <c r="D167" s="187" t="e">
        <f>IF(Autoparts!D38&gt;0,D97,NA())</f>
        <v>#N/A</v>
      </c>
    </row>
    <row r="169" spans="2:35" x14ac:dyDescent="0.15">
      <c r="B169" s="1" t="str">
        <f>CONCATENATE("Graph 8 | Scope 3 category 11 fuel-cycle intensity for non-LDVs | convergence method (",Autoparts!D102,")")</f>
        <v>Graph 8 | Scope 3 category 11 fuel-cycle intensity for non-LDVs | convergence method ()</v>
      </c>
    </row>
    <row r="170" spans="2:35" x14ac:dyDescent="0.15">
      <c r="B170" t="str">
        <f>IF(ISTEXT(Autoparts!D102)=TRUE,Autoparts!D102&amp;" | Scope 3 category 11 fuel-cycle intensity in "&amp;Autoparts!D101,"select a vehicle category")</f>
        <v>select a vehicle category</v>
      </c>
      <c r="C170" t="e">
        <f>+C152</f>
        <v>#N/A</v>
      </c>
      <c r="G170" s="2" t="e">
        <f>IF(G103&lt;&gt;0,G103,NA())</f>
        <v>#N/A</v>
      </c>
      <c r="H170" s="2" t="e">
        <f t="shared" ref="H170:AI170" si="18">IF(H103&lt;&gt;0,H103,NA())</f>
        <v>#N/A</v>
      </c>
      <c r="I170" s="2" t="e">
        <f t="shared" si="18"/>
        <v>#N/A</v>
      </c>
      <c r="J170" s="2" t="e">
        <f t="shared" si="18"/>
        <v>#N/A</v>
      </c>
      <c r="K170" s="2" t="e">
        <f t="shared" si="18"/>
        <v>#N/A</v>
      </c>
      <c r="L170" s="2" t="e">
        <f t="shared" si="18"/>
        <v>#N/A</v>
      </c>
      <c r="M170" s="2" t="e">
        <f t="shared" si="18"/>
        <v>#N/A</v>
      </c>
      <c r="N170" s="2" t="e">
        <f t="shared" si="18"/>
        <v>#N/A</v>
      </c>
      <c r="O170" s="2" t="e">
        <f t="shared" si="18"/>
        <v>#N/A</v>
      </c>
      <c r="P170" s="2" t="e">
        <f t="shared" si="18"/>
        <v>#N/A</v>
      </c>
      <c r="Q170" s="2" t="e">
        <f t="shared" si="18"/>
        <v>#N/A</v>
      </c>
      <c r="R170" s="2" t="e">
        <f t="shared" si="18"/>
        <v>#N/A</v>
      </c>
      <c r="S170" s="2" t="e">
        <f t="shared" si="18"/>
        <v>#N/A</v>
      </c>
      <c r="T170" s="2" t="e">
        <f t="shared" si="18"/>
        <v>#N/A</v>
      </c>
      <c r="U170" s="2" t="e">
        <f t="shared" si="18"/>
        <v>#N/A</v>
      </c>
      <c r="V170" s="2" t="e">
        <f t="shared" si="18"/>
        <v>#N/A</v>
      </c>
      <c r="W170" s="2" t="e">
        <f t="shared" si="18"/>
        <v>#N/A</v>
      </c>
      <c r="X170" s="2" t="e">
        <f t="shared" si="18"/>
        <v>#N/A</v>
      </c>
      <c r="Y170" s="2" t="e">
        <f t="shared" si="18"/>
        <v>#N/A</v>
      </c>
      <c r="Z170" s="2" t="e">
        <f t="shared" si="18"/>
        <v>#N/A</v>
      </c>
      <c r="AA170" s="2" t="e">
        <f t="shared" si="18"/>
        <v>#N/A</v>
      </c>
      <c r="AB170" s="2" t="e">
        <f t="shared" si="18"/>
        <v>#N/A</v>
      </c>
      <c r="AC170" s="2" t="e">
        <f t="shared" si="18"/>
        <v>#N/A</v>
      </c>
      <c r="AD170" s="2" t="e">
        <f t="shared" si="18"/>
        <v>#N/A</v>
      </c>
      <c r="AE170" s="2" t="e">
        <f t="shared" si="18"/>
        <v>#N/A</v>
      </c>
      <c r="AF170" s="2" t="e">
        <f t="shared" si="18"/>
        <v>#N/A</v>
      </c>
      <c r="AG170" s="2" t="e">
        <f t="shared" si="18"/>
        <v>#N/A</v>
      </c>
      <c r="AH170" s="2" t="e">
        <f t="shared" si="18"/>
        <v>#N/A</v>
      </c>
      <c r="AI170" s="2" t="e">
        <f t="shared" si="18"/>
        <v>#N/A</v>
      </c>
    </row>
    <row r="171" spans="2:35" x14ac:dyDescent="0.15">
      <c r="B171" t="str">
        <f>IF(ISTEXT(Autoparts!D102)=TRUE,Autoparts!D102&amp;" | Benchmark fuel-cycle intensity in "&amp;Autoparts!D101,"select a vehicle category")</f>
        <v>select a vehicle category</v>
      </c>
      <c r="C171" t="e">
        <f>+C170</f>
        <v>#N/A</v>
      </c>
      <c r="G171" s="2" t="e">
        <f>IF(G100&lt;&gt;0,G100,NA())</f>
        <v>#N/A</v>
      </c>
      <c r="H171" s="2" t="e">
        <f t="shared" ref="H171:AI171" si="19">IF(H100&lt;&gt;0,H100,NA())</f>
        <v>#N/A</v>
      </c>
      <c r="I171" s="2" t="e">
        <f t="shared" si="19"/>
        <v>#N/A</v>
      </c>
      <c r="J171" s="2" t="e">
        <f t="shared" si="19"/>
        <v>#N/A</v>
      </c>
      <c r="K171" s="2" t="e">
        <f t="shared" si="19"/>
        <v>#N/A</v>
      </c>
      <c r="L171" s="2" t="e">
        <f t="shared" si="19"/>
        <v>#N/A</v>
      </c>
      <c r="M171" s="2" t="e">
        <f t="shared" si="19"/>
        <v>#N/A</v>
      </c>
      <c r="N171" s="2" t="e">
        <f t="shared" si="19"/>
        <v>#N/A</v>
      </c>
      <c r="O171" s="2" t="e">
        <f t="shared" si="19"/>
        <v>#N/A</v>
      </c>
      <c r="P171" s="2" t="e">
        <f t="shared" si="19"/>
        <v>#N/A</v>
      </c>
      <c r="Q171" s="2" t="e">
        <f t="shared" si="19"/>
        <v>#N/A</v>
      </c>
      <c r="R171" s="2" t="e">
        <f t="shared" si="19"/>
        <v>#N/A</v>
      </c>
      <c r="S171" s="2" t="e">
        <f t="shared" si="19"/>
        <v>#N/A</v>
      </c>
      <c r="T171" s="2" t="e">
        <f t="shared" si="19"/>
        <v>#N/A</v>
      </c>
      <c r="U171" s="2" t="e">
        <f t="shared" si="19"/>
        <v>#N/A</v>
      </c>
      <c r="V171" s="2" t="e">
        <f t="shared" si="19"/>
        <v>#N/A</v>
      </c>
      <c r="W171" s="2" t="e">
        <f t="shared" si="19"/>
        <v>#N/A</v>
      </c>
      <c r="X171" s="2" t="e">
        <f t="shared" si="19"/>
        <v>#N/A</v>
      </c>
      <c r="Y171" s="2" t="e">
        <f t="shared" si="19"/>
        <v>#N/A</v>
      </c>
      <c r="Z171" s="2" t="e">
        <f t="shared" si="19"/>
        <v>#N/A</v>
      </c>
      <c r="AA171" s="2" t="e">
        <f t="shared" si="19"/>
        <v>#N/A</v>
      </c>
      <c r="AB171" s="2" t="e">
        <f t="shared" si="19"/>
        <v>#N/A</v>
      </c>
      <c r="AC171" s="2" t="e">
        <f t="shared" si="19"/>
        <v>#N/A</v>
      </c>
      <c r="AD171" s="2" t="e">
        <f t="shared" si="19"/>
        <v>#N/A</v>
      </c>
      <c r="AE171" s="2" t="e">
        <f t="shared" si="19"/>
        <v>#N/A</v>
      </c>
      <c r="AF171" s="2" t="e">
        <f t="shared" si="19"/>
        <v>#N/A</v>
      </c>
      <c r="AG171" s="2" t="e">
        <f t="shared" si="19"/>
        <v>#N/A</v>
      </c>
      <c r="AH171" s="2" t="e">
        <f t="shared" si="19"/>
        <v>#N/A</v>
      </c>
      <c r="AI171" s="2" t="e">
        <f t="shared" si="19"/>
        <v>#N/A</v>
      </c>
    </row>
    <row r="172" spans="2:35" x14ac:dyDescent="0.15">
      <c r="B172" s="192" t="str">
        <f>+B104</f>
        <v>Scope 3 category 11 intensity target</v>
      </c>
      <c r="C172" t="e">
        <f>+C171</f>
        <v>#N/A</v>
      </c>
      <c r="D172" s="187" t="e">
        <f>IF(Autoparts!D103&gt;0,D104,NA())</f>
        <v>#N/A</v>
      </c>
    </row>
  </sheetData>
  <sheetProtection algorithmName="SHA-512" hashValue="7iFMqdensXrXB5HG9tbQISlFewPskHXDOva4APntUc14qEJTjyZLaawoM+mpQgo0/qKWBImXdL6sWrzOqVMnkQ==" saltValue="KHGvPzXCrLjiPU4z7FdDqw==" spinCount="100000" sheet="1" objects="1" scenarios="1"/>
  <conditionalFormatting sqref="A30 A31:XFD47 A85:XFD139 A163:XFD163">
    <cfRule type="expression" dxfId="151" priority="50">
      <formula>ISNA(A30)</formula>
    </cfRule>
  </conditionalFormatting>
  <conditionalFormatting sqref="A49">
    <cfRule type="expression" dxfId="150" priority="49">
      <formula>ISNA(A49)</formula>
    </cfRule>
  </conditionalFormatting>
  <conditionalFormatting sqref="A48:D48">
    <cfRule type="expression" dxfId="149" priority="102">
      <formula>ISNA(A48)</formula>
    </cfRule>
  </conditionalFormatting>
  <conditionalFormatting sqref="A54:D55">
    <cfRule type="expression" dxfId="148" priority="101">
      <formula>ISNA(A54)</formula>
    </cfRule>
  </conditionalFormatting>
  <conditionalFormatting sqref="A59:E62">
    <cfRule type="expression" dxfId="147" priority="92">
      <formula>ISNA(A59)</formula>
    </cfRule>
  </conditionalFormatting>
  <conditionalFormatting sqref="A64:E64">
    <cfRule type="expression" dxfId="146" priority="95">
      <formula>ISNA(A64)</formula>
    </cfRule>
  </conditionalFormatting>
  <conditionalFormatting sqref="A79:E82">
    <cfRule type="expression" dxfId="145" priority="52">
      <formula>ISNA(A79)</formula>
    </cfRule>
  </conditionalFormatting>
  <conditionalFormatting sqref="A84:E84">
    <cfRule type="expression" dxfId="144" priority="60">
      <formula>ISNA(A84)</formula>
    </cfRule>
  </conditionalFormatting>
  <conditionalFormatting sqref="A7:XFD8 A1:XFD5 A6:C6 E6:XFD6 T7:Y11 A9:C11 E9:XFD11 A12:F12 Y12:XFD12 A13:XFD14 A15:C15 E15:XFD15 A16:XFD16 A17:C18 E17:XFD18 A19:XFD21 A22:C22 E22:XFD22 A23:XFD23 A24:C25 A26:D29">
    <cfRule type="expression" dxfId="143" priority="154">
      <formula>ISNA(A1)</formula>
    </cfRule>
  </conditionalFormatting>
  <conditionalFormatting sqref="A56:XFD58">
    <cfRule type="expression" dxfId="142" priority="98">
      <formula>ISNA(A56)</formula>
    </cfRule>
  </conditionalFormatting>
  <conditionalFormatting sqref="A65:XFD78">
    <cfRule type="expression" dxfId="141" priority="25">
      <formula>ISNA(A65)</formula>
    </cfRule>
  </conditionalFormatting>
  <conditionalFormatting sqref="B19:D20">
    <cfRule type="expression" dxfId="140" priority="163">
      <formula>ISNA(B19)</formula>
    </cfRule>
  </conditionalFormatting>
  <conditionalFormatting sqref="B26:D27">
    <cfRule type="expression" dxfId="139" priority="159">
      <formula>ISNA(B26)</formula>
    </cfRule>
  </conditionalFormatting>
  <conditionalFormatting sqref="D7:D8 D126:D127 E26:AI129 D77 E1:AI11 D5 E12:F12 Y12:AI12 D13 E13:AI24 D16 D23 E25:T25 V25:AI25 E138:AI1048576">
    <cfRule type="cellIs" dxfId="138" priority="137" operator="equal">
      <formula>0</formula>
    </cfRule>
  </conditionalFormatting>
  <conditionalFormatting sqref="D7:D8">
    <cfRule type="expression" dxfId="137" priority="133">
      <formula>ISNA(D7)</formula>
    </cfRule>
    <cfRule type="expression" dxfId="136" priority="134">
      <formula>ISNUMBER(D7)</formula>
    </cfRule>
  </conditionalFormatting>
  <conditionalFormatting sqref="D16">
    <cfRule type="cellIs" dxfId="135" priority="212" operator="lessThan">
      <formula>10</formula>
    </cfRule>
    <cfRule type="cellIs" dxfId="134" priority="211" operator="equal">
      <formula>0</formula>
    </cfRule>
  </conditionalFormatting>
  <conditionalFormatting sqref="D35:D36 D38:D39 D68:D72">
    <cfRule type="cellIs" dxfId="133" priority="127" operator="lessThan">
      <formula>10</formula>
    </cfRule>
    <cfRule type="cellIs" dxfId="132" priority="126" operator="equal">
      <formula>0</formula>
    </cfRule>
  </conditionalFormatting>
  <conditionalFormatting sqref="D42:D43">
    <cfRule type="cellIs" dxfId="131" priority="108" operator="lessThan">
      <formula>10</formula>
    </cfRule>
    <cfRule type="cellIs" dxfId="130" priority="107" operator="equal">
      <formula>0</formula>
    </cfRule>
  </conditionalFormatting>
  <conditionalFormatting sqref="D45">
    <cfRule type="cellIs" dxfId="129" priority="118" operator="lessThan">
      <formula>10</formula>
    </cfRule>
    <cfRule type="cellIs" dxfId="128" priority="117" operator="equal">
      <formula>0</formula>
    </cfRule>
  </conditionalFormatting>
  <conditionalFormatting sqref="D54:D55">
    <cfRule type="cellIs" dxfId="127" priority="99" operator="equal">
      <formula>0</formula>
    </cfRule>
    <cfRule type="cellIs" dxfId="126" priority="100" operator="lessThan">
      <formula>10</formula>
    </cfRule>
  </conditionalFormatting>
  <conditionalFormatting sqref="D57">
    <cfRule type="cellIs" dxfId="125" priority="96" operator="equal">
      <formula>0</formula>
    </cfRule>
    <cfRule type="cellIs" dxfId="124" priority="97" operator="lessThan">
      <formula>10</formula>
    </cfRule>
  </conditionalFormatting>
  <conditionalFormatting sqref="D61:D62">
    <cfRule type="cellIs" dxfId="123" priority="90" operator="equal">
      <formula>0</formula>
    </cfRule>
    <cfRule type="cellIs" dxfId="122" priority="91" operator="lessThan">
      <formula>10</formula>
    </cfRule>
  </conditionalFormatting>
  <conditionalFormatting sqref="D64">
    <cfRule type="cellIs" dxfId="121" priority="93" operator="equal">
      <formula>0</formula>
    </cfRule>
    <cfRule type="cellIs" dxfId="120" priority="94" operator="lessThan">
      <formula>10</formula>
    </cfRule>
  </conditionalFormatting>
  <conditionalFormatting sqref="D81:D82">
    <cfRule type="cellIs" dxfId="119" priority="55" operator="equal">
      <formula>0</formula>
    </cfRule>
    <cfRule type="cellIs" dxfId="118" priority="56" operator="lessThan">
      <formula>10</formula>
    </cfRule>
  </conditionalFormatting>
  <conditionalFormatting sqref="D84">
    <cfRule type="cellIs" dxfId="117" priority="58" operator="equal">
      <formula>0</formula>
    </cfRule>
    <cfRule type="cellIs" dxfId="116" priority="59" operator="lessThan">
      <formula>10</formula>
    </cfRule>
  </conditionalFormatting>
  <conditionalFormatting sqref="D86:D90">
    <cfRule type="cellIs" dxfId="115" priority="38" operator="equal">
      <formula>0</formula>
    </cfRule>
    <cfRule type="cellIs" dxfId="114" priority="39" operator="lessThan">
      <formula>10</formula>
    </cfRule>
  </conditionalFormatting>
  <conditionalFormatting sqref="D94:D95 D97:D105">
    <cfRule type="cellIs" dxfId="113" priority="36" operator="lessThan">
      <formula>10</formula>
    </cfRule>
    <cfRule type="cellIs" dxfId="112" priority="35" operator="equal">
      <formula>0</formula>
    </cfRule>
  </conditionalFormatting>
  <conditionalFormatting sqref="D126:D127">
    <cfRule type="cellIs" dxfId="111" priority="115" operator="equal">
      <formula>0</formula>
    </cfRule>
    <cfRule type="cellIs" dxfId="110" priority="116" operator="lessThan">
      <formula>10</formula>
    </cfRule>
  </conditionalFormatting>
  <conditionalFormatting sqref="D132:D133">
    <cfRule type="cellIs" dxfId="109" priority="187" operator="lessThan">
      <formula>10</formula>
    </cfRule>
    <cfRule type="cellIs" dxfId="108" priority="186" operator="equal">
      <formula>0</formula>
    </cfRule>
  </conditionalFormatting>
  <conditionalFormatting sqref="D137">
    <cfRule type="cellIs" dxfId="107" priority="103" operator="equal">
      <formula>0</formula>
    </cfRule>
    <cfRule type="cellIs" dxfId="106" priority="104" operator="lessThan">
      <formula>10</formula>
    </cfRule>
    <cfRule type="cellIs" dxfId="105" priority="105" operator="equal">
      <formula>0</formula>
    </cfRule>
    <cfRule type="cellIs" dxfId="104" priority="185" operator="lessThan">
      <formula>10</formula>
    </cfRule>
    <cfRule type="cellIs" dxfId="103" priority="106" operator="lessThan">
      <formula>10</formula>
    </cfRule>
    <cfRule type="cellIs" dxfId="102" priority="113" operator="equal">
      <formula>0</formula>
    </cfRule>
    <cfRule type="cellIs" dxfId="101" priority="114" operator="lessThan">
      <formula>10</formula>
    </cfRule>
    <cfRule type="cellIs" dxfId="100" priority="184" operator="equal">
      <formula>0</formula>
    </cfRule>
  </conditionalFormatting>
  <conditionalFormatting sqref="D142">
    <cfRule type="cellIs" dxfId="99" priority="82" operator="equal">
      <formula>0</formula>
    </cfRule>
    <cfRule type="cellIs" dxfId="98" priority="87" operator="lessThan">
      <formula>10</formula>
    </cfRule>
    <cfRule type="cellIs" dxfId="97" priority="86" operator="equal">
      <formula>0</formula>
    </cfRule>
    <cfRule type="cellIs" dxfId="96" priority="88" operator="equal">
      <formula>0</formula>
    </cfRule>
    <cfRule type="cellIs" dxfId="95" priority="85" operator="lessThan">
      <formula>10</formula>
    </cfRule>
    <cfRule type="cellIs" dxfId="94" priority="89" operator="lessThan">
      <formula>10</formula>
    </cfRule>
    <cfRule type="cellIs" dxfId="93" priority="84" operator="equal">
      <formula>0</formula>
    </cfRule>
    <cfRule type="cellIs" dxfId="92" priority="83" operator="lessThan">
      <formula>10</formula>
    </cfRule>
  </conditionalFormatting>
  <conditionalFormatting sqref="D147">
    <cfRule type="cellIs" dxfId="91" priority="75" operator="lessThan">
      <formula>10</formula>
    </cfRule>
    <cfRule type="cellIs" dxfId="90" priority="79" operator="lessThan">
      <formula>10</formula>
    </cfRule>
    <cfRule type="cellIs" dxfId="89" priority="80" operator="equal">
      <formula>0</formula>
    </cfRule>
    <cfRule type="cellIs" dxfId="88" priority="81" operator="lessThan">
      <formula>10</formula>
    </cfRule>
    <cfRule type="cellIs" dxfId="87" priority="78" operator="equal">
      <formula>0</formula>
    </cfRule>
    <cfRule type="cellIs" dxfId="86" priority="77" operator="lessThan">
      <formula>10</formula>
    </cfRule>
    <cfRule type="cellIs" dxfId="85" priority="76" operator="equal">
      <formula>0</formula>
    </cfRule>
    <cfRule type="cellIs" dxfId="84" priority="74" operator="equal">
      <formula>0</formula>
    </cfRule>
  </conditionalFormatting>
  <conditionalFormatting sqref="D152">
    <cfRule type="cellIs" dxfId="83" priority="17" operator="equal">
      <formula>0</formula>
    </cfRule>
    <cfRule type="cellIs" dxfId="82" priority="18" operator="lessThan">
      <formula>10</formula>
    </cfRule>
    <cfRule type="cellIs" dxfId="81" priority="19" operator="equal">
      <formula>0</formula>
    </cfRule>
    <cfRule type="cellIs" dxfId="80" priority="20" operator="lessThan">
      <formula>10</formula>
    </cfRule>
    <cfRule type="cellIs" dxfId="79" priority="21" operator="equal">
      <formula>0</formula>
    </cfRule>
    <cfRule type="cellIs" dxfId="78" priority="22" operator="lessThan">
      <formula>10</formula>
    </cfRule>
    <cfRule type="cellIs" dxfId="77" priority="23" operator="equal">
      <formula>0</formula>
    </cfRule>
    <cfRule type="cellIs" dxfId="76" priority="24" operator="lessThan">
      <formula>10</formula>
    </cfRule>
  </conditionalFormatting>
  <conditionalFormatting sqref="D157">
    <cfRule type="cellIs" dxfId="75" priority="41" operator="lessThan">
      <formula>10</formula>
    </cfRule>
    <cfRule type="cellIs" dxfId="74" priority="44" operator="equal">
      <formula>0</formula>
    </cfRule>
    <cfRule type="cellIs" dxfId="73" priority="43" operator="lessThan">
      <formula>10</formula>
    </cfRule>
    <cfRule type="cellIs" dxfId="72" priority="42" operator="equal">
      <formula>0</formula>
    </cfRule>
    <cfRule type="cellIs" dxfId="71" priority="45" operator="lessThan">
      <formula>10</formula>
    </cfRule>
    <cfRule type="cellIs" dxfId="70" priority="40" operator="equal">
      <formula>0</formula>
    </cfRule>
    <cfRule type="cellIs" dxfId="69" priority="46" operator="equal">
      <formula>0</formula>
    </cfRule>
    <cfRule type="cellIs" dxfId="68" priority="47" operator="lessThan">
      <formula>10</formula>
    </cfRule>
  </conditionalFormatting>
  <conditionalFormatting sqref="D162">
    <cfRule type="cellIs" dxfId="67" priority="15" operator="equal">
      <formula>0</formula>
    </cfRule>
    <cfRule type="cellIs" dxfId="66" priority="14" operator="lessThan">
      <formula>10</formula>
    </cfRule>
    <cfRule type="cellIs" dxfId="65" priority="13" operator="equal">
      <formula>0</formula>
    </cfRule>
    <cfRule type="cellIs" dxfId="64" priority="12" operator="lessThan">
      <formula>10</formula>
    </cfRule>
    <cfRule type="cellIs" dxfId="63" priority="11" operator="equal">
      <formula>0</formula>
    </cfRule>
    <cfRule type="cellIs" dxfId="62" priority="10" operator="lessThan">
      <formula>10</formula>
    </cfRule>
    <cfRule type="cellIs" dxfId="61" priority="9" operator="equal">
      <formula>0</formula>
    </cfRule>
    <cfRule type="cellIs" dxfId="60" priority="16" operator="lessThan">
      <formula>10</formula>
    </cfRule>
  </conditionalFormatting>
  <conditionalFormatting sqref="D167">
    <cfRule type="cellIs" dxfId="59" priority="33" operator="lessThan">
      <formula>10</formula>
    </cfRule>
    <cfRule type="cellIs" dxfId="58" priority="32" operator="equal">
      <formula>0</formula>
    </cfRule>
    <cfRule type="cellIs" dxfId="57" priority="31" operator="lessThan">
      <formula>10</formula>
    </cfRule>
    <cfRule type="cellIs" dxfId="56" priority="30" operator="equal">
      <formula>0</formula>
    </cfRule>
    <cfRule type="cellIs" dxfId="55" priority="29" operator="lessThan">
      <formula>10</formula>
    </cfRule>
    <cfRule type="cellIs" dxfId="54" priority="28" operator="equal">
      <formula>0</formula>
    </cfRule>
    <cfRule type="cellIs" dxfId="53" priority="27" operator="lessThan">
      <formula>10</formula>
    </cfRule>
    <cfRule type="cellIs" dxfId="52" priority="26" operator="equal">
      <formula>0</formula>
    </cfRule>
  </conditionalFormatting>
  <conditionalFormatting sqref="D172">
    <cfRule type="cellIs" dxfId="51" priority="1" operator="equal">
      <formula>0</formula>
    </cfRule>
    <cfRule type="cellIs" dxfId="50" priority="8" operator="lessThan">
      <formula>10</formula>
    </cfRule>
    <cfRule type="cellIs" dxfId="49" priority="7" operator="equal">
      <formula>0</formula>
    </cfRule>
    <cfRule type="cellIs" dxfId="48" priority="6" operator="lessThan">
      <formula>10</formula>
    </cfRule>
    <cfRule type="cellIs" dxfId="47" priority="5" operator="equal">
      <formula>0</formula>
    </cfRule>
    <cfRule type="cellIs" dxfId="46" priority="4" operator="lessThan">
      <formula>10</formula>
    </cfRule>
    <cfRule type="cellIs" dxfId="45" priority="3" operator="equal">
      <formula>0</formula>
    </cfRule>
    <cfRule type="cellIs" dxfId="44" priority="2" operator="lessThan">
      <formula>10</formula>
    </cfRule>
  </conditionalFormatting>
  <conditionalFormatting sqref="D5:AI5 D13 E13:AI14 E21:AI24">
    <cfRule type="cellIs" dxfId="43" priority="230" operator="equal">
      <formula>0</formula>
    </cfRule>
    <cfRule type="cellIs" dxfId="42" priority="231" operator="lessThan">
      <formula>10</formula>
    </cfRule>
  </conditionalFormatting>
  <conditionalFormatting sqref="D77:AI77">
    <cfRule type="cellIs" dxfId="41" priority="72" operator="lessThan">
      <formula>10</formula>
    </cfRule>
    <cfRule type="cellIs" dxfId="40" priority="71" operator="equal">
      <formula>0</formula>
    </cfRule>
  </conditionalFormatting>
  <conditionalFormatting sqref="E50:F50">
    <cfRule type="expression" dxfId="39" priority="54">
      <formula>ISNA(E50)</formula>
    </cfRule>
  </conditionalFormatting>
  <conditionalFormatting sqref="E1:AI11 D5 D7:D8 E12:F12 Y12:AI12 D13 E13:AI24 D16 D23 E25:T25 V25:AI25 E26:AI129 D77 D126:D127 E138:AI1048576">
    <cfRule type="cellIs" dxfId="38" priority="138" operator="lessThan">
      <formula>10</formula>
    </cfRule>
  </conditionalFormatting>
  <conditionalFormatting sqref="E19:AI19">
    <cfRule type="expression" dxfId="37" priority="160">
      <formula>ISNA(E19)</formula>
    </cfRule>
    <cfRule type="cellIs" dxfId="36" priority="161" operator="equal">
      <formula>0</formula>
    </cfRule>
    <cfRule type="cellIs" dxfId="35" priority="162" operator="lessThan">
      <formula>10</formula>
    </cfRule>
  </conditionalFormatting>
  <conditionalFormatting sqref="E24:XFD24 E25:T25 V25:XFD25 E26:XFD30 C30:D30 E48:AI49 C49:D49 A50:AI53 E54:AI54 E55:XFD55 F59:XFD64 A63:AI63 F79:XFD84 A83:AI83 A140:B142 D140:XFD142 A143:XFD143 B144:E144 A144:A147 F144:XFD147 B145:B147 D145:E147 A148:XFD148 B149:C149 A149:A152 D149:XFD152 B150:B152 A153:XFD153 B154:E154 A154:A157 F154:XFD157 B155:B157 D155:E157 A158:XFD158 B159:C159 A159:A162 D159:XFD162 B160:B162 B164:E164 A164:A167 F164:XFD167 B165:B167 D165:E167 A168:XFD168 B169:E169 A169:A172 F169:XFD172 B170:B172 D170:E172 A173:XFD1048576">
    <cfRule type="expression" dxfId="34" priority="225">
      <formula>ISNA(A24)</formula>
    </cfRule>
  </conditionalFormatting>
  <pageMargins left="0.7" right="0.7" top="0.75" bottom="0.75" header="0.3" footer="0.3"/>
  <pageSetup paperSize="9" orientation="portrait" horizontalDpi="4294967294"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B489B2-FC8E-4B46-9435-325977455393}">
  <sheetPr codeName="Sheet12">
    <tabColor theme="0" tint="-0.249977111117893"/>
  </sheetPr>
  <dimension ref="A1:BF101"/>
  <sheetViews>
    <sheetView workbookViewId="0">
      <selection activeCell="A2" sqref="A2"/>
    </sheetView>
  </sheetViews>
  <sheetFormatPr baseColWidth="10" defaultColWidth="8.83203125" defaultRowHeight="12" x14ac:dyDescent="0.15"/>
  <cols>
    <col min="1" max="1" width="13.6640625" style="156" customWidth="1"/>
    <col min="2" max="2" width="9.83203125" style="193" customWidth="1"/>
    <col min="3" max="3" width="39" style="156" bestFit="1" customWidth="1"/>
    <col min="4" max="4" width="16.5" style="156" bestFit="1" customWidth="1"/>
    <col min="5" max="5" width="10.33203125" style="156" bestFit="1" customWidth="1"/>
    <col min="6" max="6" width="54.5" style="156" hidden="1" customWidth="1"/>
    <col min="7" max="7" width="18.1640625" style="156" bestFit="1" customWidth="1"/>
    <col min="8" max="18" width="0" style="5" hidden="1" customWidth="1"/>
    <col min="19" max="19" width="7.1640625" style="5" hidden="1" customWidth="1"/>
    <col min="20" max="20" width="8.83203125" style="5"/>
    <col min="21" max="22" width="8.83203125" style="5" customWidth="1"/>
    <col min="23" max="23" width="8.83203125" style="5"/>
    <col min="24" max="27" width="8.83203125" style="5" customWidth="1"/>
    <col min="28" max="28" width="8.83203125" style="5"/>
    <col min="29" max="32" width="8.83203125" style="5" customWidth="1"/>
    <col min="33" max="33" width="8.83203125" style="5"/>
    <col min="34" max="37" width="8.83203125" style="5" customWidth="1"/>
    <col min="38" max="38" width="8.83203125" style="5"/>
    <col min="39" max="42" width="8.83203125" style="5" customWidth="1"/>
    <col min="43" max="43" width="8.83203125" style="5"/>
    <col min="44" max="47" width="8.83203125" style="5" customWidth="1"/>
    <col min="48" max="16384" width="8.83203125" style="5"/>
  </cols>
  <sheetData>
    <row r="1" spans="1:58" s="196" customFormat="1" ht="15" customHeight="1" x14ac:dyDescent="0.15">
      <c r="A1" s="195" t="s">
        <v>14</v>
      </c>
      <c r="B1" s="197" t="s">
        <v>2</v>
      </c>
      <c r="C1" s="196" t="s">
        <v>3</v>
      </c>
      <c r="D1" s="195" t="s">
        <v>250</v>
      </c>
      <c r="E1" s="195" t="s">
        <v>4</v>
      </c>
      <c r="F1" s="195" t="s">
        <v>22</v>
      </c>
      <c r="G1" s="195" t="s">
        <v>251</v>
      </c>
      <c r="H1" s="196" t="s">
        <v>255</v>
      </c>
      <c r="I1" s="196" t="s">
        <v>252</v>
      </c>
      <c r="J1" s="196" t="s">
        <v>253</v>
      </c>
      <c r="K1" s="196" t="s">
        <v>254</v>
      </c>
      <c r="L1" s="196" t="s">
        <v>53</v>
      </c>
      <c r="M1" s="196" t="s">
        <v>54</v>
      </c>
      <c r="N1" s="196" t="s">
        <v>55</v>
      </c>
      <c r="O1" s="196" t="s">
        <v>56</v>
      </c>
      <c r="P1" s="196" t="s">
        <v>57</v>
      </c>
      <c r="Q1" s="196" t="s">
        <v>58</v>
      </c>
      <c r="R1" s="196" t="s">
        <v>59</v>
      </c>
      <c r="S1" s="196" t="s">
        <v>60</v>
      </c>
      <c r="T1" s="196" t="s">
        <v>61</v>
      </c>
      <c r="U1" s="196" t="s">
        <v>62</v>
      </c>
      <c r="V1" s="196" t="s">
        <v>63</v>
      </c>
      <c r="W1" s="196" t="s">
        <v>64</v>
      </c>
      <c r="X1" s="196" t="s">
        <v>65</v>
      </c>
      <c r="Y1" s="196" t="s">
        <v>66</v>
      </c>
      <c r="Z1" s="196" t="s">
        <v>67</v>
      </c>
      <c r="AA1" s="196" t="s">
        <v>68</v>
      </c>
      <c r="AB1" s="196" t="s">
        <v>69</v>
      </c>
      <c r="AC1" s="196" t="s">
        <v>70</v>
      </c>
      <c r="AD1" s="196" t="s">
        <v>71</v>
      </c>
      <c r="AE1" s="196" t="s">
        <v>72</v>
      </c>
      <c r="AF1" s="196" t="s">
        <v>73</v>
      </c>
      <c r="AG1" s="196" t="s">
        <v>74</v>
      </c>
      <c r="AH1" s="196" t="s">
        <v>75</v>
      </c>
      <c r="AI1" s="196" t="s">
        <v>76</v>
      </c>
      <c r="AJ1" s="196" t="s">
        <v>77</v>
      </c>
      <c r="AK1" s="196" t="s">
        <v>78</v>
      </c>
      <c r="AL1" s="196" t="s">
        <v>79</v>
      </c>
      <c r="AM1" s="196" t="s">
        <v>80</v>
      </c>
      <c r="AN1" s="196" t="s">
        <v>81</v>
      </c>
      <c r="AO1" s="196" t="s">
        <v>82</v>
      </c>
      <c r="AP1" s="196" t="s">
        <v>83</v>
      </c>
      <c r="AQ1" s="196" t="s">
        <v>84</v>
      </c>
      <c r="AR1" s="196" t="s">
        <v>85</v>
      </c>
      <c r="AS1" s="196" t="s">
        <v>86</v>
      </c>
      <c r="AT1" s="196" t="s">
        <v>87</v>
      </c>
      <c r="AU1" s="196" t="s">
        <v>88</v>
      </c>
      <c r="AV1" s="196" t="s">
        <v>89</v>
      </c>
      <c r="AW1" s="196" t="s">
        <v>364</v>
      </c>
      <c r="AX1" s="196" t="s">
        <v>365</v>
      </c>
      <c r="AY1" s="196" t="s">
        <v>366</v>
      </c>
      <c r="AZ1" s="196" t="s">
        <v>367</v>
      </c>
      <c r="BA1" s="196" t="s">
        <v>368</v>
      </c>
      <c r="BB1" s="196" t="s">
        <v>369</v>
      </c>
      <c r="BC1" s="196" t="s">
        <v>370</v>
      </c>
      <c r="BD1" s="196" t="s">
        <v>371</v>
      </c>
      <c r="BE1" s="196" t="s">
        <v>372</v>
      </c>
      <c r="BF1" s="196" t="s">
        <v>373</v>
      </c>
    </row>
    <row r="2" spans="1:58" s="196" customFormat="1" ht="15" customHeight="1" x14ac:dyDescent="0.15">
      <c r="A2" s="195" t="s">
        <v>259</v>
      </c>
      <c r="B2" s="197" t="s">
        <v>52</v>
      </c>
      <c r="C2" s="196" t="s">
        <v>335</v>
      </c>
      <c r="D2" s="195" t="s">
        <v>7</v>
      </c>
      <c r="E2" s="195" t="s">
        <v>264</v>
      </c>
      <c r="F2" s="195" t="s">
        <v>265</v>
      </c>
      <c r="G2" s="195" t="s">
        <v>376</v>
      </c>
      <c r="T2" s="198">
        <v>248.62162493978258</v>
      </c>
      <c r="U2" s="198">
        <v>243.99625068031128</v>
      </c>
      <c r="V2" s="198">
        <v>236.60613328895445</v>
      </c>
      <c r="W2" s="198">
        <v>155.95664657209241</v>
      </c>
      <c r="X2" s="198">
        <v>125.37923725600223</v>
      </c>
      <c r="Y2" s="198">
        <v>94.835519764386959</v>
      </c>
      <c r="Z2" s="198">
        <v>67.344573983111005</v>
      </c>
      <c r="AA2" s="198">
        <v>49.132225953470382</v>
      </c>
      <c r="AB2" s="198">
        <v>34.918072079932543</v>
      </c>
      <c r="AC2" s="198">
        <v>29.70774152470392</v>
      </c>
      <c r="AD2" s="198">
        <v>24.828892475391228</v>
      </c>
      <c r="AE2" s="198">
        <v>22.03047266932488</v>
      </c>
      <c r="AF2" s="198">
        <v>18.914706779590603</v>
      </c>
      <c r="AG2" s="198">
        <v>16.734242107895053</v>
      </c>
      <c r="AH2" s="198">
        <v>15.273163946583885</v>
      </c>
      <c r="AI2" s="198">
        <v>13.837338082009888</v>
      </c>
      <c r="AJ2" s="198">
        <v>12.5025970377636</v>
      </c>
      <c r="AK2" s="198">
        <v>11.171031694217051</v>
      </c>
      <c r="AL2" s="198">
        <v>9.8531201616499775</v>
      </c>
      <c r="AM2" s="198">
        <v>9.0069602765590613</v>
      </c>
      <c r="AN2" s="198">
        <v>8.1702799197616116</v>
      </c>
      <c r="AO2" s="198">
        <v>7.3395733407333337</v>
      </c>
      <c r="AP2" s="198">
        <v>6.5140057517230057</v>
      </c>
      <c r="AQ2" s="198">
        <v>5.6895271446334723</v>
      </c>
      <c r="AR2" s="198">
        <v>4.8664966435682651</v>
      </c>
      <c r="AS2" s="198">
        <v>4.0471375682652617</v>
      </c>
      <c r="AT2" s="198">
        <v>3.2313179133204781</v>
      </c>
      <c r="AU2" s="198">
        <v>2.4179384672031845</v>
      </c>
      <c r="AV2" s="198">
        <v>1.6103876465787832</v>
      </c>
      <c r="AW2" s="198">
        <v>0</v>
      </c>
      <c r="AX2" s="198">
        <v>0</v>
      </c>
      <c r="AY2" s="198">
        <v>0</v>
      </c>
      <c r="AZ2" s="198">
        <v>0</v>
      </c>
      <c r="BA2" s="198">
        <v>0</v>
      </c>
      <c r="BB2" s="198">
        <v>0</v>
      </c>
      <c r="BC2" s="198">
        <v>0</v>
      </c>
      <c r="BD2" s="198">
        <v>0</v>
      </c>
      <c r="BE2" s="198">
        <v>0</v>
      </c>
      <c r="BF2" s="198">
        <v>0</v>
      </c>
    </row>
    <row r="3" spans="1:58" s="196" customFormat="1" ht="15" customHeight="1" x14ac:dyDescent="0.15">
      <c r="A3" s="195" t="s">
        <v>259</v>
      </c>
      <c r="B3" s="197" t="s">
        <v>52</v>
      </c>
      <c r="C3" s="196" t="s">
        <v>443</v>
      </c>
      <c r="D3" s="195" t="s">
        <v>7</v>
      </c>
      <c r="E3" s="195" t="s">
        <v>264</v>
      </c>
      <c r="F3" s="195" t="s">
        <v>265</v>
      </c>
      <c r="G3" s="195" t="s">
        <v>376</v>
      </c>
      <c r="T3" s="198">
        <v>231.9949792006787</v>
      </c>
      <c r="U3" s="198">
        <v>227.45113875850427</v>
      </c>
      <c r="V3" s="198">
        <v>219.4531462978868</v>
      </c>
      <c r="W3" s="198">
        <v>177.67565851384046</v>
      </c>
      <c r="X3" s="198">
        <v>150.48861434508524</v>
      </c>
      <c r="Y3" s="198">
        <v>123.73904004681809</v>
      </c>
      <c r="Z3" s="198">
        <v>90.051428912162052</v>
      </c>
      <c r="AA3" s="198">
        <v>67.69683531695739</v>
      </c>
      <c r="AB3" s="198">
        <v>50.961235382608216</v>
      </c>
      <c r="AC3" s="198">
        <v>41.365707658799501</v>
      </c>
      <c r="AD3" s="198">
        <v>33.828932642965626</v>
      </c>
      <c r="AE3" s="198">
        <v>27.588411602039184</v>
      </c>
      <c r="AF3" s="198">
        <v>22.964689094960498</v>
      </c>
      <c r="AG3" s="198">
        <v>19.239980066777797</v>
      </c>
      <c r="AH3" s="198">
        <v>16.818894849486686</v>
      </c>
      <c r="AI3" s="198">
        <v>14.902071508833862</v>
      </c>
      <c r="AJ3" s="198">
        <v>13.392810796584651</v>
      </c>
      <c r="AK3" s="198">
        <v>11.52289959025445</v>
      </c>
      <c r="AL3" s="198">
        <v>10.111223203116145</v>
      </c>
      <c r="AM3" s="198">
        <v>9.2377304652800571</v>
      </c>
      <c r="AN3" s="198">
        <v>8.3737854014295827</v>
      </c>
      <c r="AO3" s="198">
        <v>7.5159709256629386</v>
      </c>
      <c r="AP3" s="198">
        <v>6.6634672821163061</v>
      </c>
      <c r="AQ3" s="198">
        <v>5.8120612872913462</v>
      </c>
      <c r="AR3" s="198">
        <v>4.9621878273558497</v>
      </c>
      <c r="AS3" s="198">
        <v>4.116154118475702</v>
      </c>
      <c r="AT3" s="198">
        <v>3.2738167100813693</v>
      </c>
      <c r="AU3" s="198">
        <v>2.4341124796920006</v>
      </c>
      <c r="AV3" s="198">
        <v>1.6002956529359043</v>
      </c>
      <c r="AW3" s="198">
        <v>0</v>
      </c>
      <c r="AX3" s="198">
        <v>0</v>
      </c>
      <c r="AY3" s="198">
        <v>0</v>
      </c>
      <c r="AZ3" s="198">
        <v>0</v>
      </c>
      <c r="BA3" s="198">
        <v>0</v>
      </c>
      <c r="BB3" s="198">
        <v>0</v>
      </c>
      <c r="BC3" s="198">
        <v>0</v>
      </c>
      <c r="BD3" s="198">
        <v>0</v>
      </c>
      <c r="BE3" s="198">
        <v>0</v>
      </c>
      <c r="BF3" s="198">
        <v>0</v>
      </c>
    </row>
    <row r="4" spans="1:58" s="196" customFormat="1" ht="15" customHeight="1" x14ac:dyDescent="0.15">
      <c r="A4" s="195" t="s">
        <v>259</v>
      </c>
      <c r="B4" s="197" t="s">
        <v>52</v>
      </c>
      <c r="C4" s="196" t="s">
        <v>336</v>
      </c>
      <c r="D4" s="195" t="s">
        <v>7</v>
      </c>
      <c r="E4" s="195" t="s">
        <v>264</v>
      </c>
      <c r="F4" s="195" t="s">
        <v>265</v>
      </c>
      <c r="G4" s="195" t="s">
        <v>376</v>
      </c>
      <c r="T4" s="198">
        <v>246.99482660525774</v>
      </c>
      <c r="U4" s="198">
        <v>243.76267843039994</v>
      </c>
      <c r="V4" s="198">
        <v>239.67902913342314</v>
      </c>
      <c r="W4" s="198">
        <v>222.73020340793369</v>
      </c>
      <c r="X4" s="198">
        <v>175.2699128617802</v>
      </c>
      <c r="Y4" s="198">
        <v>154.95863795486235</v>
      </c>
      <c r="Z4" s="198">
        <v>131.10500075233236</v>
      </c>
      <c r="AA4" s="198">
        <v>94.481981477457566</v>
      </c>
      <c r="AB4" s="198">
        <v>80.720302994770179</v>
      </c>
      <c r="AC4" s="198">
        <v>68.209108033293589</v>
      </c>
      <c r="AD4" s="198">
        <v>57.345861360088506</v>
      </c>
      <c r="AE4" s="198">
        <v>47.184192291477501</v>
      </c>
      <c r="AF4" s="198">
        <v>37.918183843115031</v>
      </c>
      <c r="AG4" s="198">
        <v>29.414158507332893</v>
      </c>
      <c r="AH4" s="198">
        <v>24.228258646385395</v>
      </c>
      <c r="AI4" s="198">
        <v>20.28909449168982</v>
      </c>
      <c r="AJ4" s="198">
        <v>16.959725445369479</v>
      </c>
      <c r="AK4" s="198">
        <v>13.664534413581874</v>
      </c>
      <c r="AL4" s="198">
        <v>10.884792797668984</v>
      </c>
      <c r="AM4" s="198">
        <v>9.9942577369043999</v>
      </c>
      <c r="AN4" s="198">
        <v>9.0861091391555178</v>
      </c>
      <c r="AO4" s="198">
        <v>8.1982428793701043</v>
      </c>
      <c r="AP4" s="198">
        <v>7.1718107078452569</v>
      </c>
      <c r="AQ4" s="198">
        <v>6.2244007209730539</v>
      </c>
      <c r="AR4" s="198">
        <v>5.3481512267224014</v>
      </c>
      <c r="AS4" s="198">
        <v>4.4729711788710178</v>
      </c>
      <c r="AT4" s="198">
        <v>3.5982301810646695</v>
      </c>
      <c r="AU4" s="198">
        <v>2.7244515242532317</v>
      </c>
      <c r="AV4" s="198">
        <v>1.8522327466329538</v>
      </c>
      <c r="AW4" s="198">
        <v>0</v>
      </c>
      <c r="AX4" s="198">
        <v>0</v>
      </c>
      <c r="AY4" s="198">
        <v>0</v>
      </c>
      <c r="AZ4" s="198">
        <v>0</v>
      </c>
      <c r="BA4" s="198">
        <v>0</v>
      </c>
      <c r="BB4" s="198">
        <v>0</v>
      </c>
      <c r="BC4" s="198">
        <v>0</v>
      </c>
      <c r="BD4" s="198">
        <v>0</v>
      </c>
      <c r="BE4" s="198">
        <v>0</v>
      </c>
      <c r="BF4" s="198">
        <v>0</v>
      </c>
    </row>
    <row r="5" spans="1:58" s="196" customFormat="1" ht="15" customHeight="1" x14ac:dyDescent="0.15">
      <c r="A5" s="195" t="s">
        <v>259</v>
      </c>
      <c r="B5" s="197" t="s">
        <v>52</v>
      </c>
      <c r="C5" s="196" t="s">
        <v>234</v>
      </c>
      <c r="D5" s="195" t="s">
        <v>7</v>
      </c>
      <c r="E5" s="195" t="s">
        <v>264</v>
      </c>
      <c r="F5" s="195" t="s">
        <v>265</v>
      </c>
      <c r="G5" s="195" t="s">
        <v>376</v>
      </c>
      <c r="T5" s="198">
        <v>248.22234923920547</v>
      </c>
      <c r="U5" s="198">
        <v>243.89244455025249</v>
      </c>
      <c r="V5" s="198">
        <v>238.29667756867838</v>
      </c>
      <c r="W5" s="198">
        <v>178.31237358126782</v>
      </c>
      <c r="X5" s="198">
        <v>145.22162264544386</v>
      </c>
      <c r="Y5" s="198">
        <v>118.11969253284616</v>
      </c>
      <c r="Z5" s="198">
        <v>91.538468516800435</v>
      </c>
      <c r="AA5" s="198">
        <v>67.043723995653892</v>
      </c>
      <c r="AB5" s="198">
        <v>52.835116761402766</v>
      </c>
      <c r="AC5" s="198">
        <v>43.708143146401476</v>
      </c>
      <c r="AD5" s="198">
        <v>36.55735867915655</v>
      </c>
      <c r="AE5" s="198">
        <v>30.998719886139909</v>
      </c>
      <c r="AF5" s="198">
        <v>25.750851093167636</v>
      </c>
      <c r="AG5" s="198">
        <v>21.350875101975952</v>
      </c>
      <c r="AH5" s="198">
        <v>18.571913787287009</v>
      </c>
      <c r="AI5" s="198">
        <v>16.238113469054017</v>
      </c>
      <c r="AJ5" s="198">
        <v>14.179974005528372</v>
      </c>
      <c r="AK5" s="198">
        <v>12.074060756235745</v>
      </c>
      <c r="AL5" s="198">
        <v>10.220149318701074</v>
      </c>
      <c r="AM5" s="198">
        <v>9.3749164111962404</v>
      </c>
      <c r="AN5" s="198">
        <v>8.5114110325306136</v>
      </c>
      <c r="AO5" s="198">
        <v>7.6578478373309693</v>
      </c>
      <c r="AP5" s="198">
        <v>6.7540862419660916</v>
      </c>
      <c r="AQ5" s="198">
        <v>5.879770205593271</v>
      </c>
      <c r="AR5" s="198">
        <v>5.045206943444259</v>
      </c>
      <c r="AS5" s="198">
        <v>4.2019523425861598</v>
      </c>
      <c r="AT5" s="198">
        <v>3.3607714828779232</v>
      </c>
      <c r="AU5" s="198">
        <v>2.5213262790560584</v>
      </c>
      <c r="AV5" s="198">
        <v>1.6862964099628364</v>
      </c>
      <c r="AW5" s="198">
        <v>0</v>
      </c>
      <c r="AX5" s="198">
        <v>0</v>
      </c>
      <c r="AY5" s="198">
        <v>0</v>
      </c>
      <c r="AZ5" s="198">
        <v>0</v>
      </c>
      <c r="BA5" s="198">
        <v>0</v>
      </c>
      <c r="BB5" s="198">
        <v>0</v>
      </c>
      <c r="BC5" s="198">
        <v>0</v>
      </c>
      <c r="BD5" s="198">
        <v>0</v>
      </c>
      <c r="BE5" s="198">
        <v>0</v>
      </c>
      <c r="BF5" s="198">
        <v>0</v>
      </c>
    </row>
    <row r="6" spans="1:58" s="196" customFormat="1" ht="15" customHeight="1" x14ac:dyDescent="0.15">
      <c r="A6" s="195" t="s">
        <v>256</v>
      </c>
      <c r="B6" s="197" t="s">
        <v>52</v>
      </c>
      <c r="C6" s="196" t="s">
        <v>335</v>
      </c>
      <c r="D6" s="195" t="s">
        <v>258</v>
      </c>
      <c r="E6" s="195" t="s">
        <v>29</v>
      </c>
      <c r="F6" s="195" t="s">
        <v>260</v>
      </c>
      <c r="G6" s="195" t="s">
        <v>376</v>
      </c>
      <c r="T6" s="237">
        <v>8.9493439740926717E-2</v>
      </c>
      <c r="U6" s="237">
        <v>0.10328926613341638</v>
      </c>
      <c r="V6" s="237">
        <v>0.10265998296559076</v>
      </c>
      <c r="W6" s="237">
        <v>0.49999231070257932</v>
      </c>
      <c r="X6" s="237">
        <v>0.61699567504172537</v>
      </c>
      <c r="Y6" s="237">
        <v>0.73299543682784096</v>
      </c>
      <c r="Z6" s="237">
        <v>0.84999509823215014</v>
      </c>
      <c r="AA6" s="237">
        <v>0.9249961703748576</v>
      </c>
      <c r="AB6" s="237">
        <v>0.99999573105403616</v>
      </c>
      <c r="AC6" s="237">
        <v>0.99999625529670289</v>
      </c>
      <c r="AD6" s="237">
        <v>0.9999968502121539</v>
      </c>
      <c r="AE6" s="237">
        <v>0.99999743589378343</v>
      </c>
      <c r="AF6" s="237">
        <v>0.99999809360669967</v>
      </c>
      <c r="AG6" s="237">
        <v>0.9999987221598019</v>
      </c>
      <c r="AH6" s="237">
        <v>0.99999899557474659</v>
      </c>
      <c r="AI6" s="237">
        <v>0.99999924288389963</v>
      </c>
      <c r="AJ6" s="237">
        <v>0.99999951566665024</v>
      </c>
      <c r="AK6" s="237">
        <v>0.99999973285121901</v>
      </c>
      <c r="AL6" s="237">
        <v>1</v>
      </c>
      <c r="AM6" s="237">
        <v>1</v>
      </c>
      <c r="AN6" s="237">
        <v>1</v>
      </c>
      <c r="AO6" s="237">
        <v>1</v>
      </c>
      <c r="AP6" s="237">
        <v>1</v>
      </c>
      <c r="AQ6" s="237">
        <v>1</v>
      </c>
      <c r="AR6" s="237">
        <v>1</v>
      </c>
      <c r="AS6" s="237">
        <v>1</v>
      </c>
      <c r="AT6" s="237">
        <v>1</v>
      </c>
      <c r="AU6" s="237">
        <v>1</v>
      </c>
      <c r="AV6" s="237">
        <v>1</v>
      </c>
      <c r="AW6" s="198"/>
      <c r="AX6" s="198"/>
      <c r="AY6" s="198"/>
      <c r="AZ6" s="198"/>
      <c r="BA6" s="198"/>
      <c r="BB6" s="198"/>
      <c r="BC6" s="198"/>
      <c r="BD6" s="198"/>
      <c r="BE6" s="198"/>
      <c r="BF6" s="198"/>
    </row>
    <row r="7" spans="1:58" s="196" customFormat="1" ht="15" customHeight="1" x14ac:dyDescent="0.15">
      <c r="A7" s="195" t="s">
        <v>256</v>
      </c>
      <c r="B7" s="197" t="s">
        <v>52</v>
      </c>
      <c r="C7" s="196" t="s">
        <v>443</v>
      </c>
      <c r="D7" s="195" t="s">
        <v>258</v>
      </c>
      <c r="E7" s="195" t="s">
        <v>29</v>
      </c>
      <c r="F7" s="195" t="s">
        <v>260</v>
      </c>
      <c r="G7" s="195" t="s">
        <v>376</v>
      </c>
      <c r="T7" s="237">
        <v>0.216289286388966</v>
      </c>
      <c r="U7" s="237">
        <v>0.25011556037836469</v>
      </c>
      <c r="V7" s="237">
        <v>0.24999891430554444</v>
      </c>
      <c r="W7" s="237">
        <v>0.5</v>
      </c>
      <c r="X7" s="237">
        <v>0.6000001064163627</v>
      </c>
      <c r="Y7" s="237">
        <v>0.70000018086591032</v>
      </c>
      <c r="Z7" s="237">
        <v>0.84999998465697446</v>
      </c>
      <c r="AA7" s="237">
        <v>0.92500000240655178</v>
      </c>
      <c r="AB7" s="237">
        <v>0.99</v>
      </c>
      <c r="AC7" s="237">
        <v>1</v>
      </c>
      <c r="AD7" s="237">
        <v>1</v>
      </c>
      <c r="AE7" s="237">
        <v>1</v>
      </c>
      <c r="AF7" s="237">
        <v>1</v>
      </c>
      <c r="AG7" s="237">
        <v>1</v>
      </c>
      <c r="AH7" s="237">
        <v>1</v>
      </c>
      <c r="AI7" s="237">
        <v>1</v>
      </c>
      <c r="AJ7" s="237">
        <v>1</v>
      </c>
      <c r="AK7" s="237">
        <v>1</v>
      </c>
      <c r="AL7" s="237">
        <v>1</v>
      </c>
      <c r="AM7" s="237">
        <v>1</v>
      </c>
      <c r="AN7" s="237">
        <v>1</v>
      </c>
      <c r="AO7" s="237">
        <v>1</v>
      </c>
      <c r="AP7" s="237">
        <v>1</v>
      </c>
      <c r="AQ7" s="237">
        <v>1</v>
      </c>
      <c r="AR7" s="237">
        <v>1</v>
      </c>
      <c r="AS7" s="237">
        <v>1</v>
      </c>
      <c r="AT7" s="237">
        <v>1</v>
      </c>
      <c r="AU7" s="237">
        <v>1</v>
      </c>
      <c r="AV7" s="237">
        <v>1</v>
      </c>
      <c r="AW7" s="198"/>
      <c r="AX7" s="198"/>
      <c r="AY7" s="198"/>
      <c r="AZ7" s="198"/>
      <c r="BA7" s="198"/>
      <c r="BB7" s="198"/>
      <c r="BC7" s="198"/>
      <c r="BD7" s="198"/>
      <c r="BE7" s="198"/>
      <c r="BF7" s="198"/>
    </row>
    <row r="8" spans="1:58" s="196" customFormat="1" ht="15" customHeight="1" x14ac:dyDescent="0.15">
      <c r="A8" s="195" t="s">
        <v>256</v>
      </c>
      <c r="B8" s="197" t="s">
        <v>52</v>
      </c>
      <c r="C8" s="196" t="s">
        <v>336</v>
      </c>
      <c r="D8" s="195" t="s">
        <v>258</v>
      </c>
      <c r="E8" s="195" t="s">
        <v>29</v>
      </c>
      <c r="F8" s="195" t="s">
        <v>260</v>
      </c>
      <c r="G8" s="195" t="s">
        <v>376</v>
      </c>
      <c r="T8" s="237">
        <v>1.5998942133355256E-2</v>
      </c>
      <c r="U8" s="237">
        <v>3.0891088947703055E-2</v>
      </c>
      <c r="V8" s="237">
        <v>3.2204999763748583E-2</v>
      </c>
      <c r="W8" s="237">
        <v>0.10762649629913316</v>
      </c>
      <c r="X8" s="237">
        <v>0.38581886677467042</v>
      </c>
      <c r="Y8" s="237">
        <v>0.48275118567161457</v>
      </c>
      <c r="Z8" s="237">
        <v>0.57795645906874149</v>
      </c>
      <c r="AA8" s="237">
        <v>0.70508250956119378</v>
      </c>
      <c r="AB8" s="237">
        <v>0.75464779598984655</v>
      </c>
      <c r="AC8" s="237">
        <v>0.78839740829123217</v>
      </c>
      <c r="AD8" s="237">
        <v>0.82177903694763699</v>
      </c>
      <c r="AE8" s="237">
        <v>0.85491021035146875</v>
      </c>
      <c r="AF8" s="237">
        <v>0.89039865650281269</v>
      </c>
      <c r="AG8" s="237">
        <v>0.92621874200837784</v>
      </c>
      <c r="AH8" s="237">
        <v>0.94691898370225702</v>
      </c>
      <c r="AI8" s="237">
        <v>0.96005948737447411</v>
      </c>
      <c r="AJ8" s="237">
        <v>0.97304681701414208</v>
      </c>
      <c r="AK8" s="237">
        <v>0.98633149327369796</v>
      </c>
      <c r="AL8" s="237">
        <v>1</v>
      </c>
      <c r="AM8" s="237">
        <v>1</v>
      </c>
      <c r="AN8" s="237">
        <v>1</v>
      </c>
      <c r="AO8" s="237">
        <v>1</v>
      </c>
      <c r="AP8" s="237">
        <v>1</v>
      </c>
      <c r="AQ8" s="237">
        <v>1</v>
      </c>
      <c r="AR8" s="237">
        <v>1</v>
      </c>
      <c r="AS8" s="237">
        <v>1</v>
      </c>
      <c r="AT8" s="237">
        <v>1</v>
      </c>
      <c r="AU8" s="237">
        <v>1</v>
      </c>
      <c r="AV8" s="237">
        <v>1</v>
      </c>
      <c r="AW8" s="198"/>
      <c r="AX8" s="198"/>
      <c r="AY8" s="198"/>
      <c r="AZ8" s="198"/>
      <c r="BA8" s="198"/>
      <c r="BB8" s="198"/>
      <c r="BC8" s="198"/>
      <c r="BD8" s="198"/>
      <c r="BE8" s="198"/>
      <c r="BF8" s="198"/>
    </row>
    <row r="9" spans="1:58" s="196" customFormat="1" ht="15" customHeight="1" x14ac:dyDescent="0.15">
      <c r="A9" s="195" t="s">
        <v>256</v>
      </c>
      <c r="B9" s="197" t="s">
        <v>52</v>
      </c>
      <c r="C9" s="196" t="s">
        <v>234</v>
      </c>
      <c r="D9" s="195" t="s">
        <v>258</v>
      </c>
      <c r="E9" s="195" t="s">
        <v>29</v>
      </c>
      <c r="F9" s="195" t="s">
        <v>260</v>
      </c>
      <c r="G9" s="195" t="s">
        <v>376</v>
      </c>
      <c r="T9" s="237">
        <v>0.11853598332851799</v>
      </c>
      <c r="U9" s="237">
        <v>0.14227802939480202</v>
      </c>
      <c r="V9" s="237">
        <f>U9</f>
        <v>0.14227802939480202</v>
      </c>
      <c r="W9" s="237">
        <v>0.42646565565054345</v>
      </c>
      <c r="X9" s="237">
        <v>0.56112738353879721</v>
      </c>
      <c r="Y9" s="237">
        <v>0.66872715473417432</v>
      </c>
      <c r="Z9" s="237">
        <v>0.79023998238039528</v>
      </c>
      <c r="AA9" s="237">
        <v>0.87654980071993449</v>
      </c>
      <c r="AB9" s="237">
        <v>0.94566138156340607</v>
      </c>
      <c r="AC9" s="237">
        <v>0.95560578200009882</v>
      </c>
      <c r="AD9" s="237">
        <v>0.96232604660461418</v>
      </c>
      <c r="AE9" s="237">
        <v>0.96897585691715959</v>
      </c>
      <c r="AF9" s="237">
        <v>0.97621413236132792</v>
      </c>
      <c r="AG9" s="237">
        <v>0.98374260448425233</v>
      </c>
      <c r="AH9" s="237">
        <v>0.98734811013413903</v>
      </c>
      <c r="AI9" s="237">
        <v>0.99031799540353349</v>
      </c>
      <c r="AJ9" s="237">
        <v>0.99338550116267021</v>
      </c>
      <c r="AK9" s="237">
        <v>0.99661329145672151</v>
      </c>
      <c r="AL9" s="237">
        <v>1</v>
      </c>
      <c r="AM9" s="237">
        <v>1</v>
      </c>
      <c r="AN9" s="237">
        <v>1</v>
      </c>
      <c r="AO9" s="237">
        <v>1</v>
      </c>
      <c r="AP9" s="237">
        <v>1</v>
      </c>
      <c r="AQ9" s="237">
        <v>1</v>
      </c>
      <c r="AR9" s="237">
        <v>1</v>
      </c>
      <c r="AS9" s="237">
        <v>1</v>
      </c>
      <c r="AT9" s="237">
        <v>1</v>
      </c>
      <c r="AU9" s="237">
        <v>1</v>
      </c>
      <c r="AV9" s="237">
        <v>1</v>
      </c>
      <c r="AW9" s="198"/>
      <c r="AX9" s="198"/>
      <c r="AY9" s="198"/>
      <c r="AZ9" s="198"/>
      <c r="BA9" s="198"/>
      <c r="BB9" s="198"/>
      <c r="BC9" s="198"/>
      <c r="BD9" s="198"/>
      <c r="BE9" s="198"/>
      <c r="BF9" s="198"/>
    </row>
    <row r="10" spans="1:58" s="196" customFormat="1" ht="15" customHeight="1" x14ac:dyDescent="0.15">
      <c r="A10" s="195" t="s">
        <v>259</v>
      </c>
      <c r="B10" s="197" t="s">
        <v>52</v>
      </c>
      <c r="C10" s="196" t="s">
        <v>335</v>
      </c>
      <c r="D10" s="195" t="s">
        <v>7</v>
      </c>
      <c r="E10" s="195" t="s">
        <v>264</v>
      </c>
      <c r="F10" s="195" t="s">
        <v>265</v>
      </c>
      <c r="G10" s="195" t="s">
        <v>236</v>
      </c>
      <c r="T10" s="198">
        <v>294.4008589074553</v>
      </c>
      <c r="U10" s="198">
        <v>291.05514855586216</v>
      </c>
      <c r="V10" s="198">
        <v>289.2111076392984</v>
      </c>
      <c r="W10" s="198">
        <v>235.43999726127333</v>
      </c>
      <c r="X10" s="198">
        <v>207.44273394434191</v>
      </c>
      <c r="Y10" s="198">
        <v>177.07466045929584</v>
      </c>
      <c r="Z10" s="198">
        <v>140.23334976888779</v>
      </c>
      <c r="AA10" s="198">
        <v>108.76213679091674</v>
      </c>
      <c r="AB10" s="198">
        <v>83.009432080381131</v>
      </c>
      <c r="AC10" s="198">
        <v>56.721452697334513</v>
      </c>
      <c r="AD10" s="198">
        <v>31.96061998371087</v>
      </c>
      <c r="AE10" s="198">
        <v>22.233594687528935</v>
      </c>
      <c r="AF10" s="198">
        <v>12.260156449008086</v>
      </c>
      <c r="AG10" s="198">
        <v>10.567345606161926</v>
      </c>
      <c r="AH10" s="198">
        <v>9.645772944985346</v>
      </c>
      <c r="AI10" s="198">
        <v>8.7579836551241232</v>
      </c>
      <c r="AJ10" s="198">
        <v>7.9119102337764975</v>
      </c>
      <c r="AK10" s="198">
        <v>7.0676373559291408</v>
      </c>
      <c r="AL10" s="198">
        <v>6.2321864358127117</v>
      </c>
      <c r="AM10" s="198">
        <v>5.6969295186816016</v>
      </c>
      <c r="AN10" s="198">
        <v>5.167545069590914</v>
      </c>
      <c r="AO10" s="198">
        <v>4.6418368338461518</v>
      </c>
      <c r="AP10" s="198">
        <v>4.1192779818646601</v>
      </c>
      <c r="AQ10" s="198">
        <v>3.5973512853952507</v>
      </c>
      <c r="AR10" s="198">
        <v>3.0762873738418541</v>
      </c>
      <c r="AS10" s="198">
        <v>2.5574657739946409</v>
      </c>
      <c r="AT10" s="198">
        <v>2.040804341212195</v>
      </c>
      <c r="AU10" s="198">
        <v>1.5256320552138913</v>
      </c>
      <c r="AV10" s="198">
        <v>1.0140168019848332</v>
      </c>
      <c r="AW10" s="198"/>
      <c r="AX10" s="198"/>
      <c r="AY10" s="198"/>
      <c r="AZ10" s="198"/>
      <c r="BA10" s="198"/>
      <c r="BB10" s="198"/>
      <c r="BC10" s="198"/>
      <c r="BD10" s="198"/>
      <c r="BE10" s="198"/>
      <c r="BF10" s="198"/>
    </row>
    <row r="11" spans="1:58" s="196" customFormat="1" ht="15" customHeight="1" x14ac:dyDescent="0.15">
      <c r="A11" s="195" t="s">
        <v>259</v>
      </c>
      <c r="B11" s="197" t="s">
        <v>52</v>
      </c>
      <c r="C11" s="196" t="s">
        <v>443</v>
      </c>
      <c r="D11" s="195" t="s">
        <v>7</v>
      </c>
      <c r="E11" s="195" t="s">
        <v>264</v>
      </c>
      <c r="F11" s="195" t="s">
        <v>265</v>
      </c>
      <c r="G11" s="195" t="s">
        <v>236</v>
      </c>
      <c r="T11" s="198">
        <v>237.24522856296988</v>
      </c>
      <c r="U11" s="198">
        <v>234.95365046381735</v>
      </c>
      <c r="V11" s="198">
        <v>229.45770246036298</v>
      </c>
      <c r="W11" s="198">
        <v>212.20101592903768</v>
      </c>
      <c r="X11" s="198">
        <v>191.37171587786042</v>
      </c>
      <c r="Y11" s="198">
        <v>169.259639508411</v>
      </c>
      <c r="Z11" s="198">
        <v>139.59871061229444</v>
      </c>
      <c r="AA11" s="198">
        <v>113.37795672287257</v>
      </c>
      <c r="AB11" s="198">
        <v>89.433895051418119</v>
      </c>
      <c r="AC11" s="198">
        <v>64.958224605614248</v>
      </c>
      <c r="AD11" s="198">
        <v>42.77785686322045</v>
      </c>
      <c r="AE11" s="198">
        <v>28.943233232934105</v>
      </c>
      <c r="AF11" s="198">
        <v>17.225833329952863</v>
      </c>
      <c r="AG11" s="198">
        <v>13.485124774828046</v>
      </c>
      <c r="AH11" s="198">
        <v>11.291654875530348</v>
      </c>
      <c r="AI11" s="198">
        <v>9.761583892482955</v>
      </c>
      <c r="AJ11" s="198">
        <v>8.7882666115907266</v>
      </c>
      <c r="AK11" s="198">
        <v>7.3457862982452546</v>
      </c>
      <c r="AL11" s="198">
        <v>6.4480153926385926</v>
      </c>
      <c r="AM11" s="198">
        <v>5.8910265337866621</v>
      </c>
      <c r="AN11" s="198">
        <v>5.3403888605134409</v>
      </c>
      <c r="AO11" s="198">
        <v>4.7936989884644214</v>
      </c>
      <c r="AP11" s="198">
        <v>4.2503634739061651</v>
      </c>
      <c r="AQ11" s="198">
        <v>3.7076905477782685</v>
      </c>
      <c r="AR11" s="198">
        <v>3.1659541057782943</v>
      </c>
      <c r="AS11" s="198">
        <v>2.6266161394792067</v>
      </c>
      <c r="AT11" s="198">
        <v>2.0895858122805664</v>
      </c>
      <c r="AU11" s="198">
        <v>1.55419323026408</v>
      </c>
      <c r="AV11" s="198">
        <v>1.0224900492621145</v>
      </c>
      <c r="AW11" s="198"/>
      <c r="AX11" s="198"/>
      <c r="AY11" s="198"/>
      <c r="AZ11" s="198"/>
      <c r="BA11" s="198"/>
      <c r="BB11" s="198"/>
      <c r="BC11" s="198"/>
      <c r="BD11" s="198"/>
      <c r="BE11" s="198"/>
      <c r="BF11" s="198"/>
    </row>
    <row r="12" spans="1:58" s="196" customFormat="1" ht="15" customHeight="1" x14ac:dyDescent="0.15">
      <c r="A12" s="195" t="s">
        <v>259</v>
      </c>
      <c r="B12" s="197" t="s">
        <v>52</v>
      </c>
      <c r="C12" s="196" t="s">
        <v>336</v>
      </c>
      <c r="D12" s="195" t="s">
        <v>7</v>
      </c>
      <c r="E12" s="195" t="s">
        <v>264</v>
      </c>
      <c r="F12" s="195" t="s">
        <v>265</v>
      </c>
      <c r="G12" s="195" t="s">
        <v>236</v>
      </c>
      <c r="T12" s="198">
        <v>251.96549972545222</v>
      </c>
      <c r="U12" s="198">
        <v>250.17023870936424</v>
      </c>
      <c r="V12" s="198">
        <v>249.2504375153228</v>
      </c>
      <c r="W12" s="198">
        <v>218.27801663744458</v>
      </c>
      <c r="X12" s="198">
        <v>202.83947198770727</v>
      </c>
      <c r="Y12" s="198">
        <v>184.54113472778994</v>
      </c>
      <c r="Z12" s="198">
        <v>161.65793355822109</v>
      </c>
      <c r="AA12" s="198">
        <v>138.80891491656601</v>
      </c>
      <c r="AB12" s="198">
        <v>116.79529165209952</v>
      </c>
      <c r="AC12" s="198">
        <v>99.194301837915276</v>
      </c>
      <c r="AD12" s="198">
        <v>82.978966437810058</v>
      </c>
      <c r="AE12" s="198">
        <v>70.88659236393633</v>
      </c>
      <c r="AF12" s="198">
        <v>60.592125191545833</v>
      </c>
      <c r="AG12" s="198">
        <v>48.143913679111712</v>
      </c>
      <c r="AH12" s="198">
        <v>37.135206182244879</v>
      </c>
      <c r="AI12" s="198">
        <v>26.866604632369267</v>
      </c>
      <c r="AJ12" s="198">
        <v>17.693425754828358</v>
      </c>
      <c r="AK12" s="198">
        <v>12.005923622197276</v>
      </c>
      <c r="AL12" s="198">
        <v>7.230004807772259</v>
      </c>
      <c r="AM12" s="198">
        <v>6.6459452418836324</v>
      </c>
      <c r="AN12" s="198">
        <v>5.9549704418115548</v>
      </c>
      <c r="AO12" s="198">
        <v>5.3796920910146024</v>
      </c>
      <c r="AP12" s="198">
        <v>4.6200295540215599</v>
      </c>
      <c r="AQ12" s="198">
        <v>3.9951625204338099</v>
      </c>
      <c r="AR12" s="198">
        <v>3.4316126118341228</v>
      </c>
      <c r="AS12" s="198">
        <v>2.8688536909763203</v>
      </c>
      <c r="AT12" s="198">
        <v>2.3064660736936586</v>
      </c>
      <c r="AU12" s="198">
        <v>1.7448142595717924</v>
      </c>
      <c r="AV12" s="198">
        <v>1.1842959741781378</v>
      </c>
      <c r="AW12" s="198"/>
      <c r="AX12" s="198"/>
      <c r="AY12" s="198"/>
      <c r="AZ12" s="198"/>
      <c r="BA12" s="198"/>
      <c r="BB12" s="198"/>
      <c r="BC12" s="198"/>
      <c r="BD12" s="198"/>
      <c r="BE12" s="198"/>
      <c r="BF12" s="198"/>
    </row>
    <row r="13" spans="1:58" s="196" customFormat="1" ht="15" customHeight="1" x14ac:dyDescent="0.15">
      <c r="A13" s="195" t="s">
        <v>259</v>
      </c>
      <c r="B13" s="197" t="s">
        <v>52</v>
      </c>
      <c r="C13" s="196" t="s">
        <v>234</v>
      </c>
      <c r="D13" s="195" t="s">
        <v>7</v>
      </c>
      <c r="E13" s="195" t="s">
        <v>264</v>
      </c>
      <c r="F13" s="195" t="s">
        <v>265</v>
      </c>
      <c r="G13" s="195" t="s">
        <v>236</v>
      </c>
      <c r="T13" s="198">
        <v>282.38456906414081</v>
      </c>
      <c r="U13" s="198">
        <v>279.17680942217004</v>
      </c>
      <c r="V13" s="198">
        <v>273.94676207674735</v>
      </c>
      <c r="W13" s="198">
        <v>230.22037390980449</v>
      </c>
      <c r="X13" s="198">
        <v>204.49975182976462</v>
      </c>
      <c r="Y13" s="198">
        <v>176.90009526433042</v>
      </c>
      <c r="Z13" s="198">
        <v>143.26140209435141</v>
      </c>
      <c r="AA13" s="198">
        <v>114.01173999139509</v>
      </c>
      <c r="AB13" s="198">
        <v>88.906767823610011</v>
      </c>
      <c r="AC13" s="198">
        <v>64.416504217246143</v>
      </c>
      <c r="AD13" s="198">
        <v>41.511998292506441</v>
      </c>
      <c r="AE13" s="198">
        <v>30.928052127765334</v>
      </c>
      <c r="AF13" s="198">
        <v>20.667720936513756</v>
      </c>
      <c r="AG13" s="198">
        <v>16.944501009906901</v>
      </c>
      <c r="AH13" s="198">
        <v>14.23974488765233</v>
      </c>
      <c r="AI13" s="198">
        <v>11.804087915756808</v>
      </c>
      <c r="AJ13" s="198">
        <v>9.6519457042254295</v>
      </c>
      <c r="AK13" s="198">
        <v>7.9464702118835406</v>
      </c>
      <c r="AL13" s="198">
        <v>6.4828681619584776</v>
      </c>
      <c r="AM13" s="198">
        <v>5.927370114729281</v>
      </c>
      <c r="AN13" s="198">
        <v>5.3662110171678687</v>
      </c>
      <c r="AO13" s="198">
        <v>4.8251778803011387</v>
      </c>
      <c r="AP13" s="198">
        <v>4.260032790742339</v>
      </c>
      <c r="AQ13" s="198">
        <v>3.7150349400688061</v>
      </c>
      <c r="AR13" s="198">
        <v>3.1795567252363717</v>
      </c>
      <c r="AS13" s="198">
        <v>2.6460287290583171</v>
      </c>
      <c r="AT13" s="198">
        <v>2.1142588643588307</v>
      </c>
      <c r="AU13" s="198">
        <v>1.5840073038448896</v>
      </c>
      <c r="AV13" s="198">
        <v>1.0567577190844655</v>
      </c>
      <c r="AW13" s="198"/>
      <c r="AX13" s="198"/>
      <c r="AY13" s="198"/>
      <c r="AZ13" s="198"/>
      <c r="BA13" s="198"/>
      <c r="BB13" s="198"/>
      <c r="BC13" s="198"/>
      <c r="BD13" s="198"/>
      <c r="BE13" s="198"/>
      <c r="BF13" s="198"/>
    </row>
    <row r="14" spans="1:58" s="196" customFormat="1" ht="15" customHeight="1" x14ac:dyDescent="0.15">
      <c r="A14" s="195" t="s">
        <v>256</v>
      </c>
      <c r="B14" s="197" t="s">
        <v>52</v>
      </c>
      <c r="C14" s="196" t="s">
        <v>335</v>
      </c>
      <c r="D14" s="195" t="s">
        <v>258</v>
      </c>
      <c r="E14" s="195" t="s">
        <v>29</v>
      </c>
      <c r="F14" s="195" t="s">
        <v>260</v>
      </c>
      <c r="G14" s="195" t="s">
        <v>236</v>
      </c>
      <c r="T14" s="237">
        <v>2.03818680378565E-2</v>
      </c>
      <c r="U14" s="237">
        <v>2.7633422090810336E-2</v>
      </c>
      <c r="V14" s="237">
        <v>3.3082473588158814E-2</v>
      </c>
      <c r="W14" s="237">
        <v>0.22222136115881266</v>
      </c>
      <c r="X14" s="237">
        <v>0.29411656748590259</v>
      </c>
      <c r="Y14" s="237">
        <v>0.37499880955782222</v>
      </c>
      <c r="Z14" s="237">
        <v>0.4994217390413101</v>
      </c>
      <c r="AA14" s="237">
        <v>0.6077152976518676</v>
      </c>
      <c r="AB14" s="237">
        <v>0.69999822534825684</v>
      </c>
      <c r="AC14" s="237">
        <v>0.79999795389965411</v>
      </c>
      <c r="AD14" s="237">
        <v>0.89999782272903039</v>
      </c>
      <c r="AE14" s="237">
        <v>0.94999771420345336</v>
      </c>
      <c r="AF14" s="237">
        <v>0.99999760033912</v>
      </c>
      <c r="AG14" s="237">
        <v>0.99999812096212382</v>
      </c>
      <c r="AH14" s="237">
        <v>0.99999850210880026</v>
      </c>
      <c r="AI14" s="237">
        <v>0.99999908990933561</v>
      </c>
      <c r="AJ14" s="237">
        <v>0.99999943899553279</v>
      </c>
      <c r="AK14" s="237">
        <v>0.99999977930347728</v>
      </c>
      <c r="AL14" s="237">
        <v>1</v>
      </c>
      <c r="AM14" s="237">
        <v>1</v>
      </c>
      <c r="AN14" s="237">
        <v>1</v>
      </c>
      <c r="AO14" s="237">
        <v>1</v>
      </c>
      <c r="AP14" s="237">
        <v>1</v>
      </c>
      <c r="AQ14" s="237">
        <v>1</v>
      </c>
      <c r="AR14" s="237">
        <v>1</v>
      </c>
      <c r="AS14" s="237">
        <v>1</v>
      </c>
      <c r="AT14" s="237">
        <v>1</v>
      </c>
      <c r="AU14" s="237">
        <v>1</v>
      </c>
      <c r="AV14" s="237">
        <v>1</v>
      </c>
      <c r="AW14" s="198"/>
      <c r="AX14" s="198"/>
      <c r="AY14" s="198"/>
      <c r="AZ14" s="198"/>
      <c r="BA14" s="198"/>
      <c r="BB14" s="198"/>
      <c r="BC14" s="198"/>
      <c r="BD14" s="198"/>
      <c r="BE14" s="198"/>
      <c r="BF14" s="198"/>
    </row>
    <row r="15" spans="1:58" s="196" customFormat="1" ht="15" customHeight="1" x14ac:dyDescent="0.15">
      <c r="A15" s="195" t="s">
        <v>256</v>
      </c>
      <c r="B15" s="197" t="s">
        <v>52</v>
      </c>
      <c r="C15" s="196" t="s">
        <v>443</v>
      </c>
      <c r="D15" s="195" t="s">
        <v>258</v>
      </c>
      <c r="E15" s="195" t="s">
        <v>29</v>
      </c>
      <c r="F15" s="195" t="s">
        <v>260</v>
      </c>
      <c r="G15" s="195" t="s">
        <v>236</v>
      </c>
      <c r="T15" s="237">
        <v>9.866502676125545E-2</v>
      </c>
      <c r="U15" s="237">
        <v>0.11790702371585587</v>
      </c>
      <c r="V15" s="237">
        <v>0.11711714222897859</v>
      </c>
      <c r="W15" s="237">
        <v>0.22222222222222224</v>
      </c>
      <c r="X15" s="237">
        <v>0.2941176271576369</v>
      </c>
      <c r="Y15" s="237">
        <v>0.37500008171638399</v>
      </c>
      <c r="Z15" s="237">
        <v>0.49942314795677267</v>
      </c>
      <c r="AA15" s="237">
        <v>0.60771717814824355</v>
      </c>
      <c r="AB15" s="237">
        <v>0.70000003001041056</v>
      </c>
      <c r="AC15" s="237">
        <v>0.80000021063399773</v>
      </c>
      <c r="AD15" s="237">
        <v>0.90000013763185127</v>
      </c>
      <c r="AE15" s="237">
        <v>0.9500000336177169</v>
      </c>
      <c r="AF15" s="237">
        <v>1</v>
      </c>
      <c r="AG15" s="237">
        <v>1</v>
      </c>
      <c r="AH15" s="237">
        <v>1</v>
      </c>
      <c r="AI15" s="237">
        <v>1</v>
      </c>
      <c r="AJ15" s="237">
        <v>1</v>
      </c>
      <c r="AK15" s="237">
        <v>1</v>
      </c>
      <c r="AL15" s="237">
        <v>1</v>
      </c>
      <c r="AM15" s="237">
        <v>1</v>
      </c>
      <c r="AN15" s="237">
        <v>1</v>
      </c>
      <c r="AO15" s="237">
        <v>1</v>
      </c>
      <c r="AP15" s="237">
        <v>1</v>
      </c>
      <c r="AQ15" s="237">
        <v>1</v>
      </c>
      <c r="AR15" s="237">
        <v>1</v>
      </c>
      <c r="AS15" s="237">
        <v>1</v>
      </c>
      <c r="AT15" s="237">
        <v>1</v>
      </c>
      <c r="AU15" s="237">
        <v>1</v>
      </c>
      <c r="AV15" s="237">
        <v>1</v>
      </c>
      <c r="AW15" s="198"/>
      <c r="AX15" s="198"/>
      <c r="AY15" s="198"/>
      <c r="AZ15" s="198"/>
      <c r="BA15" s="198"/>
      <c r="BB15" s="198"/>
      <c r="BC15" s="198"/>
      <c r="BD15" s="198"/>
      <c r="BE15" s="198"/>
      <c r="BF15" s="198"/>
    </row>
    <row r="16" spans="1:58" s="196" customFormat="1" ht="15" customHeight="1" x14ac:dyDescent="0.15">
      <c r="A16" s="195" t="s">
        <v>256</v>
      </c>
      <c r="B16" s="197" t="s">
        <v>52</v>
      </c>
      <c r="C16" s="196" t="s">
        <v>336</v>
      </c>
      <c r="D16" s="195" t="s">
        <v>258</v>
      </c>
      <c r="E16" s="195" t="s">
        <v>29</v>
      </c>
      <c r="F16" s="195" t="s">
        <v>260</v>
      </c>
      <c r="G16" s="195" t="s">
        <v>236</v>
      </c>
      <c r="T16" s="237">
        <v>1.4195605916275714E-3</v>
      </c>
      <c r="U16" s="237">
        <v>1.974666122166303E-3</v>
      </c>
      <c r="V16" s="237">
        <v>2.3104163067887372E-3</v>
      </c>
      <c r="W16" s="237">
        <v>5.5767170814424102E-2</v>
      </c>
      <c r="X16" s="237">
        <v>8.7877091010097122E-2</v>
      </c>
      <c r="Y16" s="237">
        <v>0.12453011799319053</v>
      </c>
      <c r="Z16" s="237">
        <v>0.19378149340178183</v>
      </c>
      <c r="AA16" s="237">
        <v>0.27280709103628004</v>
      </c>
      <c r="AB16" s="237">
        <v>0.36625497606048663</v>
      </c>
      <c r="AC16" s="237">
        <v>0.41905358786630276</v>
      </c>
      <c r="AD16" s="237">
        <v>0.46774185737461843</v>
      </c>
      <c r="AE16" s="237">
        <v>0.5068171577591597</v>
      </c>
      <c r="AF16" s="237">
        <v>0.54092727516085293</v>
      </c>
      <c r="AG16" s="237">
        <v>0.63240124508183704</v>
      </c>
      <c r="AH16" s="237">
        <v>0.72400660189016686</v>
      </c>
      <c r="AI16" s="237">
        <v>0.81578936111912781</v>
      </c>
      <c r="AJ16" s="237">
        <v>0.90778013826060333</v>
      </c>
      <c r="AK16" s="237">
        <v>0.95382370018016349</v>
      </c>
      <c r="AL16" s="237">
        <v>1</v>
      </c>
      <c r="AM16" s="237">
        <v>1</v>
      </c>
      <c r="AN16" s="237">
        <v>1</v>
      </c>
      <c r="AO16" s="237">
        <v>1</v>
      </c>
      <c r="AP16" s="237">
        <v>1</v>
      </c>
      <c r="AQ16" s="237">
        <v>1</v>
      </c>
      <c r="AR16" s="237">
        <v>1</v>
      </c>
      <c r="AS16" s="237">
        <v>1</v>
      </c>
      <c r="AT16" s="237">
        <v>1</v>
      </c>
      <c r="AU16" s="237">
        <v>1</v>
      </c>
      <c r="AV16" s="237">
        <v>1</v>
      </c>
      <c r="AW16" s="198"/>
      <c r="AX16" s="198"/>
      <c r="AY16" s="198"/>
      <c r="AZ16" s="198"/>
      <c r="BA16" s="198"/>
      <c r="BB16" s="198"/>
      <c r="BC16" s="198"/>
      <c r="BD16" s="198"/>
      <c r="BE16" s="198"/>
      <c r="BF16" s="198"/>
    </row>
    <row r="17" spans="1:58" s="196" customFormat="1" ht="15" customHeight="1" x14ac:dyDescent="0.15">
      <c r="A17" s="195" t="s">
        <v>256</v>
      </c>
      <c r="B17" s="197" t="s">
        <v>52</v>
      </c>
      <c r="C17" s="196" t="s">
        <v>234</v>
      </c>
      <c r="D17" s="195" t="s">
        <v>258</v>
      </c>
      <c r="E17" s="195" t="s">
        <v>29</v>
      </c>
      <c r="F17" s="195" t="s">
        <v>260</v>
      </c>
      <c r="G17" s="195" t="s">
        <v>236</v>
      </c>
      <c r="T17" s="237">
        <v>2.4964802310785066E-2</v>
      </c>
      <c r="U17" s="237">
        <v>3.1796101860331362E-2</v>
      </c>
      <c r="V17" s="237">
        <v>4.5102915753461516E-2</v>
      </c>
      <c r="W17" s="237">
        <v>0.19102765833293492</v>
      </c>
      <c r="X17" s="237">
        <v>0.25423362220113926</v>
      </c>
      <c r="Y17" s="237">
        <v>0.32487201841318553</v>
      </c>
      <c r="Z17" s="237">
        <v>0.43502319815195184</v>
      </c>
      <c r="AA17" s="237">
        <v>0.53641417637541944</v>
      </c>
      <c r="AB17" s="237">
        <v>0.63017467114297865</v>
      </c>
      <c r="AC17" s="237">
        <v>0.71048206446696638</v>
      </c>
      <c r="AD17" s="237">
        <v>0.79633754361083731</v>
      </c>
      <c r="AE17" s="237">
        <v>0.84204728422576081</v>
      </c>
      <c r="AF17" s="237">
        <v>0.88761208751199816</v>
      </c>
      <c r="AG17" s="237">
        <v>0.91013736374616816</v>
      </c>
      <c r="AH17" s="237">
        <v>0.93261251515888932</v>
      </c>
      <c r="AI17" s="237">
        <v>0.95491951690624333</v>
      </c>
      <c r="AJ17" s="237">
        <v>0.97737382873427525</v>
      </c>
      <c r="AK17" s="237">
        <v>0.98863963026285617</v>
      </c>
      <c r="AL17" s="237">
        <v>1</v>
      </c>
      <c r="AM17" s="237">
        <v>1</v>
      </c>
      <c r="AN17" s="237">
        <v>1</v>
      </c>
      <c r="AO17" s="237">
        <v>1</v>
      </c>
      <c r="AP17" s="237">
        <v>1</v>
      </c>
      <c r="AQ17" s="237">
        <v>1</v>
      </c>
      <c r="AR17" s="237">
        <v>1</v>
      </c>
      <c r="AS17" s="237">
        <v>1</v>
      </c>
      <c r="AT17" s="237">
        <v>1</v>
      </c>
      <c r="AU17" s="237">
        <v>1</v>
      </c>
      <c r="AV17" s="237">
        <v>1</v>
      </c>
      <c r="AW17" s="198"/>
      <c r="AX17" s="198"/>
      <c r="AY17" s="198"/>
      <c r="AZ17" s="198"/>
      <c r="BA17" s="198"/>
      <c r="BB17" s="198"/>
      <c r="BC17" s="198"/>
      <c r="BD17" s="198"/>
      <c r="BE17" s="198"/>
      <c r="BF17" s="198"/>
    </row>
    <row r="18" spans="1:58" s="196" customFormat="1" ht="15" customHeight="1" x14ac:dyDescent="0.15">
      <c r="A18" s="195" t="s">
        <v>259</v>
      </c>
      <c r="B18" s="197" t="s">
        <v>52</v>
      </c>
      <c r="C18" s="196" t="s">
        <v>335</v>
      </c>
      <c r="D18" s="195" t="s">
        <v>7</v>
      </c>
      <c r="E18" s="195" t="s">
        <v>264</v>
      </c>
      <c r="F18" s="195" t="s">
        <v>265</v>
      </c>
      <c r="G18" s="195" t="s">
        <v>340</v>
      </c>
      <c r="T18" s="198">
        <v>62.374837675826427</v>
      </c>
      <c r="U18" s="198">
        <v>61.843259077269977</v>
      </c>
      <c r="V18" s="198">
        <v>60.667995991043895</v>
      </c>
      <c r="W18" s="198">
        <v>55.564907383681032</v>
      </c>
      <c r="X18" s="198">
        <v>49.49589758052435</v>
      </c>
      <c r="Y18" s="198">
        <v>42.383207310264602</v>
      </c>
      <c r="Z18" s="198">
        <v>35.412331861368273</v>
      </c>
      <c r="AA18" s="198">
        <v>28.082366325567975</v>
      </c>
      <c r="AB18" s="198">
        <v>22.137185406387879</v>
      </c>
      <c r="AC18" s="198">
        <v>16.450460018027261</v>
      </c>
      <c r="AD18" s="198">
        <v>11.81463174011153</v>
      </c>
      <c r="AE18" s="198">
        <v>8.1972277111154686</v>
      </c>
      <c r="AF18" s="198">
        <v>5.5434932053053743</v>
      </c>
      <c r="AG18" s="198">
        <v>3.3761612883606009</v>
      </c>
      <c r="AH18" s="198">
        <v>1.5969245320614365</v>
      </c>
      <c r="AI18" s="198">
        <v>1.3934124995856436</v>
      </c>
      <c r="AJ18" s="198">
        <v>1.2601265015543925</v>
      </c>
      <c r="AK18" s="198">
        <v>1.1265321628787583</v>
      </c>
      <c r="AL18" s="198">
        <v>0.99501664672417789</v>
      </c>
      <c r="AM18" s="198">
        <v>0.90933865000925496</v>
      </c>
      <c r="AN18" s="198">
        <v>0.82502587354256463</v>
      </c>
      <c r="AO18" s="198">
        <v>0.74156117781731734</v>
      </c>
      <c r="AP18" s="198">
        <v>0.65881910136003186</v>
      </c>
      <c r="AQ18" s="198">
        <v>0.57619703353701501</v>
      </c>
      <c r="AR18" s="198">
        <v>0.49375595809874129</v>
      </c>
      <c r="AS18" s="198">
        <v>0.41182554316803971</v>
      </c>
      <c r="AT18" s="198">
        <v>0.33038601349078567</v>
      </c>
      <c r="AU18" s="198">
        <v>0.24928477620213224</v>
      </c>
      <c r="AV18" s="198">
        <v>0.16899166313165032</v>
      </c>
      <c r="AW18" s="198"/>
      <c r="AX18" s="198"/>
      <c r="AY18" s="198"/>
      <c r="AZ18" s="198"/>
      <c r="BA18" s="198"/>
      <c r="BB18" s="198"/>
      <c r="BC18" s="198"/>
      <c r="BD18" s="198"/>
      <c r="BE18" s="198"/>
      <c r="BF18" s="198"/>
    </row>
    <row r="19" spans="1:58" s="196" customFormat="1" ht="15" customHeight="1" x14ac:dyDescent="0.15">
      <c r="A19" s="195" t="s">
        <v>259</v>
      </c>
      <c r="B19" s="197" t="s">
        <v>52</v>
      </c>
      <c r="C19" s="196" t="s">
        <v>443</v>
      </c>
      <c r="D19" s="195" t="s">
        <v>7</v>
      </c>
      <c r="E19" s="195" t="s">
        <v>264</v>
      </c>
      <c r="F19" s="195" t="s">
        <v>265</v>
      </c>
      <c r="G19" s="195" t="s">
        <v>340</v>
      </c>
      <c r="T19" s="198">
        <v>67.821349298658689</v>
      </c>
      <c r="U19" s="198">
        <v>66.024264596056653</v>
      </c>
      <c r="V19" s="198">
        <v>61.992939902388024</v>
      </c>
      <c r="W19" s="198">
        <v>57.541339676022439</v>
      </c>
      <c r="X19" s="198">
        <v>52.744386173692014</v>
      </c>
      <c r="Y19" s="198">
        <v>47.653556738584975</v>
      </c>
      <c r="Z19" s="198">
        <v>41.987201791952359</v>
      </c>
      <c r="AA19" s="198">
        <v>36.813582537991081</v>
      </c>
      <c r="AB19" s="198">
        <v>29.767371771785253</v>
      </c>
      <c r="AC19" s="198">
        <v>22.544823685465037</v>
      </c>
      <c r="AD19" s="198">
        <v>17.073063746654871</v>
      </c>
      <c r="AE19" s="198">
        <v>11.669827336909471</v>
      </c>
      <c r="AF19" s="198">
        <v>8.1557050336086725</v>
      </c>
      <c r="AG19" s="198">
        <v>4.8541840450563543</v>
      </c>
      <c r="AH19" s="198">
        <v>2.2444388368209731</v>
      </c>
      <c r="AI19" s="198">
        <v>1.7716439245596394</v>
      </c>
      <c r="AJ19" s="198">
        <v>1.6232686908614136</v>
      </c>
      <c r="AK19" s="198">
        <v>1.1610378042299254</v>
      </c>
      <c r="AL19" s="198">
        <v>1.0215928669903009</v>
      </c>
      <c r="AM19" s="198">
        <v>0.93323889538082738</v>
      </c>
      <c r="AN19" s="198">
        <v>0.84630909117352671</v>
      </c>
      <c r="AO19" s="198">
        <v>0.76026080983416067</v>
      </c>
      <c r="AP19" s="198">
        <v>0.67496038731823904</v>
      </c>
      <c r="AQ19" s="198">
        <v>0.58978372081113417</v>
      </c>
      <c r="AR19" s="198">
        <v>0.50479712168277646</v>
      </c>
      <c r="AS19" s="198">
        <v>0.42034041240351172</v>
      </c>
      <c r="AT19" s="198">
        <v>0.33639274742994107</v>
      </c>
      <c r="AU19" s="198">
        <v>0.25280167259247838</v>
      </c>
      <c r="AV19" s="198">
        <v>0.17003502121168787</v>
      </c>
      <c r="AW19" s="198"/>
      <c r="AX19" s="198"/>
      <c r="AY19" s="198"/>
      <c r="AZ19" s="198"/>
      <c r="BA19" s="198"/>
      <c r="BB19" s="198"/>
      <c r="BC19" s="198"/>
      <c r="BD19" s="198"/>
      <c r="BE19" s="198"/>
      <c r="BF19" s="198"/>
    </row>
    <row r="20" spans="1:58" s="196" customFormat="1" ht="15" customHeight="1" x14ac:dyDescent="0.15">
      <c r="A20" s="195" t="s">
        <v>259</v>
      </c>
      <c r="B20" s="197" t="s">
        <v>52</v>
      </c>
      <c r="C20" s="196" t="s">
        <v>336</v>
      </c>
      <c r="D20" s="195" t="s">
        <v>7</v>
      </c>
      <c r="E20" s="195" t="s">
        <v>264</v>
      </c>
      <c r="F20" s="195" t="s">
        <v>265</v>
      </c>
      <c r="G20" s="195" t="s">
        <v>340</v>
      </c>
      <c r="T20" s="198">
        <v>63.157100591063909</v>
      </c>
      <c r="U20" s="198">
        <v>62.260743660416573</v>
      </c>
      <c r="V20" s="198">
        <v>61.000913129101221</v>
      </c>
      <c r="W20" s="198">
        <v>57.739199149296127</v>
      </c>
      <c r="X20" s="198">
        <v>53.028556025189538</v>
      </c>
      <c r="Y20" s="198">
        <v>47.494803898536411</v>
      </c>
      <c r="Z20" s="198">
        <v>41.161619941188924</v>
      </c>
      <c r="AA20" s="198">
        <v>34.267433045765181</v>
      </c>
      <c r="AB20" s="198">
        <v>28.253328565240828</v>
      </c>
      <c r="AC20" s="198">
        <v>21.835253548112206</v>
      </c>
      <c r="AD20" s="198">
        <v>16.898753353777863</v>
      </c>
      <c r="AE20" s="198">
        <v>11.993203673795346</v>
      </c>
      <c r="AF20" s="198">
        <v>8.9032666326274139</v>
      </c>
      <c r="AG20" s="198">
        <v>5.9975636661761316</v>
      </c>
      <c r="AH20" s="198">
        <v>3.5889866925486853</v>
      </c>
      <c r="AI20" s="198">
        <v>2.8107082540851787</v>
      </c>
      <c r="AJ20" s="198">
        <v>2.3151109798094827</v>
      </c>
      <c r="AK20" s="198">
        <v>1.6263735127133456</v>
      </c>
      <c r="AL20" s="198">
        <v>1.4186290217197834</v>
      </c>
      <c r="AM20" s="198">
        <v>1.3223218148969837</v>
      </c>
      <c r="AN20" s="198">
        <v>1.2216734606232036</v>
      </c>
      <c r="AO20" s="198">
        <v>1.1257630725191152</v>
      </c>
      <c r="AP20" s="198">
        <v>0.81036789253555919</v>
      </c>
      <c r="AQ20" s="198">
        <v>0.66797894447463335</v>
      </c>
      <c r="AR20" s="198">
        <v>0.57515809083705405</v>
      </c>
      <c r="AS20" s="198">
        <v>0.48260344996531124</v>
      </c>
      <c r="AT20" s="198">
        <v>0.39020425119655866</v>
      </c>
      <c r="AU20" s="198">
        <v>0.29806856874028825</v>
      </c>
      <c r="AV20" s="198">
        <v>0.2063014799599317</v>
      </c>
      <c r="AW20" s="198"/>
      <c r="AX20" s="198"/>
      <c r="AY20" s="198"/>
      <c r="AZ20" s="198"/>
      <c r="BA20" s="198"/>
      <c r="BB20" s="198"/>
      <c r="BC20" s="198"/>
      <c r="BD20" s="198"/>
      <c r="BE20" s="198"/>
      <c r="BF20" s="198"/>
    </row>
    <row r="21" spans="1:58" s="196" customFormat="1" ht="15" customHeight="1" x14ac:dyDescent="0.15">
      <c r="A21" s="195" t="s">
        <v>259</v>
      </c>
      <c r="B21" s="197" t="s">
        <v>52</v>
      </c>
      <c r="C21" s="196" t="s">
        <v>234</v>
      </c>
      <c r="D21" s="195" t="s">
        <v>7</v>
      </c>
      <c r="E21" s="195" t="s">
        <v>264</v>
      </c>
      <c r="F21" s="195" t="s">
        <v>265</v>
      </c>
      <c r="G21" s="195" t="s">
        <v>340</v>
      </c>
      <c r="T21" s="198">
        <v>65.55192075662201</v>
      </c>
      <c r="U21" s="198">
        <v>64.126929615108409</v>
      </c>
      <c r="V21" s="198">
        <v>61.194686670570498</v>
      </c>
      <c r="W21" s="198">
        <v>57.56608449954048</v>
      </c>
      <c r="X21" s="198">
        <v>52.909807415167947</v>
      </c>
      <c r="Y21" s="198">
        <v>47.433194113896569</v>
      </c>
      <c r="Z21" s="198">
        <v>41.23619242373551</v>
      </c>
      <c r="AA21" s="198">
        <v>34.750126303595167</v>
      </c>
      <c r="AB21" s="198">
        <v>28.522160496576497</v>
      </c>
      <c r="AC21" s="198">
        <v>21.819379090656394</v>
      </c>
      <c r="AD21" s="198">
        <v>16.74765205835509</v>
      </c>
      <c r="AE21" s="198">
        <v>11.76781612803722</v>
      </c>
      <c r="AF21" s="198">
        <v>8.6116212005932304</v>
      </c>
      <c r="AG21" s="198">
        <v>5.6693634249538061</v>
      </c>
      <c r="AH21" s="198">
        <v>3.2773247361970288</v>
      </c>
      <c r="AI21" s="198">
        <v>2.5758728033558747</v>
      </c>
      <c r="AJ21" s="198">
        <v>2.1515656268516423</v>
      </c>
      <c r="AK21" s="198">
        <v>1.5216463693721152</v>
      </c>
      <c r="AL21" s="198">
        <v>1.3288146723452183</v>
      </c>
      <c r="AM21" s="198">
        <v>1.2285170524672806</v>
      </c>
      <c r="AN21" s="198">
        <v>1.1351062846351865</v>
      </c>
      <c r="AO21" s="198">
        <v>1.0463684177124095</v>
      </c>
      <c r="AP21" s="198">
        <v>0.7815083479431737</v>
      </c>
      <c r="AQ21" s="198">
        <v>0.65146496616389005</v>
      </c>
      <c r="AR21" s="198">
        <v>0.56082154548143148</v>
      </c>
      <c r="AS21" s="198">
        <v>0.46996730059880437</v>
      </c>
      <c r="AT21" s="198">
        <v>0.37925921414842251</v>
      </c>
      <c r="AU21" s="198">
        <v>0.28886213796286525</v>
      </c>
      <c r="AV21" s="198">
        <v>0.1990326464173191</v>
      </c>
      <c r="AW21" s="198"/>
      <c r="AX21" s="198"/>
      <c r="AY21" s="198"/>
      <c r="AZ21" s="198"/>
      <c r="BA21" s="198"/>
      <c r="BB21" s="198"/>
      <c r="BC21" s="198"/>
      <c r="BD21" s="198"/>
      <c r="BE21" s="198"/>
      <c r="BF21" s="198"/>
    </row>
    <row r="22" spans="1:58" s="196" customFormat="1" ht="15" customHeight="1" x14ac:dyDescent="0.15">
      <c r="A22" s="195" t="s">
        <v>256</v>
      </c>
      <c r="B22" s="197" t="s">
        <v>52</v>
      </c>
      <c r="C22" s="196" t="s">
        <v>335</v>
      </c>
      <c r="D22" s="195" t="s">
        <v>258</v>
      </c>
      <c r="E22" s="195" t="s">
        <v>29</v>
      </c>
      <c r="F22" s="195" t="s">
        <v>260</v>
      </c>
      <c r="G22" s="195" t="s">
        <v>340</v>
      </c>
      <c r="T22" s="237">
        <v>4.9592852828858981E-2</v>
      </c>
      <c r="U22" s="237">
        <v>4.4222483747877107E-2</v>
      </c>
      <c r="V22" s="237">
        <f>Table2[[#This Row],[2022]]</f>
        <v>4.9592852828858981E-2</v>
      </c>
      <c r="W22" s="237">
        <v>0.15792263965115724</v>
      </c>
      <c r="X22" s="237">
        <v>0.26676056755430716</v>
      </c>
      <c r="Y22" s="237">
        <v>0.37797973596404172</v>
      </c>
      <c r="Z22" s="237">
        <v>0.48876689510358501</v>
      </c>
      <c r="AA22" s="237">
        <v>0.59999940338341273</v>
      </c>
      <c r="AB22" s="237">
        <v>0.68999916152653773</v>
      </c>
      <c r="AC22" s="237">
        <v>0.78000001083957382</v>
      </c>
      <c r="AD22" s="237">
        <v>0.83999984635367086</v>
      </c>
      <c r="AE22" s="237">
        <v>0.89999977730591385</v>
      </c>
      <c r="AF22" s="237">
        <v>0.9329998725447155</v>
      </c>
      <c r="AG22" s="237">
        <v>0.96700009552846222</v>
      </c>
      <c r="AH22" s="237">
        <v>0.99</v>
      </c>
      <c r="AI22" s="237">
        <v>1</v>
      </c>
      <c r="AJ22" s="237">
        <v>1</v>
      </c>
      <c r="AK22" s="237">
        <v>1</v>
      </c>
      <c r="AL22" s="237">
        <v>1</v>
      </c>
      <c r="AM22" s="237">
        <v>1</v>
      </c>
      <c r="AN22" s="237">
        <v>1</v>
      </c>
      <c r="AO22" s="237">
        <v>1</v>
      </c>
      <c r="AP22" s="237">
        <v>1</v>
      </c>
      <c r="AQ22" s="237">
        <v>1</v>
      </c>
      <c r="AR22" s="237">
        <v>1</v>
      </c>
      <c r="AS22" s="237">
        <v>1</v>
      </c>
      <c r="AT22" s="237">
        <v>1</v>
      </c>
      <c r="AU22" s="237">
        <v>1</v>
      </c>
      <c r="AV22" s="237">
        <v>1</v>
      </c>
      <c r="AW22" s="198"/>
      <c r="AX22" s="198"/>
      <c r="AY22" s="198"/>
      <c r="AZ22" s="198"/>
      <c r="BA22" s="198"/>
      <c r="BB22" s="198"/>
      <c r="BC22" s="198"/>
      <c r="BD22" s="198"/>
      <c r="BE22" s="198"/>
      <c r="BF22" s="198"/>
    </row>
    <row r="23" spans="1:58" s="196" customFormat="1" ht="15" customHeight="1" x14ac:dyDescent="0.15">
      <c r="A23" s="195" t="s">
        <v>256</v>
      </c>
      <c r="B23" s="197" t="s">
        <v>52</v>
      </c>
      <c r="C23" s="196" t="s">
        <v>443</v>
      </c>
      <c r="D23" s="195" t="s">
        <v>258</v>
      </c>
      <c r="E23" s="195" t="s">
        <v>29</v>
      </c>
      <c r="F23" s="195" t="s">
        <v>260</v>
      </c>
      <c r="G23" s="195" t="s">
        <v>340</v>
      </c>
      <c r="T23" s="237">
        <v>0.38911123060055752</v>
      </c>
      <c r="U23" s="237">
        <v>0.30445187391410133</v>
      </c>
      <c r="V23" s="237">
        <v>0.30399993025162614</v>
      </c>
      <c r="W23" s="237">
        <v>0.36399992930252062</v>
      </c>
      <c r="X23" s="237">
        <v>0.42299999748700434</v>
      </c>
      <c r="Y23" s="237">
        <v>0.4819999876982422</v>
      </c>
      <c r="Z23" s="237">
        <v>0.54099998496988788</v>
      </c>
      <c r="AA23" s="237">
        <v>0.59999996253734789</v>
      </c>
      <c r="AB23" s="237">
        <v>0.68999998479968261</v>
      </c>
      <c r="AC23" s="237">
        <v>0.78000004471105744</v>
      </c>
      <c r="AD23" s="237">
        <v>0.84000001389474754</v>
      </c>
      <c r="AE23" s="237">
        <v>0.8999999880944074</v>
      </c>
      <c r="AF23" s="237">
        <v>0.93300001944565714</v>
      </c>
      <c r="AG23" s="237">
        <v>0.96700001508170264</v>
      </c>
      <c r="AH23" s="237">
        <v>0.99</v>
      </c>
      <c r="AI23" s="237">
        <v>1</v>
      </c>
      <c r="AJ23" s="237">
        <v>1</v>
      </c>
      <c r="AK23" s="237">
        <v>1</v>
      </c>
      <c r="AL23" s="237">
        <v>1</v>
      </c>
      <c r="AM23" s="237">
        <v>1</v>
      </c>
      <c r="AN23" s="237">
        <v>1</v>
      </c>
      <c r="AO23" s="237">
        <v>1</v>
      </c>
      <c r="AP23" s="237">
        <v>1</v>
      </c>
      <c r="AQ23" s="237">
        <v>1</v>
      </c>
      <c r="AR23" s="237">
        <v>1</v>
      </c>
      <c r="AS23" s="237">
        <v>1</v>
      </c>
      <c r="AT23" s="237">
        <v>1</v>
      </c>
      <c r="AU23" s="237">
        <v>1</v>
      </c>
      <c r="AV23" s="237">
        <v>1</v>
      </c>
      <c r="AW23" s="198"/>
      <c r="AX23" s="198"/>
      <c r="AY23" s="198"/>
      <c r="AZ23" s="198"/>
      <c r="BA23" s="198"/>
      <c r="BB23" s="198"/>
      <c r="BC23" s="198"/>
      <c r="BD23" s="198"/>
      <c r="BE23" s="198"/>
      <c r="BF23" s="198"/>
    </row>
    <row r="24" spans="1:58" s="196" customFormat="1" ht="15" customHeight="1" x14ac:dyDescent="0.15">
      <c r="A24" s="195" t="s">
        <v>256</v>
      </c>
      <c r="B24" s="197" t="s">
        <v>52</v>
      </c>
      <c r="C24" s="196" t="s">
        <v>336</v>
      </c>
      <c r="D24" s="195" t="s">
        <v>258</v>
      </c>
      <c r="E24" s="195" t="s">
        <v>29</v>
      </c>
      <c r="F24" s="195" t="s">
        <v>260</v>
      </c>
      <c r="G24" s="195" t="s">
        <v>340</v>
      </c>
      <c r="T24" s="237">
        <v>4.0140775624774333E-2</v>
      </c>
      <c r="U24" s="237">
        <v>4.8934868304304643E-2</v>
      </c>
      <c r="V24" s="237">
        <v>5.6733638375325947E-2</v>
      </c>
      <c r="W24" s="237">
        <v>0.16501295970468416</v>
      </c>
      <c r="X24" s="237">
        <v>0.27601435384067635</v>
      </c>
      <c r="Y24" s="237">
        <v>0.38381684393478965</v>
      </c>
      <c r="Z24" s="237">
        <v>0.49200980850427223</v>
      </c>
      <c r="AA24" s="237">
        <v>0.60000002350958637</v>
      </c>
      <c r="AB24" s="237">
        <v>0.69000001475623851</v>
      </c>
      <c r="AC24" s="237">
        <v>0.7800000181599317</v>
      </c>
      <c r="AD24" s="237">
        <v>0.84000001107869093</v>
      </c>
      <c r="AE24" s="237">
        <v>0.89999996657267689</v>
      </c>
      <c r="AF24" s="237">
        <v>0.93300001278548861</v>
      </c>
      <c r="AG24" s="237">
        <v>0.96700001940386782</v>
      </c>
      <c r="AH24" s="237">
        <v>0.99</v>
      </c>
      <c r="AI24" s="237">
        <v>1</v>
      </c>
      <c r="AJ24" s="237">
        <v>1</v>
      </c>
      <c r="AK24" s="237">
        <v>1</v>
      </c>
      <c r="AL24" s="237">
        <v>1</v>
      </c>
      <c r="AM24" s="237">
        <v>1</v>
      </c>
      <c r="AN24" s="237">
        <v>1</v>
      </c>
      <c r="AO24" s="237">
        <v>1</v>
      </c>
      <c r="AP24" s="237">
        <v>1</v>
      </c>
      <c r="AQ24" s="237">
        <v>1</v>
      </c>
      <c r="AR24" s="237">
        <v>1</v>
      </c>
      <c r="AS24" s="237">
        <v>1</v>
      </c>
      <c r="AT24" s="237">
        <v>1</v>
      </c>
      <c r="AU24" s="237">
        <v>1</v>
      </c>
      <c r="AV24" s="237">
        <v>1</v>
      </c>
      <c r="AW24" s="198"/>
      <c r="AX24" s="198"/>
      <c r="AY24" s="198"/>
      <c r="AZ24" s="198"/>
      <c r="BA24" s="198"/>
      <c r="BB24" s="198"/>
      <c r="BC24" s="198"/>
      <c r="BD24" s="198"/>
      <c r="BE24" s="198"/>
      <c r="BF24" s="198"/>
    </row>
    <row r="25" spans="1:58" s="196" customFormat="1" ht="15" customHeight="1" x14ac:dyDescent="0.15">
      <c r="A25" s="195" t="s">
        <v>256</v>
      </c>
      <c r="B25" s="197" t="s">
        <v>52</v>
      </c>
      <c r="C25" s="196" t="s">
        <v>234</v>
      </c>
      <c r="D25" s="195" t="s">
        <v>258</v>
      </c>
      <c r="E25" s="195" t="s">
        <v>29</v>
      </c>
      <c r="F25" s="195" t="s">
        <v>260</v>
      </c>
      <c r="G25" s="195" t="s">
        <v>340</v>
      </c>
      <c r="T25" s="237">
        <v>0.23265248774043487</v>
      </c>
      <c r="U25" s="237">
        <v>0.18625347693853794</v>
      </c>
      <c r="V25" s="237">
        <v>0.11262943188903769</v>
      </c>
      <c r="W25" s="237">
        <v>0.20549274872698492</v>
      </c>
      <c r="X25" s="237">
        <v>0.30968580711297294</v>
      </c>
      <c r="Y25" s="237">
        <v>0.4074807095807701</v>
      </c>
      <c r="Z25" s="237">
        <v>0.50436718416593063</v>
      </c>
      <c r="AA25" s="237">
        <v>0.59999999664189851</v>
      </c>
      <c r="AB25" s="237">
        <v>0.68999999232919951</v>
      </c>
      <c r="AC25" s="237">
        <v>0.78000002578974048</v>
      </c>
      <c r="AD25" s="237">
        <v>0.84000000680145281</v>
      </c>
      <c r="AE25" s="237">
        <v>0.89999996692953288</v>
      </c>
      <c r="AF25" s="237">
        <v>0.93300001056811821</v>
      </c>
      <c r="AG25" s="237">
        <v>0.96700002038282817</v>
      </c>
      <c r="AH25" s="237">
        <v>0.99</v>
      </c>
      <c r="AI25" s="237">
        <v>1</v>
      </c>
      <c r="AJ25" s="237">
        <v>1</v>
      </c>
      <c r="AK25" s="237">
        <v>1</v>
      </c>
      <c r="AL25" s="237">
        <v>1</v>
      </c>
      <c r="AM25" s="237">
        <v>1</v>
      </c>
      <c r="AN25" s="237">
        <v>1</v>
      </c>
      <c r="AO25" s="237">
        <v>1</v>
      </c>
      <c r="AP25" s="237">
        <v>1</v>
      </c>
      <c r="AQ25" s="237">
        <v>1</v>
      </c>
      <c r="AR25" s="237">
        <v>1</v>
      </c>
      <c r="AS25" s="237">
        <v>1</v>
      </c>
      <c r="AT25" s="237">
        <v>1</v>
      </c>
      <c r="AU25" s="237">
        <v>1</v>
      </c>
      <c r="AV25" s="237">
        <v>1</v>
      </c>
      <c r="AW25" s="198"/>
      <c r="AX25" s="198"/>
      <c r="AY25" s="198"/>
      <c r="AZ25" s="198"/>
      <c r="BA25" s="198"/>
      <c r="BB25" s="198"/>
      <c r="BC25" s="198"/>
      <c r="BD25" s="198"/>
      <c r="BE25" s="198"/>
      <c r="BF25" s="198"/>
    </row>
    <row r="26" spans="1:58" s="196" customFormat="1" ht="15" customHeight="1" x14ac:dyDescent="0.15">
      <c r="A26" s="195" t="s">
        <v>259</v>
      </c>
      <c r="B26" s="197" t="s">
        <v>52</v>
      </c>
      <c r="C26" s="196" t="s">
        <v>335</v>
      </c>
      <c r="D26" s="195" t="s">
        <v>7</v>
      </c>
      <c r="E26" s="195" t="s">
        <v>264</v>
      </c>
      <c r="F26" s="195" t="s">
        <v>265</v>
      </c>
      <c r="G26" s="195" t="s">
        <v>377</v>
      </c>
      <c r="T26" s="198">
        <v>1152.5031145276409</v>
      </c>
      <c r="U26" s="198">
        <v>1156.2093177426866</v>
      </c>
      <c r="V26" s="198">
        <v>1142.0292911480879</v>
      </c>
      <c r="W26" s="198">
        <v>1121.9395303215379</v>
      </c>
      <c r="X26" s="198">
        <v>1106.4859894959429</v>
      </c>
      <c r="Y26" s="198">
        <v>995.42435057273519</v>
      </c>
      <c r="Z26" s="198">
        <v>923.43276814894057</v>
      </c>
      <c r="AA26" s="198">
        <v>804.98500161772279</v>
      </c>
      <c r="AB26" s="198">
        <v>691.1275201617126</v>
      </c>
      <c r="AC26" s="198">
        <v>486.72401880138955</v>
      </c>
      <c r="AD26" s="198">
        <v>344.90607148426506</v>
      </c>
      <c r="AE26" s="198">
        <v>216.2282448297984</v>
      </c>
      <c r="AF26" s="198">
        <v>127.70183386419916</v>
      </c>
      <c r="AG26" s="198">
        <v>47.629869197556914</v>
      </c>
      <c r="AH26" s="198">
        <v>43.43660464087796</v>
      </c>
      <c r="AI26" s="198">
        <v>38.862114515093204</v>
      </c>
      <c r="AJ26" s="198">
        <v>35.076050758592608</v>
      </c>
      <c r="AK26" s="198">
        <v>31.331534817487043</v>
      </c>
      <c r="AL26" s="198">
        <v>27.586323182044342</v>
      </c>
      <c r="AM26" s="198">
        <v>25.223724783922354</v>
      </c>
      <c r="AN26" s="198">
        <v>22.87172969175338</v>
      </c>
      <c r="AO26" s="198">
        <v>20.527721450550278</v>
      </c>
      <c r="AP26" s="198">
        <v>18.191299166860929</v>
      </c>
      <c r="AQ26" s="198">
        <v>15.859016113909389</v>
      </c>
      <c r="AR26" s="198">
        <v>13.530620374497994</v>
      </c>
      <c r="AS26" s="198">
        <v>11.208127982971215</v>
      </c>
      <c r="AT26" s="198">
        <v>8.8914354172879317</v>
      </c>
      <c r="AU26" s="198">
        <v>6.5787524064724714</v>
      </c>
      <c r="AV26" s="198">
        <v>4.275639900125638</v>
      </c>
      <c r="AW26" s="198"/>
      <c r="AX26" s="198"/>
      <c r="AY26" s="198"/>
      <c r="AZ26" s="198"/>
      <c r="BA26" s="198"/>
      <c r="BB26" s="198"/>
      <c r="BC26" s="198"/>
      <c r="BD26" s="198"/>
      <c r="BE26" s="198"/>
      <c r="BF26" s="198"/>
    </row>
    <row r="27" spans="1:58" s="196" customFormat="1" ht="15" customHeight="1" x14ac:dyDescent="0.15">
      <c r="A27" s="195" t="s">
        <v>259</v>
      </c>
      <c r="B27" s="197" t="s">
        <v>52</v>
      </c>
      <c r="C27" s="196" t="s">
        <v>443</v>
      </c>
      <c r="D27" s="195" t="s">
        <v>7</v>
      </c>
      <c r="E27" s="195" t="s">
        <v>264</v>
      </c>
      <c r="F27" s="195" t="s">
        <v>265</v>
      </c>
      <c r="G27" s="195" t="s">
        <v>377</v>
      </c>
      <c r="T27" s="198">
        <v>1253.2973192544168</v>
      </c>
      <c r="U27" s="198">
        <v>1240.5857531912325</v>
      </c>
      <c r="V27" s="198">
        <v>1200.0864929103464</v>
      </c>
      <c r="W27" s="198">
        <v>1122.2901412488991</v>
      </c>
      <c r="X27" s="198">
        <v>1024.4232328779426</v>
      </c>
      <c r="Y27" s="198">
        <v>904.29010645180642</v>
      </c>
      <c r="Z27" s="198">
        <v>815.94062260222836</v>
      </c>
      <c r="AA27" s="198">
        <v>712.83859378719171</v>
      </c>
      <c r="AB27" s="198">
        <v>606.05644593829481</v>
      </c>
      <c r="AC27" s="198">
        <v>445.47184890690528</v>
      </c>
      <c r="AD27" s="198">
        <v>330.91648314877</v>
      </c>
      <c r="AE27" s="198">
        <v>218.70476360401187</v>
      </c>
      <c r="AF27" s="198">
        <v>145.09875178385465</v>
      </c>
      <c r="AG27" s="198">
        <v>75.838937824466399</v>
      </c>
      <c r="AH27" s="198">
        <v>60.379415804795158</v>
      </c>
      <c r="AI27" s="198">
        <v>50.354055165720162</v>
      </c>
      <c r="AJ27" s="198">
        <v>45.107246376771684</v>
      </c>
      <c r="AK27" s="198">
        <v>35.083887312478851</v>
      </c>
      <c r="AL27" s="198">
        <v>30.517850424653091</v>
      </c>
      <c r="AM27" s="198">
        <v>27.86007486343723</v>
      </c>
      <c r="AN27" s="198">
        <v>25.219404856647657</v>
      </c>
      <c r="AO27" s="198">
        <v>22.590410581480342</v>
      </c>
      <c r="AP27" s="198">
        <v>19.971786348386157</v>
      </c>
      <c r="AQ27" s="198">
        <v>17.357714705433992</v>
      </c>
      <c r="AR27" s="198">
        <v>14.748531405960897</v>
      </c>
      <c r="AS27" s="198">
        <v>12.147372573852945</v>
      </c>
      <c r="AT27" s="198">
        <v>9.554016627309851</v>
      </c>
      <c r="AU27" s="198">
        <v>6.9666885943311367</v>
      </c>
      <c r="AV27" s="198">
        <v>4.3907289761792754</v>
      </c>
      <c r="AW27" s="198"/>
      <c r="AX27" s="198"/>
      <c r="AY27" s="198"/>
      <c r="AZ27" s="198"/>
      <c r="BA27" s="198"/>
      <c r="BB27" s="198"/>
      <c r="BC27" s="198"/>
      <c r="BD27" s="198"/>
      <c r="BE27" s="198"/>
      <c r="BF27" s="198"/>
    </row>
    <row r="28" spans="1:58" s="196" customFormat="1" ht="15" customHeight="1" x14ac:dyDescent="0.15">
      <c r="A28" s="195" t="s">
        <v>259</v>
      </c>
      <c r="B28" s="197" t="s">
        <v>52</v>
      </c>
      <c r="C28" s="196" t="s">
        <v>336</v>
      </c>
      <c r="D28" s="195" t="s">
        <v>7</v>
      </c>
      <c r="E28" s="195" t="s">
        <v>264</v>
      </c>
      <c r="F28" s="195" t="s">
        <v>265</v>
      </c>
      <c r="G28" s="195" t="s">
        <v>377</v>
      </c>
      <c r="T28" s="198">
        <v>972.97267101942998</v>
      </c>
      <c r="U28" s="198">
        <v>954.60211367440888</v>
      </c>
      <c r="V28" s="198">
        <v>953.01097016148378</v>
      </c>
      <c r="W28" s="198">
        <v>917.21396040333445</v>
      </c>
      <c r="X28" s="198">
        <v>846.34390619995304</v>
      </c>
      <c r="Y28" s="198">
        <v>754.93540459706526</v>
      </c>
      <c r="Z28" s="198">
        <v>683.53336708215966</v>
      </c>
      <c r="AA28" s="198">
        <v>593.80225587146469</v>
      </c>
      <c r="AB28" s="198">
        <v>511.23871385766199</v>
      </c>
      <c r="AC28" s="198">
        <v>451.85652145461131</v>
      </c>
      <c r="AD28" s="198">
        <v>402.88627166900085</v>
      </c>
      <c r="AE28" s="198">
        <v>356.55254939973111</v>
      </c>
      <c r="AF28" s="198">
        <v>307.57093501555141</v>
      </c>
      <c r="AG28" s="198">
        <v>261.98932349637812</v>
      </c>
      <c r="AH28" s="198">
        <v>203.75282573827107</v>
      </c>
      <c r="AI28" s="198">
        <v>146.66663787898744</v>
      </c>
      <c r="AJ28" s="198">
        <v>117.62182851199988</v>
      </c>
      <c r="AK28" s="198">
        <v>86.800357192704411</v>
      </c>
      <c r="AL28" s="198">
        <v>61.545167172170736</v>
      </c>
      <c r="AM28" s="198">
        <v>52.960926732085703</v>
      </c>
      <c r="AN28" s="198">
        <v>44.580053317742333</v>
      </c>
      <c r="AO28" s="198">
        <v>36.497410896697815</v>
      </c>
      <c r="AP28" s="198">
        <v>25.965514623277009</v>
      </c>
      <c r="AQ28" s="198">
        <v>16.782505829285704</v>
      </c>
      <c r="AR28" s="198">
        <v>14.415935048147601</v>
      </c>
      <c r="AS28" s="198">
        <v>12.0424360053272</v>
      </c>
      <c r="AT28" s="198">
        <v>9.6624948722645172</v>
      </c>
      <c r="AU28" s="198">
        <v>7.2744480587637614</v>
      </c>
      <c r="AV28" s="198">
        <v>4.8778250925732003</v>
      </c>
      <c r="AW28" s="198"/>
      <c r="AX28" s="198"/>
      <c r="AY28" s="198"/>
      <c r="AZ28" s="198"/>
      <c r="BA28" s="198"/>
      <c r="BB28" s="198"/>
      <c r="BC28" s="198"/>
      <c r="BD28" s="198"/>
      <c r="BE28" s="198"/>
      <c r="BF28" s="198"/>
    </row>
    <row r="29" spans="1:58" s="196" customFormat="1" ht="15" customHeight="1" x14ac:dyDescent="0.15">
      <c r="A29" s="195" t="s">
        <v>259</v>
      </c>
      <c r="B29" s="197" t="s">
        <v>52</v>
      </c>
      <c r="C29" s="196" t="s">
        <v>234</v>
      </c>
      <c r="D29" s="195" t="s">
        <v>7</v>
      </c>
      <c r="E29" s="195" t="s">
        <v>264</v>
      </c>
      <c r="F29" s="195" t="s">
        <v>265</v>
      </c>
      <c r="G29" s="195" t="s">
        <v>377</v>
      </c>
      <c r="T29" s="198">
        <v>1132.3336575800417</v>
      </c>
      <c r="U29" s="198">
        <v>1118.2209238813784</v>
      </c>
      <c r="V29" s="198">
        <v>1093.1977752477462</v>
      </c>
      <c r="W29" s="198">
        <v>1044.6497712453306</v>
      </c>
      <c r="X29" s="198">
        <v>998.79104931518111</v>
      </c>
      <c r="Y29" s="198">
        <v>892.04294993338783</v>
      </c>
      <c r="Z29" s="198">
        <v>814.95830733191792</v>
      </c>
      <c r="AA29" s="198">
        <v>709.2491301184067</v>
      </c>
      <c r="AB29" s="198">
        <v>608.05392991245026</v>
      </c>
      <c r="AC29" s="198">
        <v>467.50564015473009</v>
      </c>
      <c r="AD29" s="198">
        <v>363.63832209062474</v>
      </c>
      <c r="AE29" s="198">
        <v>266.39011513955359</v>
      </c>
      <c r="AF29" s="198">
        <v>193.38473862586983</v>
      </c>
      <c r="AG29" s="198">
        <v>126.01682827636974</v>
      </c>
      <c r="AH29" s="198">
        <v>102.29422647262155</v>
      </c>
      <c r="AI29" s="198">
        <v>77.976886102258078</v>
      </c>
      <c r="AJ29" s="198">
        <v>64.733619479056657</v>
      </c>
      <c r="AK29" s="198">
        <v>50.439687212786538</v>
      </c>
      <c r="AL29" s="198">
        <v>39.20886673233727</v>
      </c>
      <c r="AM29" s="198">
        <v>35.892873204010684</v>
      </c>
      <c r="AN29" s="198">
        <v>31.254410774066013</v>
      </c>
      <c r="AO29" s="198">
        <v>26.758251123755155</v>
      </c>
      <c r="AP29" s="198">
        <v>21.376477425601315</v>
      </c>
      <c r="AQ29" s="198">
        <v>16.487685909307267</v>
      </c>
      <c r="AR29" s="198">
        <v>14.12515390188778</v>
      </c>
      <c r="AS29" s="198">
        <v>11.740071858637544</v>
      </c>
      <c r="AT29" s="198">
        <v>9.3560192174390338</v>
      </c>
      <c r="AU29" s="198">
        <v>6.968918530080189</v>
      </c>
      <c r="AV29" s="198">
        <v>4.5811261306903885</v>
      </c>
      <c r="AW29" s="198"/>
      <c r="AX29" s="198"/>
      <c r="AY29" s="198"/>
      <c r="AZ29" s="198"/>
      <c r="BA29" s="198"/>
      <c r="BB29" s="198"/>
      <c r="BC29" s="198"/>
      <c r="BD29" s="198"/>
      <c r="BE29" s="198"/>
      <c r="BF29" s="198"/>
    </row>
    <row r="30" spans="1:58" s="196" customFormat="1" ht="15" customHeight="1" x14ac:dyDescent="0.15">
      <c r="A30" s="195" t="s">
        <v>256</v>
      </c>
      <c r="B30" s="197" t="s">
        <v>52</v>
      </c>
      <c r="C30" s="196" t="s">
        <v>335</v>
      </c>
      <c r="D30" s="195" t="s">
        <v>258</v>
      </c>
      <c r="E30" s="195" t="s">
        <v>29</v>
      </c>
      <c r="F30" s="195" t="s">
        <v>260</v>
      </c>
      <c r="G30" s="195" t="s">
        <v>377</v>
      </c>
      <c r="T30" s="237">
        <v>1.0669781931464175E-2</v>
      </c>
      <c r="U30" s="237">
        <v>1.9572360588599458E-2</v>
      </c>
      <c r="V30" s="237">
        <v>2.0571251304687826E-2</v>
      </c>
      <c r="W30" s="237">
        <v>0.12006814950134907</v>
      </c>
      <c r="X30" s="237">
        <v>0.18810850984764027</v>
      </c>
      <c r="Y30" s="237">
        <v>0.27990532083170949</v>
      </c>
      <c r="Z30" s="237">
        <v>0.32316824517974369</v>
      </c>
      <c r="AA30" s="237">
        <v>0.40812335057607063</v>
      </c>
      <c r="AB30" s="237">
        <v>0.49141705857861018</v>
      </c>
      <c r="AC30" s="237">
        <v>0.65788603604626805</v>
      </c>
      <c r="AD30" s="237">
        <v>0.76299079293316385</v>
      </c>
      <c r="AE30" s="237">
        <v>0.86984476622187179</v>
      </c>
      <c r="AF30" s="237">
        <v>0.9345581475905621</v>
      </c>
      <c r="AG30" s="237">
        <v>0.99999786591091466</v>
      </c>
      <c r="AH30" s="237">
        <v>0.99999798137210172</v>
      </c>
      <c r="AI30" s="237">
        <v>1</v>
      </c>
      <c r="AJ30" s="237">
        <v>1</v>
      </c>
      <c r="AK30" s="237">
        <v>1</v>
      </c>
      <c r="AL30" s="237">
        <v>1</v>
      </c>
      <c r="AM30" s="237">
        <v>1</v>
      </c>
      <c r="AN30" s="237">
        <v>1</v>
      </c>
      <c r="AO30" s="237">
        <v>1</v>
      </c>
      <c r="AP30" s="237">
        <v>1</v>
      </c>
      <c r="AQ30" s="237">
        <v>1</v>
      </c>
      <c r="AR30" s="237">
        <v>1</v>
      </c>
      <c r="AS30" s="237">
        <v>1</v>
      </c>
      <c r="AT30" s="237">
        <v>1</v>
      </c>
      <c r="AU30" s="237">
        <v>1</v>
      </c>
      <c r="AV30" s="237">
        <v>1</v>
      </c>
      <c r="AW30" s="198"/>
      <c r="AX30" s="198"/>
      <c r="AY30" s="198"/>
      <c r="AZ30" s="198"/>
      <c r="BA30" s="198"/>
      <c r="BB30" s="198"/>
      <c r="BC30" s="198"/>
      <c r="BD30" s="198"/>
      <c r="BE30" s="198"/>
      <c r="BF30" s="198"/>
    </row>
    <row r="31" spans="1:58" s="196" customFormat="1" ht="15" customHeight="1" x14ac:dyDescent="0.15">
      <c r="A31" s="195" t="s">
        <v>256</v>
      </c>
      <c r="B31" s="197" t="s">
        <v>52</v>
      </c>
      <c r="C31" s="196" t="s">
        <v>443</v>
      </c>
      <c r="D31" s="195" t="s">
        <v>258</v>
      </c>
      <c r="E31" s="195" t="s">
        <v>29</v>
      </c>
      <c r="F31" s="195" t="s">
        <v>260</v>
      </c>
      <c r="G31" s="195" t="s">
        <v>377</v>
      </c>
      <c r="T31" s="237">
        <v>0.25692018512935999</v>
      </c>
      <c r="U31" s="237">
        <v>0.19335241544482737</v>
      </c>
      <c r="V31" s="237">
        <v>0.19273387195281552</v>
      </c>
      <c r="W31" s="237">
        <v>0.29702043933212713</v>
      </c>
      <c r="X31" s="237">
        <v>0.39995376747872358</v>
      </c>
      <c r="Y31" s="237">
        <v>0.50328940889125262</v>
      </c>
      <c r="Z31" s="237">
        <v>0.53250896019675642</v>
      </c>
      <c r="AA31" s="237">
        <v>0.59094180489176273</v>
      </c>
      <c r="AB31" s="237">
        <v>0.64937759336099588</v>
      </c>
      <c r="AC31" s="237">
        <v>0.76625549172017571</v>
      </c>
      <c r="AD31" s="237">
        <v>0.83930149808489907</v>
      </c>
      <c r="AE31" s="237">
        <v>0.91234602130946241</v>
      </c>
      <c r="AF31" s="237">
        <v>0.9561698846838651</v>
      </c>
      <c r="AG31" s="237">
        <v>1</v>
      </c>
      <c r="AH31" s="237">
        <v>1</v>
      </c>
      <c r="AI31" s="237">
        <v>1</v>
      </c>
      <c r="AJ31" s="237">
        <v>1</v>
      </c>
      <c r="AK31" s="237">
        <v>1</v>
      </c>
      <c r="AL31" s="237">
        <v>1</v>
      </c>
      <c r="AM31" s="237">
        <v>1</v>
      </c>
      <c r="AN31" s="237">
        <v>1</v>
      </c>
      <c r="AO31" s="237">
        <v>1</v>
      </c>
      <c r="AP31" s="237">
        <v>1</v>
      </c>
      <c r="AQ31" s="237">
        <v>1</v>
      </c>
      <c r="AR31" s="237">
        <v>1</v>
      </c>
      <c r="AS31" s="237">
        <v>1</v>
      </c>
      <c r="AT31" s="237">
        <v>1</v>
      </c>
      <c r="AU31" s="237">
        <v>1</v>
      </c>
      <c r="AV31" s="237">
        <v>1</v>
      </c>
      <c r="AW31" s="198"/>
      <c r="AX31" s="198"/>
      <c r="AY31" s="198"/>
      <c r="AZ31" s="198"/>
      <c r="BA31" s="198"/>
      <c r="BB31" s="198"/>
      <c r="BC31" s="198"/>
      <c r="BD31" s="198"/>
      <c r="BE31" s="198"/>
      <c r="BF31" s="198"/>
    </row>
    <row r="32" spans="1:58" s="196" customFormat="1" ht="15" customHeight="1" x14ac:dyDescent="0.15">
      <c r="A32" s="195" t="s">
        <v>256</v>
      </c>
      <c r="B32" s="197" t="s">
        <v>52</v>
      </c>
      <c r="C32" s="196" t="s">
        <v>336</v>
      </c>
      <c r="D32" s="195" t="s">
        <v>258</v>
      </c>
      <c r="E32" s="195" t="s">
        <v>29</v>
      </c>
      <c r="F32" s="195" t="s">
        <v>260</v>
      </c>
      <c r="G32" s="195" t="s">
        <v>377</v>
      </c>
      <c r="T32" s="237">
        <v>2.4786878038056622E-2</v>
      </c>
      <c r="U32" s="237">
        <v>2.5845466692595777E-2</v>
      </c>
      <c r="V32" s="237">
        <v>3.0023447326331918E-2</v>
      </c>
      <c r="W32" s="237">
        <v>0.20075220867783117</v>
      </c>
      <c r="X32" s="237">
        <v>0.34409872689351573</v>
      </c>
      <c r="Y32" s="237">
        <v>0.46824588539000295</v>
      </c>
      <c r="Z32" s="237">
        <v>0.52863691615886355</v>
      </c>
      <c r="AA32" s="237">
        <v>0.59097287063642323</v>
      </c>
      <c r="AB32" s="237">
        <v>0.65032036665163306</v>
      </c>
      <c r="AC32" s="237">
        <v>0.66887964898578023</v>
      </c>
      <c r="AD32" s="237">
        <v>0.68646448014738548</v>
      </c>
      <c r="AE32" s="237">
        <v>0.70332030623153019</v>
      </c>
      <c r="AF32" s="237">
        <v>0.73494702344194451</v>
      </c>
      <c r="AG32" s="237">
        <v>0.7663339556704486</v>
      </c>
      <c r="AH32" s="237">
        <v>0.8275819808860676</v>
      </c>
      <c r="AI32" s="237">
        <v>0.88523292728602254</v>
      </c>
      <c r="AJ32" s="237">
        <v>0.91069284724818034</v>
      </c>
      <c r="AK32" s="237">
        <v>0.93583838524356755</v>
      </c>
      <c r="AL32" s="237">
        <v>0.96151850088569202</v>
      </c>
      <c r="AM32" s="237">
        <v>0.9692539920516906</v>
      </c>
      <c r="AN32" s="237">
        <v>0.97692120705622842</v>
      </c>
      <c r="AO32" s="237">
        <v>0.98460443600996317</v>
      </c>
      <c r="AP32" s="237">
        <v>0.99229997174122753</v>
      </c>
      <c r="AQ32" s="237">
        <v>1</v>
      </c>
      <c r="AR32" s="237">
        <v>1</v>
      </c>
      <c r="AS32" s="237">
        <v>1</v>
      </c>
      <c r="AT32" s="237">
        <v>1</v>
      </c>
      <c r="AU32" s="237">
        <v>1</v>
      </c>
      <c r="AV32" s="237">
        <v>1</v>
      </c>
      <c r="AW32" s="198"/>
      <c r="AX32" s="198"/>
      <c r="AY32" s="198"/>
      <c r="AZ32" s="198"/>
      <c r="BA32" s="198"/>
      <c r="BB32" s="198"/>
      <c r="BC32" s="198"/>
      <c r="BD32" s="198"/>
      <c r="BE32" s="198"/>
      <c r="BF32" s="198"/>
    </row>
    <row r="33" spans="1:58" s="196" customFormat="1" ht="15" customHeight="1" x14ac:dyDescent="0.15">
      <c r="A33" s="195" t="s">
        <v>256</v>
      </c>
      <c r="B33" s="197" t="s">
        <v>52</v>
      </c>
      <c r="C33" s="196" t="s">
        <v>234</v>
      </c>
      <c r="D33" s="195" t="s">
        <v>258</v>
      </c>
      <c r="E33" s="195" t="s">
        <v>29</v>
      </c>
      <c r="F33" s="195" t="s">
        <v>260</v>
      </c>
      <c r="G33" s="195" t="s">
        <v>377</v>
      </c>
      <c r="T33" s="237">
        <v>7.1470144819753376E-2</v>
      </c>
      <c r="U33" s="237">
        <v>6.4182228472381198E-2</v>
      </c>
      <c r="V33" s="237">
        <v>7.4503712359806754E-2</v>
      </c>
      <c r="W33" s="237">
        <v>0.20370900717698751</v>
      </c>
      <c r="X33" s="237">
        <v>0.29793943060229122</v>
      </c>
      <c r="Y33" s="237">
        <v>0.40449072744519571</v>
      </c>
      <c r="Z33" s="237">
        <v>0.45134159506871985</v>
      </c>
      <c r="AA33" s="237">
        <v>0.52091116232751278</v>
      </c>
      <c r="AB33" s="237">
        <v>0.58850540821215724</v>
      </c>
      <c r="AC33" s="237">
        <v>0.68227360667486936</v>
      </c>
      <c r="AD33" s="237">
        <v>0.74574932004315253</v>
      </c>
      <c r="AE33" s="237">
        <v>0.81067787224339549</v>
      </c>
      <c r="AF33" s="237">
        <v>0.8595006502200192</v>
      </c>
      <c r="AG33" s="237">
        <v>0.90890461962252467</v>
      </c>
      <c r="AH33" s="237">
        <v>0.93094433880286065</v>
      </c>
      <c r="AI33" s="237">
        <v>0.95457581653497103</v>
      </c>
      <c r="AJ33" s="237">
        <v>0.96517178722685415</v>
      </c>
      <c r="AK33" s="237">
        <v>0.97535677492498829</v>
      </c>
      <c r="AL33" s="237">
        <v>0.98538929976281209</v>
      </c>
      <c r="AM33" s="237">
        <v>0.9871736565062208</v>
      </c>
      <c r="AN33" s="237">
        <v>0.99037130972147369</v>
      </c>
      <c r="AO33" s="237">
        <v>0.99356363104432321</v>
      </c>
      <c r="AP33" s="237">
        <v>0.9967719981666322</v>
      </c>
      <c r="AQ33" s="237">
        <v>1</v>
      </c>
      <c r="AR33" s="237">
        <v>1</v>
      </c>
      <c r="AS33" s="237">
        <v>1</v>
      </c>
      <c r="AT33" s="237">
        <v>1</v>
      </c>
      <c r="AU33" s="237">
        <v>1</v>
      </c>
      <c r="AV33" s="237">
        <v>1</v>
      </c>
      <c r="AW33" s="198"/>
      <c r="AX33" s="198"/>
      <c r="AY33" s="198"/>
      <c r="AZ33" s="198"/>
      <c r="BA33" s="198"/>
      <c r="BB33" s="198"/>
      <c r="BC33" s="198"/>
      <c r="BD33" s="198"/>
      <c r="BE33" s="198"/>
      <c r="BF33" s="198"/>
    </row>
    <row r="34" spans="1:58" s="196" customFormat="1" ht="15" customHeight="1" x14ac:dyDescent="0.15">
      <c r="A34" s="195" t="s">
        <v>259</v>
      </c>
      <c r="B34" s="197" t="s">
        <v>52</v>
      </c>
      <c r="C34" s="196" t="s">
        <v>335</v>
      </c>
      <c r="D34" s="195" t="s">
        <v>7</v>
      </c>
      <c r="E34" s="195" t="s">
        <v>264</v>
      </c>
      <c r="F34" s="195" t="s">
        <v>265</v>
      </c>
      <c r="G34" s="195" t="s">
        <v>338</v>
      </c>
      <c r="T34" s="198">
        <v>856.3614401559181</v>
      </c>
      <c r="U34" s="198">
        <v>845.93230102581765</v>
      </c>
      <c r="V34" s="198">
        <v>831.8923060811436</v>
      </c>
      <c r="W34" s="198">
        <v>792.72985781061925</v>
      </c>
      <c r="X34" s="198">
        <v>749.41765500224176</v>
      </c>
      <c r="Y34" s="198">
        <v>678.86266770493171</v>
      </c>
      <c r="Z34" s="198">
        <v>611.89778016252603</v>
      </c>
      <c r="AA34" s="198">
        <v>516.57479935496724</v>
      </c>
      <c r="AB34" s="198">
        <v>427.23380684821785</v>
      </c>
      <c r="AC34" s="198">
        <v>286.09744643003296</v>
      </c>
      <c r="AD34" s="198">
        <v>196.24007503543669</v>
      </c>
      <c r="AE34" s="198">
        <v>118.45912036113249</v>
      </c>
      <c r="AF34" s="198">
        <v>70.17269004505485</v>
      </c>
      <c r="AG34" s="198">
        <v>28.304498173944889</v>
      </c>
      <c r="AH34" s="198">
        <v>25.835968374924917</v>
      </c>
      <c r="AI34" s="198">
        <v>23.429914818989559</v>
      </c>
      <c r="AJ34" s="198">
        <v>21.158204437645889</v>
      </c>
      <c r="AK34" s="198">
        <v>18.895575043234853</v>
      </c>
      <c r="AL34" s="198">
        <v>16.653910210098147</v>
      </c>
      <c r="AM34" s="198">
        <v>15.226402982381478</v>
      </c>
      <c r="AN34" s="198">
        <v>13.811723514222448</v>
      </c>
      <c r="AO34" s="198">
        <v>12.404955664209112</v>
      </c>
      <c r="AP34" s="198">
        <v>11.004905149673789</v>
      </c>
      <c r="AQ34" s="198">
        <v>9.6061687578408872</v>
      </c>
      <c r="AR34" s="198">
        <v>8.2092435480697858</v>
      </c>
      <c r="AS34" s="198">
        <v>6.8170789292060725</v>
      </c>
      <c r="AT34" s="198">
        <v>5.429498852395982</v>
      </c>
      <c r="AU34" s="198">
        <v>4.0450790386211759</v>
      </c>
      <c r="AV34" s="198">
        <v>2.6682080334660725</v>
      </c>
      <c r="AW34" s="198"/>
      <c r="AX34" s="198"/>
      <c r="AY34" s="198"/>
      <c r="AZ34" s="198"/>
      <c r="BA34" s="198"/>
      <c r="BB34" s="198"/>
      <c r="BC34" s="198"/>
      <c r="BD34" s="198"/>
      <c r="BE34" s="198"/>
      <c r="BF34" s="198"/>
    </row>
    <row r="35" spans="1:58" s="196" customFormat="1" ht="15" customHeight="1" x14ac:dyDescent="0.15">
      <c r="A35" s="195" t="s">
        <v>259</v>
      </c>
      <c r="B35" s="197" t="s">
        <v>52</v>
      </c>
      <c r="C35" s="196" t="s">
        <v>443</v>
      </c>
      <c r="D35" s="195" t="s">
        <v>7</v>
      </c>
      <c r="E35" s="195" t="s">
        <v>264</v>
      </c>
      <c r="F35" s="195" t="s">
        <v>265</v>
      </c>
      <c r="G35" s="195" t="s">
        <v>338</v>
      </c>
      <c r="T35" s="198">
        <v>588.16087684532704</v>
      </c>
      <c r="U35" s="198">
        <v>582.61865051185544</v>
      </c>
      <c r="V35" s="198">
        <v>577.01267545136272</v>
      </c>
      <c r="W35" s="198">
        <v>541.25348445654583</v>
      </c>
      <c r="X35" s="198">
        <v>501.24515085497239</v>
      </c>
      <c r="Y35" s="198">
        <v>461.01249410339744</v>
      </c>
      <c r="Z35" s="198">
        <v>418.74418894666456</v>
      </c>
      <c r="AA35" s="198">
        <v>363.38417077333719</v>
      </c>
      <c r="AB35" s="198">
        <v>306.62505916729725</v>
      </c>
      <c r="AC35" s="198">
        <v>220.54029862502551</v>
      </c>
      <c r="AD35" s="198">
        <v>161.07216793294506</v>
      </c>
      <c r="AE35" s="198">
        <v>104.54631596956423</v>
      </c>
      <c r="AF35" s="198">
        <v>68.75260769980332</v>
      </c>
      <c r="AG35" s="198">
        <v>36.620312116424898</v>
      </c>
      <c r="AH35" s="198">
        <v>30.293995893612426</v>
      </c>
      <c r="AI35" s="198">
        <v>26.011085804889582</v>
      </c>
      <c r="AJ35" s="198">
        <v>23.456655366973095</v>
      </c>
      <c r="AK35" s="198">
        <v>19.456208606155759</v>
      </c>
      <c r="AL35" s="198">
        <v>17.090141208912151</v>
      </c>
      <c r="AM35" s="198">
        <v>15.618848911253133</v>
      </c>
      <c r="AN35" s="198">
        <v>14.161338249454486</v>
      </c>
      <c r="AO35" s="198">
        <v>12.712280791411615</v>
      </c>
      <c r="AP35" s="198">
        <v>11.270349870016386</v>
      </c>
      <c r="AQ35" s="198">
        <v>9.8297940012451193</v>
      </c>
      <c r="AR35" s="198">
        <v>8.3911961142119083</v>
      </c>
      <c r="AS35" s="198">
        <v>6.9576703933771133</v>
      </c>
      <c r="AT35" s="198">
        <v>5.5290234975426342</v>
      </c>
      <c r="AU35" s="198">
        <v>4.1038325822458326</v>
      </c>
      <c r="AV35" s="198">
        <v>2.6864565320363587</v>
      </c>
      <c r="AW35" s="198"/>
      <c r="AX35" s="198"/>
      <c r="AY35" s="198"/>
      <c r="AZ35" s="198"/>
      <c r="BA35" s="198"/>
      <c r="BB35" s="198"/>
      <c r="BC35" s="198"/>
      <c r="BD35" s="198"/>
      <c r="BE35" s="198"/>
      <c r="BF35" s="198"/>
    </row>
    <row r="36" spans="1:58" s="196" customFormat="1" ht="15" customHeight="1" x14ac:dyDescent="0.15">
      <c r="A36" s="195" t="s">
        <v>259</v>
      </c>
      <c r="B36" s="197" t="s">
        <v>52</v>
      </c>
      <c r="C36" s="196" t="s">
        <v>336</v>
      </c>
      <c r="D36" s="195" t="s">
        <v>7</v>
      </c>
      <c r="E36" s="195" t="s">
        <v>264</v>
      </c>
      <c r="F36" s="195" t="s">
        <v>265</v>
      </c>
      <c r="G36" s="195" t="s">
        <v>338</v>
      </c>
      <c r="T36" s="198">
        <v>691.060445763178</v>
      </c>
      <c r="U36" s="198">
        <v>688.32687157102396</v>
      </c>
      <c r="V36" s="198">
        <v>695.45176153404816</v>
      </c>
      <c r="W36" s="198">
        <v>656.14169340321746</v>
      </c>
      <c r="X36" s="198">
        <v>611.47717958586247</v>
      </c>
      <c r="Y36" s="198">
        <v>569.29906290638576</v>
      </c>
      <c r="Z36" s="198">
        <v>527.86015870981737</v>
      </c>
      <c r="AA36" s="198">
        <v>478.02436355872067</v>
      </c>
      <c r="AB36" s="198">
        <v>431.01427188367057</v>
      </c>
      <c r="AC36" s="198">
        <v>378.36687629959607</v>
      </c>
      <c r="AD36" s="198">
        <v>335.736096703344</v>
      </c>
      <c r="AE36" s="198">
        <v>296.00616545713677</v>
      </c>
      <c r="AF36" s="198">
        <v>251.34875753293159</v>
      </c>
      <c r="AG36" s="198">
        <v>210.66176306299047</v>
      </c>
      <c r="AH36" s="198">
        <v>158.28919703931533</v>
      </c>
      <c r="AI36" s="198">
        <v>109.18324450352401</v>
      </c>
      <c r="AJ36" s="198">
        <v>85.103233801904736</v>
      </c>
      <c r="AK36" s="198">
        <v>62.243551306029374</v>
      </c>
      <c r="AL36" s="198">
        <v>42.211546462120609</v>
      </c>
      <c r="AM36" s="198">
        <v>35.400173871709228</v>
      </c>
      <c r="AN36" s="198">
        <v>28.629580931476731</v>
      </c>
      <c r="AO36" s="198">
        <v>22.47248828597747</v>
      </c>
      <c r="AP36" s="198">
        <v>16.131230597419172</v>
      </c>
      <c r="AQ36" s="198">
        <v>10.458192915228926</v>
      </c>
      <c r="AR36" s="198">
        <v>8.9692593869147874</v>
      </c>
      <c r="AS36" s="198">
        <v>7.4821263632599928</v>
      </c>
      <c r="AT36" s="198">
        <v>5.9958809959232831</v>
      </c>
      <c r="AU36" s="198">
        <v>4.5113324934803263</v>
      </c>
      <c r="AV36" s="198">
        <v>3.0293459231212592</v>
      </c>
      <c r="AW36" s="198"/>
      <c r="AX36" s="198"/>
      <c r="AY36" s="198"/>
      <c r="AZ36" s="198"/>
      <c r="BA36" s="198"/>
      <c r="BB36" s="198"/>
      <c r="BC36" s="198"/>
      <c r="BD36" s="198"/>
      <c r="BE36" s="198"/>
      <c r="BF36" s="198"/>
    </row>
    <row r="37" spans="1:58" s="196" customFormat="1" ht="15" customHeight="1" x14ac:dyDescent="0.15">
      <c r="A37" s="195" t="s">
        <v>259</v>
      </c>
      <c r="B37" s="197" t="s">
        <v>52</v>
      </c>
      <c r="C37" s="196" t="s">
        <v>234</v>
      </c>
      <c r="D37" s="195" t="s">
        <v>7</v>
      </c>
      <c r="E37" s="195" t="s">
        <v>264</v>
      </c>
      <c r="F37" s="195" t="s">
        <v>265</v>
      </c>
      <c r="G37" s="195" t="s">
        <v>338</v>
      </c>
      <c r="T37" s="198">
        <v>728.98235251574749</v>
      </c>
      <c r="U37" s="198">
        <v>722.8299717490313</v>
      </c>
      <c r="V37" s="198">
        <v>709.60454661543918</v>
      </c>
      <c r="W37" s="198">
        <v>680.36307333241734</v>
      </c>
      <c r="X37" s="198">
        <v>635.61020614283825</v>
      </c>
      <c r="Y37" s="198">
        <v>583.99131545453952</v>
      </c>
      <c r="Z37" s="198">
        <v>532.84196460374892</v>
      </c>
      <c r="AA37" s="198">
        <v>463.97168244573311</v>
      </c>
      <c r="AB37" s="198">
        <v>398.13085445292393</v>
      </c>
      <c r="AC37" s="198">
        <v>310.71627680564279</v>
      </c>
      <c r="AD37" s="198">
        <v>248.18613343205467</v>
      </c>
      <c r="AE37" s="198">
        <v>192.24518342093853</v>
      </c>
      <c r="AF37" s="198">
        <v>148.40298260821504</v>
      </c>
      <c r="AG37" s="198">
        <v>108.23286953866345</v>
      </c>
      <c r="AH37" s="198">
        <v>82.779013181104247</v>
      </c>
      <c r="AI37" s="198">
        <v>59.960510937408607</v>
      </c>
      <c r="AJ37" s="198">
        <v>48.446130964931683</v>
      </c>
      <c r="AK37" s="198">
        <v>37.264591016005198</v>
      </c>
      <c r="AL37" s="198">
        <v>27.583461294356987</v>
      </c>
      <c r="AM37" s="198">
        <v>23.988769372933696</v>
      </c>
      <c r="AN37" s="198">
        <v>20.268892192160166</v>
      </c>
      <c r="AO37" s="198">
        <v>16.820360817499029</v>
      </c>
      <c r="AP37" s="198">
        <v>13.284923392197355</v>
      </c>
      <c r="AQ37" s="198">
        <v>10.048513708446679</v>
      </c>
      <c r="AR37" s="198">
        <v>8.5977416164411284</v>
      </c>
      <c r="AS37" s="198">
        <v>7.1517241587177081</v>
      </c>
      <c r="AT37" s="198">
        <v>5.7090753967861989</v>
      </c>
      <c r="AU37" s="198">
        <v>4.2692843440337223</v>
      </c>
      <c r="AV37" s="198">
        <v>2.83462241028462</v>
      </c>
      <c r="AW37" s="198"/>
      <c r="AX37" s="198"/>
      <c r="AY37" s="198"/>
      <c r="AZ37" s="198"/>
      <c r="BA37" s="198"/>
      <c r="BB37" s="198"/>
      <c r="BC37" s="198"/>
      <c r="BD37" s="198"/>
      <c r="BE37" s="198"/>
      <c r="BF37" s="198"/>
    </row>
    <row r="38" spans="1:58" s="196" customFormat="1" ht="15" customHeight="1" x14ac:dyDescent="0.15">
      <c r="A38" s="195" t="s">
        <v>256</v>
      </c>
      <c r="B38" s="197" t="s">
        <v>52</v>
      </c>
      <c r="C38" s="196" t="s">
        <v>335</v>
      </c>
      <c r="D38" s="195" t="s">
        <v>258</v>
      </c>
      <c r="E38" s="195" t="s">
        <v>29</v>
      </c>
      <c r="F38" s="195" t="s">
        <v>260</v>
      </c>
      <c r="G38" s="195" t="s">
        <v>338</v>
      </c>
      <c r="T38" s="237">
        <v>8.5973403665735408E-3</v>
      </c>
      <c r="U38" s="237">
        <v>1.8900073181171727E-2</v>
      </c>
      <c r="V38" s="237">
        <v>2.5951183763206643E-2</v>
      </c>
      <c r="W38" s="237">
        <v>6.2071004446444471E-2</v>
      </c>
      <c r="X38" s="237">
        <v>9.9999748930443694E-2</v>
      </c>
      <c r="Y38" s="237">
        <v>0.14999987846880417</v>
      </c>
      <c r="Z38" s="237">
        <v>0.1999983310723337</v>
      </c>
      <c r="AA38" s="237">
        <v>0.29999964470594087</v>
      </c>
      <c r="AB38" s="237">
        <v>0.39999880626234774</v>
      </c>
      <c r="AC38" s="237">
        <v>0.59999702914777386</v>
      </c>
      <c r="AD38" s="237">
        <v>0.724997836302266</v>
      </c>
      <c r="AE38" s="237">
        <v>0.849996061838179</v>
      </c>
      <c r="AF38" s="237">
        <v>0.92499761163230609</v>
      </c>
      <c r="AG38" s="237">
        <v>0.99999755139319602</v>
      </c>
      <c r="AH38" s="237">
        <v>0.99999766124816836</v>
      </c>
      <c r="AI38" s="237">
        <v>0.99999886734195742</v>
      </c>
      <c r="AJ38" s="237">
        <v>0.9999988829736135</v>
      </c>
      <c r="AK38" s="237">
        <v>0.99999888847639007</v>
      </c>
      <c r="AL38" s="237">
        <v>1</v>
      </c>
      <c r="AM38" s="237">
        <v>1</v>
      </c>
      <c r="AN38" s="237">
        <v>1</v>
      </c>
      <c r="AO38" s="237">
        <v>1</v>
      </c>
      <c r="AP38" s="237">
        <v>1</v>
      </c>
      <c r="AQ38" s="237">
        <v>1</v>
      </c>
      <c r="AR38" s="237">
        <v>1</v>
      </c>
      <c r="AS38" s="237">
        <v>1</v>
      </c>
      <c r="AT38" s="237">
        <v>1</v>
      </c>
      <c r="AU38" s="237">
        <v>1</v>
      </c>
      <c r="AV38" s="237">
        <v>1</v>
      </c>
      <c r="AW38" s="198"/>
      <c r="AX38" s="198"/>
      <c r="AY38" s="198"/>
      <c r="AZ38" s="198"/>
      <c r="BA38" s="198"/>
      <c r="BB38" s="198"/>
      <c r="BC38" s="198"/>
      <c r="BD38" s="198"/>
      <c r="BE38" s="198"/>
      <c r="BF38" s="198"/>
    </row>
    <row r="39" spans="1:58" s="196" customFormat="1" ht="15" customHeight="1" x14ac:dyDescent="0.15">
      <c r="A39" s="195" t="s">
        <v>256</v>
      </c>
      <c r="B39" s="197" t="s">
        <v>52</v>
      </c>
      <c r="C39" s="196" t="s">
        <v>443</v>
      </c>
      <c r="D39" s="195" t="s">
        <v>258</v>
      </c>
      <c r="E39" s="195" t="s">
        <v>29</v>
      </c>
      <c r="F39" s="195" t="s">
        <v>260</v>
      </c>
      <c r="G39" s="195" t="s">
        <v>338</v>
      </c>
      <c r="T39" s="237">
        <v>2.1630980698312631E-2</v>
      </c>
      <c r="U39" s="237">
        <v>1.0076571307029672E-2</v>
      </c>
      <c r="V39" s="237">
        <v>1.001018941900466E-2</v>
      </c>
      <c r="W39" s="237">
        <v>5.5000063269798054E-2</v>
      </c>
      <c r="X39" s="237">
        <v>0.10000006877725728</v>
      </c>
      <c r="Y39" s="237">
        <v>0.14999965857022868</v>
      </c>
      <c r="Z39" s="237">
        <v>0.1999997278683863</v>
      </c>
      <c r="AA39" s="237">
        <v>0.29999979651235748</v>
      </c>
      <c r="AB39" s="237">
        <v>0.4</v>
      </c>
      <c r="AC39" s="237">
        <v>0.60000035093999282</v>
      </c>
      <c r="AD39" s="237">
        <v>0.72500028689389251</v>
      </c>
      <c r="AE39" s="237">
        <v>0.85000039865237764</v>
      </c>
      <c r="AF39" s="237">
        <v>0.92499966605963735</v>
      </c>
      <c r="AG39" s="237">
        <v>1</v>
      </c>
      <c r="AH39" s="237">
        <v>1</v>
      </c>
      <c r="AI39" s="237">
        <v>1</v>
      </c>
      <c r="AJ39" s="237">
        <v>1</v>
      </c>
      <c r="AK39" s="237">
        <v>1</v>
      </c>
      <c r="AL39" s="237">
        <v>1</v>
      </c>
      <c r="AM39" s="237">
        <v>1</v>
      </c>
      <c r="AN39" s="237">
        <v>1</v>
      </c>
      <c r="AO39" s="237">
        <v>1</v>
      </c>
      <c r="AP39" s="237">
        <v>1</v>
      </c>
      <c r="AQ39" s="237">
        <v>1</v>
      </c>
      <c r="AR39" s="237">
        <v>1</v>
      </c>
      <c r="AS39" s="237">
        <v>1</v>
      </c>
      <c r="AT39" s="237">
        <v>1</v>
      </c>
      <c r="AU39" s="237">
        <v>1</v>
      </c>
      <c r="AV39" s="237">
        <v>1</v>
      </c>
      <c r="AW39" s="198"/>
      <c r="AX39" s="198"/>
      <c r="AY39" s="198"/>
      <c r="AZ39" s="198"/>
      <c r="BA39" s="198"/>
      <c r="BB39" s="198"/>
      <c r="BC39" s="198"/>
      <c r="BD39" s="198"/>
      <c r="BE39" s="198"/>
      <c r="BF39" s="198"/>
    </row>
    <row r="40" spans="1:58" s="196" customFormat="1" ht="15" customHeight="1" x14ac:dyDescent="0.15">
      <c r="A40" s="195" t="s">
        <v>256</v>
      </c>
      <c r="B40" s="197" t="s">
        <v>52</v>
      </c>
      <c r="C40" s="196" t="s">
        <v>336</v>
      </c>
      <c r="D40" s="195" t="s">
        <v>258</v>
      </c>
      <c r="E40" s="195" t="s">
        <v>29</v>
      </c>
      <c r="F40" s="195" t="s">
        <v>260</v>
      </c>
      <c r="G40" s="195" t="s">
        <v>338</v>
      </c>
      <c r="T40" s="237">
        <v>1.4766311285035012E-3</v>
      </c>
      <c r="U40" s="237">
        <v>1.5245855164375938E-3</v>
      </c>
      <c r="V40" s="237">
        <v>1.7817455090782942E-3</v>
      </c>
      <c r="W40" s="237">
        <v>2.3750546259500828E-2</v>
      </c>
      <c r="X40" s="237">
        <v>4.481192778615288E-2</v>
      </c>
      <c r="Y40" s="237">
        <v>6.6612791092571746E-2</v>
      </c>
      <c r="Z40" s="237">
        <v>8.824185727901912E-2</v>
      </c>
      <c r="AA40" s="237">
        <v>0.12751115107398348</v>
      </c>
      <c r="AB40" s="237">
        <v>0.16660354494855104</v>
      </c>
      <c r="AC40" s="237">
        <v>0.21084612197328625</v>
      </c>
      <c r="AD40" s="237">
        <v>0.25026238538349072</v>
      </c>
      <c r="AE40" s="237">
        <v>0.28841321923173557</v>
      </c>
      <c r="AF40" s="237">
        <v>0.36250786489487857</v>
      </c>
      <c r="AG40" s="237">
        <v>0.43664903291799056</v>
      </c>
      <c r="AH40" s="237">
        <v>0.5768925372132816</v>
      </c>
      <c r="AI40" s="237">
        <v>0.71760106288799741</v>
      </c>
      <c r="AJ40" s="237">
        <v>0.78043835993990551</v>
      </c>
      <c r="AK40" s="237">
        <v>0.84250210069381015</v>
      </c>
      <c r="AL40" s="237">
        <v>0.90563355031340964</v>
      </c>
      <c r="AM40" s="237">
        <v>0.9241418178712254</v>
      </c>
      <c r="AN40" s="237">
        <v>0.94305678061549225</v>
      </c>
      <c r="AO40" s="237">
        <v>0.96202339151643246</v>
      </c>
      <c r="AP40" s="237">
        <v>0.98100329752641013</v>
      </c>
      <c r="AQ40" s="237">
        <v>1</v>
      </c>
      <c r="AR40" s="237">
        <v>1</v>
      </c>
      <c r="AS40" s="237">
        <v>1</v>
      </c>
      <c r="AT40" s="237">
        <v>1</v>
      </c>
      <c r="AU40" s="237">
        <v>1</v>
      </c>
      <c r="AV40" s="237">
        <v>1</v>
      </c>
      <c r="AW40" s="198"/>
      <c r="AX40" s="198"/>
      <c r="AY40" s="198"/>
      <c r="AZ40" s="198"/>
      <c r="BA40" s="198"/>
      <c r="BB40" s="198"/>
      <c r="BC40" s="198"/>
      <c r="BD40" s="198"/>
      <c r="BE40" s="198"/>
      <c r="BF40" s="198"/>
    </row>
    <row r="41" spans="1:58" s="196" customFormat="1" ht="15" customHeight="1" x14ac:dyDescent="0.15">
      <c r="A41" s="195" t="s">
        <v>256</v>
      </c>
      <c r="B41" s="197" t="s">
        <v>52</v>
      </c>
      <c r="C41" s="196" t="s">
        <v>234</v>
      </c>
      <c r="D41" s="195" t="s">
        <v>258</v>
      </c>
      <c r="E41" s="195" t="s">
        <v>29</v>
      </c>
      <c r="F41" s="195" t="s">
        <v>260</v>
      </c>
      <c r="G41" s="195" t="s">
        <v>338</v>
      </c>
      <c r="T41" s="237">
        <v>1.1399685045376497E-2</v>
      </c>
      <c r="U41" s="237">
        <v>9.4510477793068055E-3</v>
      </c>
      <c r="V41" s="237">
        <v>1.1160621996212493E-2</v>
      </c>
      <c r="W41" s="237">
        <v>4.6837466863949788E-2</v>
      </c>
      <c r="X41" s="237">
        <v>8.2016126689074334E-2</v>
      </c>
      <c r="Y41" s="237">
        <v>0.12251068117434596</v>
      </c>
      <c r="Z41" s="237">
        <v>0.16270770651601404</v>
      </c>
      <c r="AA41" s="237">
        <v>0.24160711193474829</v>
      </c>
      <c r="AB41" s="237">
        <v>0.31958771640572259</v>
      </c>
      <c r="AC41" s="237">
        <v>0.44503446556209192</v>
      </c>
      <c r="AD41" s="237">
        <v>0.53120128317833404</v>
      </c>
      <c r="AE41" s="237">
        <v>0.61663876312162669</v>
      </c>
      <c r="AF41" s="237">
        <v>0.68896244568156662</v>
      </c>
      <c r="AG41" s="237">
        <v>0.76329878247604743</v>
      </c>
      <c r="AH41" s="237">
        <v>0.82269383059005208</v>
      </c>
      <c r="AI41" s="237">
        <v>0.88183654124746114</v>
      </c>
      <c r="AJ41" s="237">
        <v>0.90804408438331519</v>
      </c>
      <c r="AK41" s="237">
        <v>0.93391567208648063</v>
      </c>
      <c r="AL41" s="237">
        <v>0.96035282349731743</v>
      </c>
      <c r="AM41" s="237">
        <v>0.96712010505894985</v>
      </c>
      <c r="AN41" s="237">
        <v>0.97544618582805509</v>
      </c>
      <c r="AO41" s="237">
        <v>0.98368993203510369</v>
      </c>
      <c r="AP41" s="237">
        <v>0.99188065905915557</v>
      </c>
      <c r="AQ41" s="237">
        <v>1</v>
      </c>
      <c r="AR41" s="237">
        <v>1</v>
      </c>
      <c r="AS41" s="237">
        <v>1</v>
      </c>
      <c r="AT41" s="237">
        <v>1</v>
      </c>
      <c r="AU41" s="237">
        <v>1</v>
      </c>
      <c r="AV41" s="237">
        <v>1</v>
      </c>
      <c r="AW41" s="198"/>
      <c r="AX41" s="198"/>
      <c r="AY41" s="198"/>
      <c r="AZ41" s="198"/>
      <c r="BA41" s="198"/>
      <c r="BB41" s="198"/>
      <c r="BC41" s="198"/>
      <c r="BD41" s="198"/>
      <c r="BE41" s="198"/>
      <c r="BF41" s="198"/>
    </row>
    <row r="42" spans="1:58" s="196" customFormat="1" ht="15" customHeight="1" x14ac:dyDescent="0.15">
      <c r="A42" s="195" t="s">
        <v>259</v>
      </c>
      <c r="B42" s="197" t="s">
        <v>52</v>
      </c>
      <c r="C42" s="196" t="s">
        <v>335</v>
      </c>
      <c r="D42" s="195" t="s">
        <v>7</v>
      </c>
      <c r="E42" s="195" t="s">
        <v>264</v>
      </c>
      <c r="F42" s="195" t="s">
        <v>265</v>
      </c>
      <c r="G42" s="195" t="s">
        <v>339</v>
      </c>
      <c r="T42" s="198">
        <v>976.66144678035494</v>
      </c>
      <c r="U42" s="198">
        <v>969.24929429736176</v>
      </c>
      <c r="V42" s="198">
        <v>958.85024542716337</v>
      </c>
      <c r="W42" s="198">
        <v>882.51554947297302</v>
      </c>
      <c r="X42" s="198">
        <v>808.51542374440282</v>
      </c>
      <c r="Y42" s="198">
        <v>731.58244793243978</v>
      </c>
      <c r="Z42" s="198">
        <v>659.24478228833846</v>
      </c>
      <c r="AA42" s="198">
        <v>557.05082224684668</v>
      </c>
      <c r="AB42" s="198">
        <v>461.59613387820298</v>
      </c>
      <c r="AC42" s="198">
        <v>310.74446749993399</v>
      </c>
      <c r="AD42" s="198">
        <v>214.21531601979459</v>
      </c>
      <c r="AE42" s="198">
        <v>130.1023656818526</v>
      </c>
      <c r="AF42" s="198">
        <v>77.454847538082589</v>
      </c>
      <c r="AG42" s="198">
        <v>31.901767414835774</v>
      </c>
      <c r="AH42" s="198">
        <v>29.109542031067253</v>
      </c>
      <c r="AI42" s="198">
        <v>26.409060812437868</v>
      </c>
      <c r="AJ42" s="198">
        <v>23.866569801474782</v>
      </c>
      <c r="AK42" s="198">
        <v>21.323234999563688</v>
      </c>
      <c r="AL42" s="198">
        <v>18.813614403663117</v>
      </c>
      <c r="AM42" s="198">
        <v>17.193569988022936</v>
      </c>
      <c r="AN42" s="198">
        <v>15.595590145893858</v>
      </c>
      <c r="AO42" s="198">
        <v>14.012499313045378</v>
      </c>
      <c r="AP42" s="198">
        <v>12.441504961195854</v>
      </c>
      <c r="AQ42" s="198">
        <v>10.872673434684051</v>
      </c>
      <c r="AR42" s="198">
        <v>9.3069770729229422</v>
      </c>
      <c r="AS42" s="198">
        <v>7.749857697412244</v>
      </c>
      <c r="AT42" s="198">
        <v>6.200989731594519</v>
      </c>
      <c r="AU42" s="198">
        <v>4.6578088670857829</v>
      </c>
      <c r="AV42" s="198">
        <v>3.1282131338264292</v>
      </c>
      <c r="AW42" s="198"/>
      <c r="AX42" s="198"/>
      <c r="AY42" s="198"/>
      <c r="AZ42" s="198"/>
      <c r="BA42" s="198"/>
      <c r="BB42" s="198"/>
      <c r="BC42" s="198"/>
      <c r="BD42" s="198"/>
      <c r="BE42" s="198"/>
      <c r="BF42" s="198"/>
    </row>
    <row r="43" spans="1:58" s="196" customFormat="1" ht="15" customHeight="1" x14ac:dyDescent="0.15">
      <c r="A43" s="195" t="s">
        <v>259</v>
      </c>
      <c r="B43" s="197" t="s">
        <v>52</v>
      </c>
      <c r="C43" s="196" t="s">
        <v>443</v>
      </c>
      <c r="D43" s="195" t="s">
        <v>7</v>
      </c>
      <c r="E43" s="195" t="s">
        <v>264</v>
      </c>
      <c r="F43" s="195" t="s">
        <v>265</v>
      </c>
      <c r="G43" s="195" t="s">
        <v>339</v>
      </c>
      <c r="T43" s="198">
        <v>942.37319539118187</v>
      </c>
      <c r="U43" s="198">
        <v>935.2679651653981</v>
      </c>
      <c r="V43" s="198">
        <v>925.98119690256476</v>
      </c>
      <c r="W43" s="198">
        <v>870.09045682986016</v>
      </c>
      <c r="X43" s="198">
        <v>814.00751370543185</v>
      </c>
      <c r="Y43" s="198">
        <v>742.49073412942346</v>
      </c>
      <c r="Z43" s="198">
        <v>670.97919046144898</v>
      </c>
      <c r="AA43" s="198">
        <v>574.46680092362203</v>
      </c>
      <c r="AB43" s="198">
        <v>479.73384368586323</v>
      </c>
      <c r="AC43" s="198">
        <v>333.42223580506459</v>
      </c>
      <c r="AD43" s="198">
        <v>236.90484712429623</v>
      </c>
      <c r="AE43" s="198">
        <v>146.49979902748558</v>
      </c>
      <c r="AF43" s="198">
        <v>90.94693098696078</v>
      </c>
      <c r="AG43" s="198">
        <v>41.091693094730985</v>
      </c>
      <c r="AH43" s="198">
        <v>34.175101038968499</v>
      </c>
      <c r="AI43" s="198">
        <v>29.42497927033547</v>
      </c>
      <c r="AJ43" s="198">
        <v>26.520806667947962</v>
      </c>
      <c r="AK43" s="198">
        <v>22.078601221985206</v>
      </c>
      <c r="AL43" s="198">
        <v>19.398043566157753</v>
      </c>
      <c r="AM43" s="198">
        <v>17.719097312928117</v>
      </c>
      <c r="AN43" s="198">
        <v>16.064202736335702</v>
      </c>
      <c r="AO43" s="198">
        <v>14.424220463631809</v>
      </c>
      <c r="AP43" s="198">
        <v>12.796897453447663</v>
      </c>
      <c r="AQ43" s="198">
        <v>11.17181977682168</v>
      </c>
      <c r="AR43" s="198">
        <v>9.5500770745987715</v>
      </c>
      <c r="AS43" s="198">
        <v>7.93733474271259</v>
      </c>
      <c r="AT43" s="198">
        <v>6.3332436393969855</v>
      </c>
      <c r="AU43" s="198">
        <v>4.7352425100057252</v>
      </c>
      <c r="AV43" s="198">
        <v>3.1511853820931206</v>
      </c>
      <c r="AW43" s="198"/>
      <c r="AX43" s="198"/>
      <c r="AY43" s="198"/>
      <c r="AZ43" s="198"/>
      <c r="BA43" s="198"/>
      <c r="BB43" s="198"/>
      <c r="BC43" s="198"/>
      <c r="BD43" s="198"/>
      <c r="BE43" s="198"/>
      <c r="BF43" s="198"/>
    </row>
    <row r="44" spans="1:58" s="196" customFormat="1" ht="15" customHeight="1" x14ac:dyDescent="0.15">
      <c r="A44" s="195" t="s">
        <v>259</v>
      </c>
      <c r="B44" s="197" t="s">
        <v>52</v>
      </c>
      <c r="C44" s="196" t="s">
        <v>336</v>
      </c>
      <c r="D44" s="195" t="s">
        <v>7</v>
      </c>
      <c r="E44" s="195" t="s">
        <v>264</v>
      </c>
      <c r="F44" s="195" t="s">
        <v>265</v>
      </c>
      <c r="G44" s="195" t="s">
        <v>339</v>
      </c>
      <c r="T44" s="198">
        <v>976.80743644103813</v>
      </c>
      <c r="U44" s="198">
        <v>972.46765388964729</v>
      </c>
      <c r="V44" s="198">
        <v>959.84638368773903</v>
      </c>
      <c r="W44" s="198">
        <v>911.02927969410018</v>
      </c>
      <c r="X44" s="198">
        <v>866.3631915968167</v>
      </c>
      <c r="Y44" s="198">
        <v>821.67939965797177</v>
      </c>
      <c r="Z44" s="198">
        <v>778.67485267548682</v>
      </c>
      <c r="AA44" s="198">
        <v>734.97160939893729</v>
      </c>
      <c r="AB44" s="198">
        <v>693.52913213893623</v>
      </c>
      <c r="AC44" s="198">
        <v>636.77345390217442</v>
      </c>
      <c r="AD44" s="198">
        <v>585.90833601310908</v>
      </c>
      <c r="AE44" s="198">
        <v>537.71837143258199</v>
      </c>
      <c r="AF44" s="198">
        <v>494.93946169503397</v>
      </c>
      <c r="AG44" s="198">
        <v>435.17552499301928</v>
      </c>
      <c r="AH44" s="198">
        <v>383.54155349611312</v>
      </c>
      <c r="AI44" s="198">
        <v>334.90657031115279</v>
      </c>
      <c r="AJ44" s="198">
        <v>290.25015610616498</v>
      </c>
      <c r="AK44" s="198">
        <v>248.55940323716877</v>
      </c>
      <c r="AL44" s="198">
        <v>210.26745264914166</v>
      </c>
      <c r="AM44" s="198">
        <v>137.78866407451505</v>
      </c>
      <c r="AN44" s="198">
        <v>69.995828641112851</v>
      </c>
      <c r="AO44" s="198">
        <v>49.543099739255126</v>
      </c>
      <c r="AP44" s="198">
        <v>29.964815162961163</v>
      </c>
      <c r="AQ44" s="198">
        <v>12.4069467000669</v>
      </c>
      <c r="AR44" s="198">
        <v>10.671240817470713</v>
      </c>
      <c r="AS44" s="198">
        <v>8.9394771183180683</v>
      </c>
      <c r="AT44" s="198">
        <v>7.2098885014360263</v>
      </c>
      <c r="AU44" s="198">
        <v>5.4841361047766473</v>
      </c>
      <c r="AV44" s="198">
        <v>3.7638956649348358</v>
      </c>
      <c r="AW44" s="198"/>
      <c r="AX44" s="198"/>
      <c r="AY44" s="198"/>
      <c r="AZ44" s="198"/>
      <c r="BA44" s="198"/>
      <c r="BB44" s="198"/>
      <c r="BC44" s="198"/>
      <c r="BD44" s="198"/>
      <c r="BE44" s="198"/>
      <c r="BF44" s="198"/>
    </row>
    <row r="45" spans="1:58" s="196" customFormat="1" ht="15" customHeight="1" x14ac:dyDescent="0.15">
      <c r="A45" s="195" t="s">
        <v>259</v>
      </c>
      <c r="B45" s="197" t="s">
        <v>52</v>
      </c>
      <c r="C45" s="196" t="s">
        <v>234</v>
      </c>
      <c r="D45" s="195" t="s">
        <v>7</v>
      </c>
      <c r="E45" s="195" t="s">
        <v>264</v>
      </c>
      <c r="F45" s="195" t="s">
        <v>265</v>
      </c>
      <c r="G45" s="195" t="s">
        <v>339</v>
      </c>
      <c r="T45" s="198">
        <v>975.40372932674848</v>
      </c>
      <c r="U45" s="198">
        <v>968.62399205138183</v>
      </c>
      <c r="V45" s="198">
        <v>953.77795414451248</v>
      </c>
      <c r="W45" s="198">
        <v>890.84603621974202</v>
      </c>
      <c r="X45" s="198">
        <v>828.60104950448033</v>
      </c>
      <c r="Y45" s="198">
        <v>761.71486838214935</v>
      </c>
      <c r="Z45" s="198">
        <v>698.05643438420441</v>
      </c>
      <c r="AA45" s="198">
        <v>614.2110227726406</v>
      </c>
      <c r="AB45" s="198">
        <v>535.68853685737827</v>
      </c>
      <c r="AC45" s="198">
        <v>423.81209861665246</v>
      </c>
      <c r="AD45" s="198">
        <v>344.19099566756978</v>
      </c>
      <c r="AE45" s="198">
        <v>272.01989923063582</v>
      </c>
      <c r="AF45" s="198">
        <v>221.50645335663648</v>
      </c>
      <c r="AG45" s="198">
        <v>168.76250973240494</v>
      </c>
      <c r="AH45" s="198">
        <v>146.87648170348359</v>
      </c>
      <c r="AI45" s="198">
        <v>127.26889940482923</v>
      </c>
      <c r="AJ45" s="198">
        <v>110.39202820811491</v>
      </c>
      <c r="AK45" s="198">
        <v>94.875701749813743</v>
      </c>
      <c r="AL45" s="198">
        <v>81.130263409350562</v>
      </c>
      <c r="AM45" s="198">
        <v>58.162911440483896</v>
      </c>
      <c r="AN45" s="198">
        <v>34.323692610558396</v>
      </c>
      <c r="AO45" s="198">
        <v>26.363176724806365</v>
      </c>
      <c r="AP45" s="198">
        <v>18.620634456582465</v>
      </c>
      <c r="AQ45" s="198">
        <v>11.540940805292109</v>
      </c>
      <c r="AR45" s="198">
        <v>9.8938217193206874</v>
      </c>
      <c r="AS45" s="198">
        <v>8.2537208740874455</v>
      </c>
      <c r="AT45" s="198">
        <v>6.6195367608549445</v>
      </c>
      <c r="AU45" s="198">
        <v>4.9902993878909259</v>
      </c>
      <c r="AV45" s="198">
        <v>3.3713456736161413</v>
      </c>
      <c r="AW45" s="198"/>
      <c r="AX45" s="198"/>
      <c r="AY45" s="198"/>
      <c r="AZ45" s="198"/>
      <c r="BA45" s="198"/>
      <c r="BB45" s="198"/>
      <c r="BC45" s="198"/>
      <c r="BD45" s="198"/>
      <c r="BE45" s="198"/>
      <c r="BF45" s="198"/>
    </row>
    <row r="46" spans="1:58" s="196" customFormat="1" ht="15" customHeight="1" x14ac:dyDescent="0.15">
      <c r="A46" s="195" t="s">
        <v>256</v>
      </c>
      <c r="B46" s="197" t="s">
        <v>52</v>
      </c>
      <c r="C46" s="196" t="s">
        <v>335</v>
      </c>
      <c r="D46" s="195" t="s">
        <v>258</v>
      </c>
      <c r="E46" s="195" t="s">
        <v>29</v>
      </c>
      <c r="F46" s="195" t="s">
        <v>260</v>
      </c>
      <c r="G46" s="195" t="s">
        <v>339</v>
      </c>
      <c r="T46" s="237">
        <v>1.5386867121267279E-3</v>
      </c>
      <c r="U46" s="237">
        <v>5.6275074719297777E-3</v>
      </c>
      <c r="V46" s="237">
        <v>6.043189340503196E-3</v>
      </c>
      <c r="W46" s="237">
        <v>5.3179383049375931E-2</v>
      </c>
      <c r="X46" s="237">
        <v>9.9999621170507355E-2</v>
      </c>
      <c r="Y46" s="237">
        <v>0.14999787163556477</v>
      </c>
      <c r="Z46" s="237">
        <v>0.19999926880140098</v>
      </c>
      <c r="AA46" s="237">
        <v>0.29999671799958427</v>
      </c>
      <c r="AB46" s="237">
        <v>0.39999669865305049</v>
      </c>
      <c r="AC46" s="237">
        <v>0.59999797871587812</v>
      </c>
      <c r="AD46" s="237">
        <v>0.72499658402383638</v>
      </c>
      <c r="AE46" s="237">
        <v>0.84999643130257463</v>
      </c>
      <c r="AF46" s="237">
        <v>0.92499636764597593</v>
      </c>
      <c r="AG46" s="237">
        <v>0.99999617564497734</v>
      </c>
      <c r="AH46" s="237">
        <v>0.99999636085738186</v>
      </c>
      <c r="AI46" s="237">
        <v>0.99999651940259016</v>
      </c>
      <c r="AJ46" s="237">
        <v>0.99999662350949037</v>
      </c>
      <c r="AK46" s="237">
        <v>0.99999667844710749</v>
      </c>
      <c r="AL46" s="237">
        <v>0.99999834786387043</v>
      </c>
      <c r="AM46" s="237">
        <v>0.99999829503993021</v>
      </c>
      <c r="AN46" s="237">
        <v>1</v>
      </c>
      <c r="AO46" s="237">
        <v>1</v>
      </c>
      <c r="AP46" s="237">
        <v>1</v>
      </c>
      <c r="AQ46" s="237">
        <v>1</v>
      </c>
      <c r="AR46" s="237">
        <v>1</v>
      </c>
      <c r="AS46" s="237">
        <v>1</v>
      </c>
      <c r="AT46" s="237">
        <v>1</v>
      </c>
      <c r="AU46" s="237">
        <v>1</v>
      </c>
      <c r="AV46" s="237">
        <v>1</v>
      </c>
      <c r="AW46" s="198"/>
      <c r="AX46" s="198"/>
      <c r="AY46" s="198"/>
      <c r="AZ46" s="198"/>
      <c r="BA46" s="198"/>
      <c r="BB46" s="198"/>
      <c r="BC46" s="198"/>
      <c r="BD46" s="198"/>
      <c r="BE46" s="198"/>
      <c r="BF46" s="198"/>
    </row>
    <row r="47" spans="1:58" s="196" customFormat="1" ht="15" customHeight="1" x14ac:dyDescent="0.15">
      <c r="A47" s="195" t="s">
        <v>256</v>
      </c>
      <c r="B47" s="197" t="s">
        <v>52</v>
      </c>
      <c r="C47" s="196" t="s">
        <v>443</v>
      </c>
      <c r="D47" s="195" t="s">
        <v>258</v>
      </c>
      <c r="E47" s="195" t="s">
        <v>29</v>
      </c>
      <c r="F47" s="195" t="s">
        <v>260</v>
      </c>
      <c r="G47" s="195" t="s">
        <v>339</v>
      </c>
      <c r="T47" s="237">
        <v>4.4774273345701922E-2</v>
      </c>
      <c r="U47" s="237">
        <v>5.1160553130075261E-2</v>
      </c>
      <c r="V47" s="237">
        <v>4.6231130078505697E-2</v>
      </c>
      <c r="W47" s="237">
        <v>7.3219741960051862E-2</v>
      </c>
      <c r="X47" s="237">
        <v>0.10000026938639167</v>
      </c>
      <c r="Y47" s="237">
        <v>0.15000064468713331</v>
      </c>
      <c r="Z47" s="237">
        <v>0.2</v>
      </c>
      <c r="AA47" s="237">
        <v>0.30000000000000004</v>
      </c>
      <c r="AB47" s="237">
        <v>0.40000022638724442</v>
      </c>
      <c r="AC47" s="237">
        <v>0.59999954661582711</v>
      </c>
      <c r="AD47" s="237">
        <v>0.72499999999999998</v>
      </c>
      <c r="AE47" s="237">
        <v>0.84999978943201393</v>
      </c>
      <c r="AF47" s="237">
        <v>0.92500043410802035</v>
      </c>
      <c r="AG47" s="237">
        <v>1</v>
      </c>
      <c r="AH47" s="237">
        <v>1</v>
      </c>
      <c r="AI47" s="237">
        <v>1</v>
      </c>
      <c r="AJ47" s="237">
        <v>1</v>
      </c>
      <c r="AK47" s="237">
        <v>1</v>
      </c>
      <c r="AL47" s="237">
        <v>1</v>
      </c>
      <c r="AM47" s="237">
        <v>1</v>
      </c>
      <c r="AN47" s="237">
        <v>1</v>
      </c>
      <c r="AO47" s="237">
        <v>1</v>
      </c>
      <c r="AP47" s="237">
        <v>1</v>
      </c>
      <c r="AQ47" s="237">
        <v>1</v>
      </c>
      <c r="AR47" s="237">
        <v>1</v>
      </c>
      <c r="AS47" s="237">
        <v>1</v>
      </c>
      <c r="AT47" s="237">
        <v>1</v>
      </c>
      <c r="AU47" s="237">
        <v>1</v>
      </c>
      <c r="AV47" s="237">
        <v>1</v>
      </c>
      <c r="AW47" s="198"/>
      <c r="AX47" s="198"/>
      <c r="AY47" s="198"/>
      <c r="AZ47" s="198"/>
      <c r="BA47" s="198"/>
      <c r="BB47" s="198"/>
      <c r="BC47" s="198"/>
      <c r="BD47" s="198"/>
      <c r="BE47" s="198"/>
      <c r="BF47" s="198"/>
    </row>
    <row r="48" spans="1:58" s="196" customFormat="1" ht="15" customHeight="1" x14ac:dyDescent="0.15">
      <c r="A48" s="195" t="s">
        <v>256</v>
      </c>
      <c r="B48" s="197" t="s">
        <v>52</v>
      </c>
      <c r="C48" s="196" t="s">
        <v>336</v>
      </c>
      <c r="D48" s="195" t="s">
        <v>258</v>
      </c>
      <c r="E48" s="195" t="s">
        <v>29</v>
      </c>
      <c r="F48" s="195" t="s">
        <v>260</v>
      </c>
      <c r="G48" s="195" t="s">
        <v>339</v>
      </c>
      <c r="T48" s="237">
        <v>2.2592168989424042E-4</v>
      </c>
      <c r="U48" s="237">
        <v>8.365932427569253E-4</v>
      </c>
      <c r="V48" s="237">
        <v>6.6399265653262619E-4</v>
      </c>
      <c r="W48" s="237">
        <v>4.7798718816342038E-3</v>
      </c>
      <c r="X48" s="237">
        <v>7.0212669478075538E-3</v>
      </c>
      <c r="Y48" s="237">
        <v>9.8658530408798056E-3</v>
      </c>
      <c r="Z48" s="237">
        <v>1.2142617622129693E-2</v>
      </c>
      <c r="AA48" s="237">
        <v>1.801663776355078E-2</v>
      </c>
      <c r="AB48" s="237">
        <v>2.3698068121475714E-2</v>
      </c>
      <c r="AC48" s="237">
        <v>6.4146736154642781E-2</v>
      </c>
      <c r="AD48" s="237">
        <v>9.5896761539661673E-2</v>
      </c>
      <c r="AE48" s="237">
        <v>0.12685696710847008</v>
      </c>
      <c r="AF48" s="237">
        <v>0.15417532445413359</v>
      </c>
      <c r="AG48" s="237">
        <v>0.22061881463360392</v>
      </c>
      <c r="AH48" s="237">
        <v>0.28137483571330113</v>
      </c>
      <c r="AI48" s="237">
        <v>0.34331737923822547</v>
      </c>
      <c r="AJ48" s="237">
        <v>0.40544725322697855</v>
      </c>
      <c r="AK48" s="237">
        <v>0.46691366769281062</v>
      </c>
      <c r="AL48" s="237">
        <v>0.52947970822467572</v>
      </c>
      <c r="AM48" s="237">
        <v>0.69222241522003469</v>
      </c>
      <c r="AN48" s="237">
        <v>0.85778069169813742</v>
      </c>
      <c r="AO48" s="237">
        <v>0.9051379836960346</v>
      </c>
      <c r="AP48" s="237">
        <v>0.95254710482253147</v>
      </c>
      <c r="AQ48" s="237">
        <v>1</v>
      </c>
      <c r="AR48" s="237">
        <v>1</v>
      </c>
      <c r="AS48" s="237">
        <v>1</v>
      </c>
      <c r="AT48" s="237">
        <v>1</v>
      </c>
      <c r="AU48" s="237">
        <v>1</v>
      </c>
      <c r="AV48" s="237">
        <v>1</v>
      </c>
      <c r="AW48" s="198"/>
      <c r="AX48" s="198"/>
      <c r="AY48" s="198"/>
      <c r="AZ48" s="198"/>
      <c r="BA48" s="198"/>
      <c r="BB48" s="198"/>
      <c r="BC48" s="198"/>
      <c r="BD48" s="198"/>
      <c r="BE48" s="198"/>
      <c r="BF48" s="198"/>
    </row>
    <row r="49" spans="1:58" s="196" customFormat="1" ht="15" customHeight="1" x14ac:dyDescent="0.15">
      <c r="A49" s="195" t="s">
        <v>256</v>
      </c>
      <c r="B49" s="197" t="s">
        <v>52</v>
      </c>
      <c r="C49" s="196" t="s">
        <v>234</v>
      </c>
      <c r="D49" s="195" t="s">
        <v>258</v>
      </c>
      <c r="E49" s="195" t="s">
        <v>29</v>
      </c>
      <c r="F49" s="195" t="s">
        <v>260</v>
      </c>
      <c r="G49" s="195" t="s">
        <v>339</v>
      </c>
      <c r="T49" s="237">
        <v>1.6633388268392404E-2</v>
      </c>
      <c r="U49" s="237">
        <v>2.1036808417921667E-2</v>
      </c>
      <c r="V49" s="237">
        <v>2.5903737558500589E-2</v>
      </c>
      <c r="W49" s="237">
        <v>4.878093365826449E-2</v>
      </c>
      <c r="X49" s="237">
        <v>7.1860547457175863E-2</v>
      </c>
      <c r="Y49" s="237">
        <v>0.10751125777877565</v>
      </c>
      <c r="Z49" s="237">
        <v>0.14285472637019936</v>
      </c>
      <c r="AA49" s="237">
        <v>0.21385716135071348</v>
      </c>
      <c r="AB49" s="237">
        <v>0.2844938406714575</v>
      </c>
      <c r="AC49" s="237">
        <v>0.42715342888713309</v>
      </c>
      <c r="AD49" s="237">
        <v>0.52151184138939999</v>
      </c>
      <c r="AE49" s="237">
        <v>0.61592367724936048</v>
      </c>
      <c r="AF49" s="237">
        <v>0.67655726216093559</v>
      </c>
      <c r="AG49" s="237">
        <v>0.75048970267193871</v>
      </c>
      <c r="AH49" s="237">
        <v>0.77180870081495645</v>
      </c>
      <c r="AI49" s="237">
        <v>0.79264535864523422</v>
      </c>
      <c r="AJ49" s="237">
        <v>0.81244778682713648</v>
      </c>
      <c r="AK49" s="237">
        <v>0.83118838969835496</v>
      </c>
      <c r="AL49" s="237">
        <v>0.84997294879336971</v>
      </c>
      <c r="AM49" s="237">
        <v>0.89598168442671233</v>
      </c>
      <c r="AN49" s="237">
        <v>0.95153065600768549</v>
      </c>
      <c r="AO49" s="237">
        <v>0.96741344972891552</v>
      </c>
      <c r="AP49" s="237">
        <v>0.98359945770881974</v>
      </c>
      <c r="AQ49" s="237">
        <v>1</v>
      </c>
      <c r="AR49" s="237">
        <v>1</v>
      </c>
      <c r="AS49" s="237">
        <v>1</v>
      </c>
      <c r="AT49" s="237">
        <v>1</v>
      </c>
      <c r="AU49" s="237">
        <v>1</v>
      </c>
      <c r="AV49" s="237">
        <v>1</v>
      </c>
      <c r="AW49" s="198"/>
      <c r="AX49" s="198"/>
      <c r="AY49" s="198"/>
      <c r="AZ49" s="198"/>
      <c r="BA49" s="198"/>
      <c r="BB49" s="198"/>
      <c r="BC49" s="198"/>
      <c r="BD49" s="198"/>
      <c r="BE49" s="198"/>
      <c r="BF49" s="198"/>
    </row>
    <row r="50" spans="1:58" s="196" customFormat="1" ht="15" customHeight="1" x14ac:dyDescent="0.15">
      <c r="A50" s="195" t="s">
        <v>363</v>
      </c>
      <c r="B50" s="197" t="s">
        <v>52</v>
      </c>
      <c r="C50" s="196" t="s">
        <v>335</v>
      </c>
      <c r="D50" s="195" t="s">
        <v>346</v>
      </c>
      <c r="E50" s="195" t="s">
        <v>264</v>
      </c>
      <c r="F50" s="199" t="s">
        <v>347</v>
      </c>
      <c r="G50" s="195" t="s">
        <v>340</v>
      </c>
      <c r="T50" s="198">
        <f>+VCdata!U29</f>
        <v>3.2728788807035332</v>
      </c>
      <c r="U50" s="198">
        <f>+VCdata!V29</f>
        <v>3.2592117569230785</v>
      </c>
      <c r="V50" s="198">
        <f>+VCdata!W29</f>
        <v>3.0837640681512997</v>
      </c>
      <c r="W50" s="198">
        <f>+VCdata!X29</f>
        <v>3.0647562945123275</v>
      </c>
      <c r="X50" s="198">
        <f>+VCdata!Y29</f>
        <v>3.0053797493014476</v>
      </c>
      <c r="Y50" s="198">
        <f>+VCdata!Z29</f>
        <v>2.9120594715512045</v>
      </c>
      <c r="Z50" s="198">
        <f>+VCdata!AA29</f>
        <v>2.8059745683606772</v>
      </c>
      <c r="AA50" s="198">
        <f>+VCdata!AB29</f>
        <v>2.6823314735866748</v>
      </c>
      <c r="AB50" s="198">
        <f>+VCdata!AC29</f>
        <v>2.5401447661684777</v>
      </c>
      <c r="AC50" s="198">
        <f>+VCdata!AD29</f>
        <v>2.3675048299030612</v>
      </c>
      <c r="AD50" s="198">
        <f>+VCdata!AE29</f>
        <v>2.1705609757389484</v>
      </c>
      <c r="AE50" s="198">
        <f>+VCdata!AF29</f>
        <v>1.9999260754969184</v>
      </c>
      <c r="AF50" s="198">
        <f>+VCdata!AG29</f>
        <v>1.8213773844287044</v>
      </c>
      <c r="AG50" s="198">
        <f>+VCdata!AH29</f>
        <v>1.662116207235641</v>
      </c>
      <c r="AH50" s="198">
        <f>+VCdata!AI29</f>
        <v>1.5341353777253872</v>
      </c>
      <c r="AI50" s="198">
        <f>+VCdata!AJ29</f>
        <v>1.3934124995856436</v>
      </c>
      <c r="AJ50" s="198">
        <f>+VCdata!AK29</f>
        <v>1.2601265015543925</v>
      </c>
      <c r="AK50" s="198">
        <f>+VCdata!AL29</f>
        <v>1.1265321628787583</v>
      </c>
      <c r="AL50" s="198">
        <f>+VCdata!AM29</f>
        <v>0.99501664672417789</v>
      </c>
      <c r="AM50" s="198">
        <f>+VCdata!AN29</f>
        <v>0.90933865000925496</v>
      </c>
      <c r="AN50" s="198">
        <f>+VCdata!AO29</f>
        <v>0.82502587354256463</v>
      </c>
      <c r="AO50" s="198">
        <f>+VCdata!AP29</f>
        <v>0.74156117781731734</v>
      </c>
      <c r="AP50" s="198">
        <f>+VCdata!AQ29</f>
        <v>0.65881910136003186</v>
      </c>
      <c r="AQ50" s="198">
        <f>+VCdata!AR29</f>
        <v>0.57619703353701501</v>
      </c>
      <c r="AR50" s="198">
        <f>+VCdata!AS29</f>
        <v>0.49375595809874129</v>
      </c>
      <c r="AS50" s="198">
        <f>+VCdata!AT29</f>
        <v>0.41182554316803971</v>
      </c>
      <c r="AT50" s="198">
        <f>+VCdata!AU29</f>
        <v>0.33038601349078567</v>
      </c>
      <c r="AU50" s="198">
        <f>+VCdata!AV29</f>
        <v>0.24928477620213224</v>
      </c>
      <c r="AV50" s="198">
        <f>+VCdata!AW29</f>
        <v>0.16899166313165032</v>
      </c>
      <c r="AW50" s="198"/>
      <c r="AX50" s="198"/>
      <c r="AY50" s="198"/>
      <c r="AZ50" s="198"/>
      <c r="BA50" s="198"/>
      <c r="BB50" s="198"/>
      <c r="BC50" s="198"/>
      <c r="BD50" s="198"/>
      <c r="BE50" s="198"/>
      <c r="BF50" s="198"/>
    </row>
    <row r="51" spans="1:58" s="196" customFormat="1" ht="15" customHeight="1" x14ac:dyDescent="0.15">
      <c r="A51" s="195" t="s">
        <v>363</v>
      </c>
      <c r="B51" s="197" t="s">
        <v>52</v>
      </c>
      <c r="C51" s="196" t="s">
        <v>443</v>
      </c>
      <c r="D51" s="195" t="s">
        <v>346</v>
      </c>
      <c r="E51" s="195" t="s">
        <v>264</v>
      </c>
      <c r="F51" s="199" t="s">
        <v>347</v>
      </c>
      <c r="G51" s="195" t="s">
        <v>340</v>
      </c>
      <c r="T51" s="198">
        <f>+VCdata!U30</f>
        <v>4.6198350885486841</v>
      </c>
      <c r="U51" s="198">
        <f>+VCdata!V30</f>
        <v>4.4310333637067565</v>
      </c>
      <c r="V51" s="198">
        <f>+VCdata!W30</f>
        <v>4.2601576452523187</v>
      </c>
      <c r="W51" s="198">
        <f>+VCdata!X30</f>
        <v>4.1477646646529411</v>
      </c>
      <c r="X51" s="198">
        <f>+VCdata!Y30</f>
        <v>3.983165121249411</v>
      </c>
      <c r="Y51" s="198">
        <f>+VCdata!Z30</f>
        <v>3.7695228727174728</v>
      </c>
      <c r="Z51" s="198">
        <f>+VCdata!AA30</f>
        <v>3.5294090786410575</v>
      </c>
      <c r="AA51" s="198">
        <f>+VCdata!AB30</f>
        <v>3.2564449828099788</v>
      </c>
      <c r="AB51" s="198">
        <f>+VCdata!AC30</f>
        <v>3.0356214806243544</v>
      </c>
      <c r="AC51" s="198">
        <f>+VCdata!AD30</f>
        <v>2.7663328670583387</v>
      </c>
      <c r="AD51" s="198">
        <f>+VCdata!AE30</f>
        <v>2.4693620573453714</v>
      </c>
      <c r="AE51" s="198">
        <f>+VCdata!AF30</f>
        <v>2.2076137041018695</v>
      </c>
      <c r="AF51" s="198">
        <f>+VCdata!AG30</f>
        <v>1.9611360531270821</v>
      </c>
      <c r="AG51" s="198">
        <f>+VCdata!AH30</f>
        <v>1.7617393606948943</v>
      </c>
      <c r="AH51" s="198">
        <f>+VCdata!AI30</f>
        <v>1.614438836820973</v>
      </c>
      <c r="AI51" s="198">
        <f>+VCdata!AJ30</f>
        <v>1.4586439245596394</v>
      </c>
      <c r="AJ51" s="198">
        <f>+VCdata!AK30</f>
        <v>1.3122686908614136</v>
      </c>
      <c r="AK51" s="198">
        <f>+VCdata!AL30</f>
        <v>1.1610378042299254</v>
      </c>
      <c r="AL51" s="198">
        <f>+VCdata!AM30</f>
        <v>1.0215928669903009</v>
      </c>
      <c r="AM51" s="198">
        <f>+VCdata!AN30</f>
        <v>0.93323889538082738</v>
      </c>
      <c r="AN51" s="198">
        <f>+VCdata!AO30</f>
        <v>0.84630909117352671</v>
      </c>
      <c r="AO51" s="198">
        <f>+VCdata!AP30</f>
        <v>0.76026080983416067</v>
      </c>
      <c r="AP51" s="198">
        <f>+VCdata!AQ30</f>
        <v>0.67496038731823904</v>
      </c>
      <c r="AQ51" s="198">
        <f>+VCdata!AR30</f>
        <v>0.58978372081113417</v>
      </c>
      <c r="AR51" s="198">
        <f>+VCdata!AS30</f>
        <v>0.50479712168277646</v>
      </c>
      <c r="AS51" s="198">
        <f>+VCdata!AT30</f>
        <v>0.42034041240351172</v>
      </c>
      <c r="AT51" s="198">
        <f>+VCdata!AU30</f>
        <v>0.33639274742994107</v>
      </c>
      <c r="AU51" s="198">
        <f>+VCdata!AV30</f>
        <v>0.25280167259247838</v>
      </c>
      <c r="AV51" s="198">
        <f>+VCdata!AW30</f>
        <v>0.17003502121168787</v>
      </c>
      <c r="AW51" s="198"/>
      <c r="AX51" s="198"/>
      <c r="AY51" s="198"/>
      <c r="AZ51" s="198"/>
      <c r="BA51" s="198"/>
      <c r="BB51" s="198"/>
      <c r="BC51" s="198"/>
      <c r="BD51" s="198"/>
      <c r="BE51" s="198"/>
      <c r="BF51" s="198"/>
    </row>
    <row r="52" spans="1:58" s="196" customFormat="1" ht="15" customHeight="1" x14ac:dyDescent="0.15">
      <c r="A52" s="195" t="s">
        <v>363</v>
      </c>
      <c r="B52" s="197" t="s">
        <v>52</v>
      </c>
      <c r="C52" s="196" t="s">
        <v>336</v>
      </c>
      <c r="D52" s="195" t="s">
        <v>346</v>
      </c>
      <c r="E52" s="195" t="s">
        <v>264</v>
      </c>
      <c r="F52" s="199" t="s">
        <v>347</v>
      </c>
      <c r="G52" s="195" t="s">
        <v>340</v>
      </c>
      <c r="T52" s="198">
        <f>+VCdata!U31</f>
        <v>3.8338501497700697</v>
      </c>
      <c r="U52" s="198">
        <f>+VCdata!V31</f>
        <v>3.8338501497700697</v>
      </c>
      <c r="V52" s="198">
        <f>+VCdata!W31</f>
        <v>3.6858877011720241</v>
      </c>
      <c r="W52" s="198">
        <f>+VCdata!X31</f>
        <v>3.6807354607434282</v>
      </c>
      <c r="X52" s="198">
        <f>+VCdata!Y31</f>
        <v>3.6376679399389329</v>
      </c>
      <c r="Y52" s="198">
        <f>+VCdata!Z31</f>
        <v>3.5529277717075063</v>
      </c>
      <c r="Z52" s="198">
        <f>+VCdata!AA31</f>
        <v>3.4167070362628231</v>
      </c>
      <c r="AA52" s="198">
        <f>+VCdata!AB31</f>
        <v>3.2717358364537814</v>
      </c>
      <c r="AB52" s="198">
        <f>+VCdata!AC31</f>
        <v>3.091656986636528</v>
      </c>
      <c r="AC52" s="198">
        <f>+VCdata!AD31</f>
        <v>2.8522685850915046</v>
      </c>
      <c r="AD52" s="198">
        <f>+VCdata!AE31</f>
        <v>2.6178372888053643</v>
      </c>
      <c r="AE52" s="198">
        <f>+VCdata!AF31</f>
        <v>2.3815369103447952</v>
      </c>
      <c r="AF52" s="198">
        <f>+VCdata!AG31</f>
        <v>2.1448380180879729</v>
      </c>
      <c r="AG52" s="198">
        <f>+VCdata!AH31</f>
        <v>1.923327401782531</v>
      </c>
      <c r="AH52" s="198">
        <f>+VCdata!AI31</f>
        <v>1.7563509372926251</v>
      </c>
      <c r="AI52" s="198">
        <f>+VCdata!AJ31</f>
        <v>1.5914383127305485</v>
      </c>
      <c r="AJ52" s="198">
        <f>+VCdata!AK31</f>
        <v>1.4374790216666775</v>
      </c>
      <c r="AK52" s="198">
        <f>+VCdata!AL31</f>
        <v>1.2851148054801667</v>
      </c>
      <c r="AL52" s="198">
        <f>+VCdata!AM31</f>
        <v>1.1336007707460194</v>
      </c>
      <c r="AM52" s="198">
        <f>+VCdata!AN31</f>
        <v>1.0402929477684197</v>
      </c>
      <c r="AN52" s="198">
        <f>+VCdata!AO31</f>
        <v>0.94704958784123661</v>
      </c>
      <c r="AO52" s="198">
        <f>+VCdata!AP31</f>
        <v>0.85402467913401425</v>
      </c>
      <c r="AP52" s="198">
        <f>+VCdata!AQ31</f>
        <v>0.76096112829309204</v>
      </c>
      <c r="AQ52" s="198">
        <f>+VCdata!AR31</f>
        <v>0.66797894447463335</v>
      </c>
      <c r="AR52" s="198">
        <f>+VCdata!AS31</f>
        <v>0.57515809083705405</v>
      </c>
      <c r="AS52" s="198">
        <f>+VCdata!AT31</f>
        <v>0.48260344996531124</v>
      </c>
      <c r="AT52" s="198">
        <f>+VCdata!AU31</f>
        <v>0.39020425119655866</v>
      </c>
      <c r="AU52" s="198">
        <f>+VCdata!AV31</f>
        <v>0.29806856874028825</v>
      </c>
      <c r="AV52" s="198">
        <f>+VCdata!AW31</f>
        <v>0.2063014799599317</v>
      </c>
      <c r="AW52" s="198"/>
      <c r="AX52" s="198"/>
      <c r="AY52" s="198"/>
      <c r="AZ52" s="198"/>
      <c r="BA52" s="198"/>
      <c r="BB52" s="198"/>
      <c r="BC52" s="198"/>
      <c r="BD52" s="198"/>
      <c r="BE52" s="198"/>
      <c r="BF52" s="198"/>
    </row>
    <row r="53" spans="1:58" s="196" customFormat="1" ht="15" customHeight="1" x14ac:dyDescent="0.15">
      <c r="A53" s="195" t="s">
        <v>363</v>
      </c>
      <c r="B53" s="197" t="s">
        <v>52</v>
      </c>
      <c r="C53" s="196" t="s">
        <v>234</v>
      </c>
      <c r="D53" s="195" t="s">
        <v>346</v>
      </c>
      <c r="E53" s="195" t="s">
        <v>264</v>
      </c>
      <c r="F53" s="199" t="s">
        <v>347</v>
      </c>
      <c r="G53" s="195" t="s">
        <v>340</v>
      </c>
      <c r="T53" s="198">
        <f>+VCdata!U32</f>
        <v>4.2116038222662153</v>
      </c>
      <c r="U53" s="198">
        <f>+VCdata!V32</f>
        <v>4.109623671328305</v>
      </c>
      <c r="V53" s="198">
        <f>+VCdata!W32</f>
        <v>3.7730409511969993</v>
      </c>
      <c r="W53" s="198">
        <f>+VCdata!X32</f>
        <v>3.7391617658942842</v>
      </c>
      <c r="X53" s="198">
        <f>+VCdata!Y32</f>
        <v>3.7046573615641418</v>
      </c>
      <c r="Y53" s="198">
        <f>+VCdata!Z32</f>
        <v>3.5929235394957733</v>
      </c>
      <c r="Z53" s="198">
        <f>+VCdata!AA32</f>
        <v>3.4340663256875121</v>
      </c>
      <c r="AA53" s="198">
        <f>+VCdata!AB32</f>
        <v>3.2574197821459672</v>
      </c>
      <c r="AB53" s="198">
        <f>+VCdata!AC32</f>
        <v>3.0665006823135945</v>
      </c>
      <c r="AC53" s="198">
        <f>+VCdata!AD32</f>
        <v>2.8118104818887955</v>
      </c>
      <c r="AD53" s="198">
        <f>+VCdata!AE32</f>
        <v>2.5605241032575901</v>
      </c>
      <c r="AE53" s="198">
        <f>+VCdata!AF32</f>
        <v>2.3221087350574496</v>
      </c>
      <c r="AF53" s="198">
        <f>+VCdata!AG32</f>
        <v>2.0894580400931799</v>
      </c>
      <c r="AG53" s="198">
        <f>+VCdata!AH32</f>
        <v>1.878917237655126</v>
      </c>
      <c r="AH53" s="198">
        <f>+VCdata!AI32</f>
        <v>1.7218243634888488</v>
      </c>
      <c r="AI53" s="198">
        <f>+VCdata!AJ32</f>
        <v>1.559674784188585</v>
      </c>
      <c r="AJ53" s="198">
        <f>+VCdata!AK32</f>
        <v>1.4073759256329934</v>
      </c>
      <c r="AK53" s="198">
        <f>+VCdata!AL32</f>
        <v>1.2552713092364343</v>
      </c>
      <c r="AL53" s="198">
        <f>+VCdata!AM32</f>
        <v>1.1066964434460873</v>
      </c>
      <c r="AM53" s="198">
        <f>+VCdata!AN32</f>
        <v>1.0124501361570737</v>
      </c>
      <c r="AN53" s="198">
        <f>+VCdata!AO32</f>
        <v>0.92192129934081346</v>
      </c>
      <c r="AO53" s="198">
        <f>+VCdata!AP32</f>
        <v>0.83193392206202443</v>
      </c>
      <c r="AP53" s="198">
        <f>+VCdata!AQ32</f>
        <v>0.74189247295847904</v>
      </c>
      <c r="AQ53" s="198">
        <f>+VCdata!AR32</f>
        <v>0.65146496616389005</v>
      </c>
      <c r="AR53" s="198">
        <f>+VCdata!AS32</f>
        <v>0.56082154548143148</v>
      </c>
      <c r="AS53" s="198">
        <f>+VCdata!AT32</f>
        <v>0.46996730059880437</v>
      </c>
      <c r="AT53" s="198">
        <f>+VCdata!AU32</f>
        <v>0.37925921414842251</v>
      </c>
      <c r="AU53" s="198">
        <f>+VCdata!AV32</f>
        <v>0.28886213796286525</v>
      </c>
      <c r="AV53" s="198">
        <f>+VCdata!AW32</f>
        <v>0.1990326464173191</v>
      </c>
      <c r="AW53" s="198"/>
      <c r="AX53" s="198"/>
      <c r="AY53" s="198"/>
      <c r="AZ53" s="198"/>
      <c r="BA53" s="198"/>
      <c r="BB53" s="198"/>
      <c r="BC53" s="198"/>
      <c r="BD53" s="198"/>
      <c r="BE53" s="198"/>
      <c r="BF53" s="198"/>
    </row>
    <row r="54" spans="1:58" s="196" customFormat="1" ht="15" customHeight="1" x14ac:dyDescent="0.15">
      <c r="A54" s="195" t="s">
        <v>363</v>
      </c>
      <c r="B54" s="197" t="s">
        <v>52</v>
      </c>
      <c r="C54" s="196" t="s">
        <v>335</v>
      </c>
      <c r="D54" s="195" t="s">
        <v>346</v>
      </c>
      <c r="E54" s="195" t="s">
        <v>264</v>
      </c>
      <c r="F54" s="199" t="s">
        <v>347</v>
      </c>
      <c r="G54" s="195" t="s">
        <v>377</v>
      </c>
      <c r="T54" s="198">
        <f>+VCdata!U33</f>
        <v>100.45297990234675</v>
      </c>
      <c r="U54" s="198">
        <f>+VCdata!V33</f>
        <v>100.45297990234675</v>
      </c>
      <c r="V54" s="198">
        <f>+VCdata!W33</f>
        <v>95.578341829027679</v>
      </c>
      <c r="W54" s="198">
        <f>+VCdata!X33</f>
        <v>94.96320565434786</v>
      </c>
      <c r="X54" s="198">
        <f>+VCdata!Y33</f>
        <v>91.965210893002819</v>
      </c>
      <c r="Y54" s="198">
        <f>+VCdata!Z33</f>
        <v>88.35532316124025</v>
      </c>
      <c r="Z54" s="198">
        <f>+VCdata!AA33</f>
        <v>83.099346891990592</v>
      </c>
      <c r="AA54" s="198">
        <f>+VCdata!AB33</f>
        <v>77.458085428807763</v>
      </c>
      <c r="AB54" s="198">
        <f>+VCdata!AC33</f>
        <v>72.06866853448858</v>
      </c>
      <c r="AC54" s="198">
        <f>+VCdata!AD33</f>
        <v>66.784069722064515</v>
      </c>
      <c r="AD54" s="198">
        <f>+VCdata!AE33</f>
        <v>61.081239469877083</v>
      </c>
      <c r="AE54" s="198">
        <f>+VCdata!AF33</f>
        <v>56.202990970096415</v>
      </c>
      <c r="AF54" s="198">
        <f>+VCdata!AG33</f>
        <v>51.260138052061961</v>
      </c>
      <c r="AG54" s="198">
        <f>+VCdata!AH33</f>
        <v>46.936265268185679</v>
      </c>
      <c r="AH54" s="198">
        <f>+VCdata!AI33</f>
        <v>42.784569597489998</v>
      </c>
      <c r="AI54" s="198">
        <f>+VCdata!AJ33</f>
        <v>38.862114515093204</v>
      </c>
      <c r="AJ54" s="198">
        <f>+VCdata!AK33</f>
        <v>35.076050758592608</v>
      </c>
      <c r="AK54" s="198">
        <f>+VCdata!AL33</f>
        <v>31.331534817487043</v>
      </c>
      <c r="AL54" s="198">
        <f>+VCdata!AM33</f>
        <v>27.586323182044342</v>
      </c>
      <c r="AM54" s="198">
        <f>+VCdata!AN33</f>
        <v>25.223724783922354</v>
      </c>
      <c r="AN54" s="198">
        <f>+VCdata!AO33</f>
        <v>22.87172969175338</v>
      </c>
      <c r="AO54" s="198">
        <f>+VCdata!AP33</f>
        <v>20.527721450550278</v>
      </c>
      <c r="AP54" s="198">
        <f>+VCdata!AQ33</f>
        <v>18.191299166860929</v>
      </c>
      <c r="AQ54" s="198">
        <f>+VCdata!AR33</f>
        <v>15.859016113909389</v>
      </c>
      <c r="AR54" s="198">
        <f>+VCdata!AS33</f>
        <v>13.530620374497994</v>
      </c>
      <c r="AS54" s="198">
        <f>+VCdata!AT33</f>
        <v>11.208127982971215</v>
      </c>
      <c r="AT54" s="198">
        <f>+VCdata!AU33</f>
        <v>8.8914354172879317</v>
      </c>
      <c r="AU54" s="198">
        <f>+VCdata!AV33</f>
        <v>6.5787524064724714</v>
      </c>
      <c r="AV54" s="198">
        <f>+VCdata!AW33</f>
        <v>4.275639900125638</v>
      </c>
      <c r="AW54" s="198"/>
      <c r="AX54" s="198"/>
      <c r="AY54" s="198"/>
      <c r="AZ54" s="198"/>
      <c r="BA54" s="198"/>
      <c r="BB54" s="198"/>
      <c r="BC54" s="198"/>
      <c r="BD54" s="198"/>
      <c r="BE54" s="198"/>
      <c r="BF54" s="198"/>
    </row>
    <row r="55" spans="1:58" s="196" customFormat="1" ht="15" customHeight="1" x14ac:dyDescent="0.15">
      <c r="A55" s="195" t="s">
        <v>363</v>
      </c>
      <c r="B55" s="197" t="s">
        <v>52</v>
      </c>
      <c r="C55" s="196" t="s">
        <v>443</v>
      </c>
      <c r="D55" s="195" t="s">
        <v>346</v>
      </c>
      <c r="E55" s="195" t="s">
        <v>264</v>
      </c>
      <c r="F55" s="199" t="s">
        <v>347</v>
      </c>
      <c r="G55" s="195" t="s">
        <v>377</v>
      </c>
      <c r="T55" s="198">
        <f>+VCdata!U34</f>
        <v>147.7517613835868</v>
      </c>
      <c r="U55" s="198">
        <f>+VCdata!V34</f>
        <v>142.35709079997969</v>
      </c>
      <c r="V55" s="198">
        <f>+VCdata!W34</f>
        <v>142.35709079997969</v>
      </c>
      <c r="W55" s="198">
        <f>+VCdata!X34</f>
        <v>142.35709079997969</v>
      </c>
      <c r="X55" s="198">
        <f>+VCdata!Y34</f>
        <v>142.35709079997969</v>
      </c>
      <c r="Y55" s="198">
        <f>+VCdata!Z34</f>
        <v>140.34344913090143</v>
      </c>
      <c r="Z55" s="198">
        <f>+VCdata!AA34</f>
        <v>128.95506817431425</v>
      </c>
      <c r="AA55" s="198">
        <f>+VCdata!AB34</f>
        <v>115.5701027032447</v>
      </c>
      <c r="AB55" s="198">
        <f>+VCdata!AC34</f>
        <v>103.96180390509986</v>
      </c>
      <c r="AC55" s="198">
        <f>+VCdata!AD34</f>
        <v>92.71079170903424</v>
      </c>
      <c r="AD55" s="198">
        <f>+VCdata!AE34</f>
        <v>81.367422785466985</v>
      </c>
      <c r="AE55" s="198">
        <f>+VCdata!AF34</f>
        <v>71.545815787637864</v>
      </c>
      <c r="AF55" s="198">
        <f>+VCdata!AG34</f>
        <v>64.452350900263454</v>
      </c>
      <c r="AG55" s="198">
        <f>+VCdata!AH34</f>
        <v>57.874937824466407</v>
      </c>
      <c r="AH55" s="198">
        <f>+VCdata!AI34</f>
        <v>51.487415804795155</v>
      </c>
      <c r="AI55" s="198">
        <f>+VCdata!AJ34</f>
        <v>45.952055165720161</v>
      </c>
      <c r="AJ55" s="198">
        <f>+VCdata!AK34</f>
        <v>40.748246376771682</v>
      </c>
      <c r="AK55" s="198">
        <f>+VCdata!AL34</f>
        <v>35.083887312478851</v>
      </c>
      <c r="AL55" s="198">
        <f>+VCdata!AM34</f>
        <v>30.517850424653091</v>
      </c>
      <c r="AM55" s="198">
        <f>+VCdata!AN34</f>
        <v>27.86007486343723</v>
      </c>
      <c r="AN55" s="198">
        <f>+VCdata!AO34</f>
        <v>25.219404856647657</v>
      </c>
      <c r="AO55" s="198">
        <f>+VCdata!AP34</f>
        <v>22.590410581480342</v>
      </c>
      <c r="AP55" s="198">
        <f>+VCdata!AQ34</f>
        <v>19.971786348386157</v>
      </c>
      <c r="AQ55" s="198">
        <f>+VCdata!AR34</f>
        <v>17.357714705433992</v>
      </c>
      <c r="AR55" s="198">
        <f>+VCdata!AS34</f>
        <v>14.748531405960897</v>
      </c>
      <c r="AS55" s="198">
        <f>+VCdata!AT34</f>
        <v>12.147372573852945</v>
      </c>
      <c r="AT55" s="198">
        <f>+VCdata!AU34</f>
        <v>9.554016627309851</v>
      </c>
      <c r="AU55" s="198">
        <f>+VCdata!AV34</f>
        <v>6.9666885943311367</v>
      </c>
      <c r="AV55" s="198">
        <f>+VCdata!AW34</f>
        <v>4.3907289761792754</v>
      </c>
      <c r="AW55" s="198"/>
      <c r="AX55" s="198"/>
      <c r="AY55" s="198"/>
      <c r="AZ55" s="198"/>
      <c r="BA55" s="198"/>
      <c r="BB55" s="198"/>
      <c r="BC55" s="198"/>
      <c r="BD55" s="198"/>
      <c r="BE55" s="198"/>
      <c r="BF55" s="198"/>
    </row>
    <row r="56" spans="1:58" s="196" customFormat="1" ht="15" customHeight="1" x14ac:dyDescent="0.15">
      <c r="A56" s="195" t="s">
        <v>363</v>
      </c>
      <c r="B56" s="197" t="s">
        <v>52</v>
      </c>
      <c r="C56" s="196" t="s">
        <v>336</v>
      </c>
      <c r="D56" s="195" t="s">
        <v>346</v>
      </c>
      <c r="E56" s="195" t="s">
        <v>264</v>
      </c>
      <c r="F56" s="199" t="s">
        <v>347</v>
      </c>
      <c r="G56" s="195" t="s">
        <v>377</v>
      </c>
      <c r="T56" s="198">
        <f>+VCdata!U35</f>
        <v>127.9181261528843</v>
      </c>
      <c r="U56" s="198">
        <f>+VCdata!V35</f>
        <v>127.9181261528843</v>
      </c>
      <c r="V56" s="198">
        <f>+VCdata!W35</f>
        <v>127.9181261528843</v>
      </c>
      <c r="W56" s="198">
        <f>+VCdata!X35</f>
        <v>127.9181261528843</v>
      </c>
      <c r="X56" s="198">
        <f>+VCdata!Y35</f>
        <v>127.9181261528843</v>
      </c>
      <c r="Y56" s="198">
        <f>+VCdata!Z35</f>
        <v>127.9181261528843</v>
      </c>
      <c r="Z56" s="198">
        <f>+VCdata!AA35</f>
        <v>119.9009478914456</v>
      </c>
      <c r="AA56" s="198">
        <f>+VCdata!AB35</f>
        <v>111.96236089749473</v>
      </c>
      <c r="AB56" s="198">
        <f>+VCdata!AC35</f>
        <v>103.17216884356398</v>
      </c>
      <c r="AC56" s="198">
        <f>+VCdata!AD35</f>
        <v>90.862101584020309</v>
      </c>
      <c r="AD56" s="198">
        <f>+VCdata!AE35</f>
        <v>81.209392520085814</v>
      </c>
      <c r="AE56" s="198">
        <f>+VCdata!AF35</f>
        <v>70.804833748799098</v>
      </c>
      <c r="AF56" s="198">
        <f>+VCdata!AG35</f>
        <v>61.254465477332403</v>
      </c>
      <c r="AG56" s="198">
        <f>+VCdata!AH35</f>
        <v>52.50173094104013</v>
      </c>
      <c r="AH56" s="198">
        <f>+VCdata!AI35</f>
        <v>46.53626032863307</v>
      </c>
      <c r="AI56" s="198">
        <f>+VCdata!AJ35</f>
        <v>41.632341278607456</v>
      </c>
      <c r="AJ56" s="198">
        <f>+VCdata!AK35</f>
        <v>37.261045152711176</v>
      </c>
      <c r="AK56" s="198">
        <f>+VCdata!AL35</f>
        <v>32.884465679231617</v>
      </c>
      <c r="AL56" s="198">
        <f>+VCdata!AM35</f>
        <v>28.482587546101932</v>
      </c>
      <c r="AM56" s="198">
        <f>+VCdata!AN35</f>
        <v>26.150221860307202</v>
      </c>
      <c r="AN56" s="198">
        <f>+VCdata!AO35</f>
        <v>23.816612082948133</v>
      </c>
      <c r="AO56" s="198">
        <f>+VCdata!AP35</f>
        <v>21.476283389159413</v>
      </c>
      <c r="AP56" s="198">
        <f>+VCdata!AQ35</f>
        <v>19.132594955323508</v>
      </c>
      <c r="AQ56" s="198">
        <f>+VCdata!AR35</f>
        <v>16.782505829285704</v>
      </c>
      <c r="AR56" s="198">
        <f>+VCdata!AS35</f>
        <v>14.415935048147601</v>
      </c>
      <c r="AS56" s="198">
        <f>+VCdata!AT35</f>
        <v>12.0424360053272</v>
      </c>
      <c r="AT56" s="198">
        <f>+VCdata!AU35</f>
        <v>9.6624948722645172</v>
      </c>
      <c r="AU56" s="198">
        <f>+VCdata!AV35</f>
        <v>7.2744480587637614</v>
      </c>
      <c r="AV56" s="198">
        <f>+VCdata!AW35</f>
        <v>4.8778250925732003</v>
      </c>
      <c r="AW56" s="198"/>
      <c r="AX56" s="198"/>
      <c r="AY56" s="198"/>
      <c r="AZ56" s="198"/>
      <c r="BA56" s="198"/>
      <c r="BB56" s="198"/>
      <c r="BC56" s="198"/>
      <c r="BD56" s="198"/>
      <c r="BE56" s="198"/>
      <c r="BF56" s="198"/>
    </row>
    <row r="57" spans="1:58" s="196" customFormat="1" ht="15" customHeight="1" x14ac:dyDescent="0.15">
      <c r="A57" s="195" t="s">
        <v>363</v>
      </c>
      <c r="B57" s="197" t="s">
        <v>52</v>
      </c>
      <c r="C57" s="196" t="s">
        <v>234</v>
      </c>
      <c r="D57" s="195" t="s">
        <v>346</v>
      </c>
      <c r="E57" s="195" t="s">
        <v>264</v>
      </c>
      <c r="F57" s="199" t="s">
        <v>347</v>
      </c>
      <c r="G57" s="195" t="s">
        <v>377</v>
      </c>
      <c r="T57" s="198">
        <f>+VCdata!U36</f>
        <v>118.71739858272755</v>
      </c>
      <c r="U57" s="198">
        <f>+VCdata!V36</f>
        <v>118.71739858272755</v>
      </c>
      <c r="V57" s="198">
        <f>+VCdata!W36</f>
        <v>118.71739858272755</v>
      </c>
      <c r="W57" s="198">
        <f>+VCdata!X36</f>
        <v>118.71739858272755</v>
      </c>
      <c r="X57" s="198">
        <f>+VCdata!Y36</f>
        <v>117.21103202741912</v>
      </c>
      <c r="Y57" s="198">
        <f>+VCdata!Z36</f>
        <v>115.62305732322484</v>
      </c>
      <c r="Z57" s="198">
        <f>+VCdata!AA36</f>
        <v>107.77260125219092</v>
      </c>
      <c r="AA57" s="198">
        <f>+VCdata!AB36</f>
        <v>99.42230830062968</v>
      </c>
      <c r="AB57" s="198">
        <f>+VCdata!AC36</f>
        <v>91.229825418578287</v>
      </c>
      <c r="AC57" s="198">
        <f>+VCdata!AD36</f>
        <v>81.31193787831107</v>
      </c>
      <c r="AD57" s="198">
        <f>+VCdata!AE36</f>
        <v>72.822313411153729</v>
      </c>
      <c r="AE57" s="198">
        <f>+VCdata!AF36</f>
        <v>64.710310165419628</v>
      </c>
      <c r="AF57" s="198">
        <f>+VCdata!AG36</f>
        <v>57.482245590553802</v>
      </c>
      <c r="AG57" s="198">
        <f>+VCdata!AH36</f>
        <v>50.993562597385036</v>
      </c>
      <c r="AH57" s="198">
        <f>+VCdata!AI36</f>
        <v>45.583275683942354</v>
      </c>
      <c r="AI57" s="198">
        <f>+VCdata!AJ36</f>
        <v>41.039061716638273</v>
      </c>
      <c r="AJ57" s="198">
        <f>+VCdata!AK36</f>
        <v>36.807452061907156</v>
      </c>
      <c r="AK57" s="198">
        <f>+VCdata!AL36</f>
        <v>32.514429193840137</v>
      </c>
      <c r="AL57" s="198">
        <f>+VCdata!AM36</f>
        <v>28.378637904030668</v>
      </c>
      <c r="AM57" s="198">
        <f>+VCdata!AN36</f>
        <v>26.08266693231154</v>
      </c>
      <c r="AN57" s="198">
        <f>+VCdata!AO36</f>
        <v>23.670758308775994</v>
      </c>
      <c r="AO57" s="198">
        <f>+VCdata!AP36</f>
        <v>21.267596513190174</v>
      </c>
      <c r="AP57" s="198">
        <f>+VCdata!AQ36</f>
        <v>18.874241166054297</v>
      </c>
      <c r="AQ57" s="198">
        <f>+VCdata!AR36</f>
        <v>16.487685909307267</v>
      </c>
      <c r="AR57" s="198">
        <f>+VCdata!AS36</f>
        <v>14.12515390188778</v>
      </c>
      <c r="AS57" s="198">
        <f>+VCdata!AT36</f>
        <v>11.740071858637544</v>
      </c>
      <c r="AT57" s="198">
        <f>+VCdata!AU36</f>
        <v>9.3560192174390338</v>
      </c>
      <c r="AU57" s="198">
        <f>+VCdata!AV36</f>
        <v>6.968918530080189</v>
      </c>
      <c r="AV57" s="198">
        <f>+VCdata!AW36</f>
        <v>4.5811261306903885</v>
      </c>
      <c r="AW57" s="198"/>
      <c r="AX57" s="198"/>
      <c r="AY57" s="198"/>
      <c r="AZ57" s="198"/>
      <c r="BA57" s="198"/>
      <c r="BB57" s="198"/>
      <c r="BC57" s="198"/>
      <c r="BD57" s="198"/>
      <c r="BE57" s="198"/>
      <c r="BF57" s="198"/>
    </row>
    <row r="58" spans="1:58" s="196" customFormat="1" ht="15" customHeight="1" x14ac:dyDescent="0.15">
      <c r="A58" s="195" t="s">
        <v>363</v>
      </c>
      <c r="B58" s="197" t="s">
        <v>52</v>
      </c>
      <c r="C58" s="196" t="s">
        <v>335</v>
      </c>
      <c r="D58" s="195" t="s">
        <v>346</v>
      </c>
      <c r="E58" s="195" t="s">
        <v>264</v>
      </c>
      <c r="F58" s="199" t="s">
        <v>347</v>
      </c>
      <c r="G58" s="195" t="s">
        <v>338</v>
      </c>
      <c r="T58" s="198">
        <f>+VCdata!U37</f>
        <v>45.000196526653667</v>
      </c>
      <c r="U58" s="198">
        <f>+VCdata!V37</f>
        <v>45.000196526653667</v>
      </c>
      <c r="V58" s="198">
        <f>+VCdata!W37</f>
        <v>42.842581622003621</v>
      </c>
      <c r="W58" s="198">
        <f>+VCdata!X37</f>
        <v>42.219475733544357</v>
      </c>
      <c r="X58" s="198">
        <f>+VCdata!Y37</f>
        <v>41.210876119467748</v>
      </c>
      <c r="Y58" s="198">
        <f>+VCdata!Z37</f>
        <v>39.732934442756708</v>
      </c>
      <c r="Z58" s="198">
        <f>+VCdata!AA37</f>
        <v>38.103695618801964</v>
      </c>
      <c r="AA58" s="198">
        <f>+VCdata!AB37</f>
        <v>36.279960612210211</v>
      </c>
      <c r="AB58" s="198">
        <f>+VCdata!AC37</f>
        <v>34.470778208416853</v>
      </c>
      <c r="AC58" s="198">
        <f>+VCdata!AD37</f>
        <v>33.507684081410957</v>
      </c>
      <c r="AD58" s="198">
        <f>+VCdata!AE37</f>
        <v>32.248501168591702</v>
      </c>
      <c r="AE58" s="198">
        <f>+VCdata!AF37</f>
        <v>31.01220091828699</v>
      </c>
      <c r="AF58" s="198">
        <f>+VCdata!AG37</f>
        <v>29.641272924826652</v>
      </c>
      <c r="AG58" s="198">
        <f>+VCdata!AH37</f>
        <v>28.255709103652254</v>
      </c>
      <c r="AH58" s="198">
        <f>+VCdata!AI37</f>
        <v>25.792131106962028</v>
      </c>
      <c r="AI58" s="198">
        <f>+VCdata!AJ37</f>
        <v>23.429278683798266</v>
      </c>
      <c r="AJ58" s="198">
        <f>+VCdata!AK37</f>
        <v>21.157607752820432</v>
      </c>
      <c r="AK58" s="198">
        <f>+VCdata!AL37</f>
        <v>18.895008069901571</v>
      </c>
      <c r="AL58" s="198">
        <f>+VCdata!AM37</f>
        <v>16.653910210098147</v>
      </c>
      <c r="AM58" s="198">
        <f>+VCdata!AN37</f>
        <v>15.226402982381478</v>
      </c>
      <c r="AN58" s="198">
        <f>+VCdata!AO37</f>
        <v>13.811723514222448</v>
      </c>
      <c r="AO58" s="198">
        <f>+VCdata!AP37</f>
        <v>12.404955664209112</v>
      </c>
      <c r="AP58" s="198">
        <f>+VCdata!AQ37</f>
        <v>11.004905149673789</v>
      </c>
      <c r="AQ58" s="198">
        <f>+VCdata!AR37</f>
        <v>9.6061687578408872</v>
      </c>
      <c r="AR58" s="198">
        <f>+VCdata!AS37</f>
        <v>8.2092435480697858</v>
      </c>
      <c r="AS58" s="198">
        <f>+VCdata!AT37</f>
        <v>6.8170789292060725</v>
      </c>
      <c r="AT58" s="198">
        <f>+VCdata!AU37</f>
        <v>5.429498852395982</v>
      </c>
      <c r="AU58" s="198">
        <f>+VCdata!AV37</f>
        <v>4.0450790386211759</v>
      </c>
      <c r="AV58" s="198">
        <f>+VCdata!AW37</f>
        <v>2.6682080334660725</v>
      </c>
      <c r="AW58" s="198"/>
      <c r="AX58" s="198"/>
      <c r="AY58" s="198"/>
      <c r="AZ58" s="198"/>
      <c r="BA58" s="198"/>
      <c r="BB58" s="198"/>
      <c r="BC58" s="198"/>
      <c r="BD58" s="198"/>
      <c r="BE58" s="198"/>
      <c r="BF58" s="198"/>
    </row>
    <row r="59" spans="1:58" s="196" customFormat="1" ht="15" customHeight="1" x14ac:dyDescent="0.15">
      <c r="A59" s="195" t="s">
        <v>363</v>
      </c>
      <c r="B59" s="197" t="s">
        <v>52</v>
      </c>
      <c r="C59" s="196" t="s">
        <v>443</v>
      </c>
      <c r="D59" s="195" t="s">
        <v>346</v>
      </c>
      <c r="E59" s="195" t="s">
        <v>264</v>
      </c>
      <c r="F59" s="199" t="s">
        <v>347</v>
      </c>
      <c r="G59" s="195" t="s">
        <v>338</v>
      </c>
      <c r="T59" s="198">
        <f>+VCdata!U38</f>
        <v>52.468480173328146</v>
      </c>
      <c r="U59" s="198">
        <f>+VCdata!V38</f>
        <v>51.834273247294412</v>
      </c>
      <c r="V59" s="198">
        <f>+VCdata!W38</f>
        <v>49.886930841590711</v>
      </c>
      <c r="W59" s="198">
        <f>+VCdata!X38</f>
        <v>49.600008778557786</v>
      </c>
      <c r="X59" s="198">
        <f>+VCdata!Y38</f>
        <v>48.621451677039367</v>
      </c>
      <c r="Y59" s="198">
        <f>+VCdata!Z38</f>
        <v>46.997017282914449</v>
      </c>
      <c r="Z59" s="198">
        <f>+VCdata!AA38</f>
        <v>44.91912218701053</v>
      </c>
      <c r="AA59" s="198">
        <f>+VCdata!AB38</f>
        <v>42.297298551801205</v>
      </c>
      <c r="AB59" s="198">
        <f>+VCdata!AC38</f>
        <v>39.750255167297283</v>
      </c>
      <c r="AC59" s="198">
        <f>+VCdata!AD38</f>
        <v>37.980260507976524</v>
      </c>
      <c r="AD59" s="198">
        <f>+VCdata!AE38</f>
        <v>35.793315193497058</v>
      </c>
      <c r="AE59" s="198">
        <f>+VCdata!AF38</f>
        <v>33.638027762498844</v>
      </c>
      <c r="AF59" s="198">
        <f>+VCdata!AG38</f>
        <v>31.663946323897822</v>
      </c>
      <c r="AG59" s="198">
        <f>+VCdata!AH38</f>
        <v>29.884312116424898</v>
      </c>
      <c r="AH59" s="198">
        <f>+VCdata!AI38</f>
        <v>27.085995893612427</v>
      </c>
      <c r="AI59" s="198">
        <f>+VCdata!AJ38</f>
        <v>24.483085804889583</v>
      </c>
      <c r="AJ59" s="198">
        <f>+VCdata!AK38</f>
        <v>22.001655366973093</v>
      </c>
      <c r="AK59" s="198">
        <f>+VCdata!AL38</f>
        <v>19.456208606155759</v>
      </c>
      <c r="AL59" s="198">
        <f>+VCdata!AM38</f>
        <v>17.090141208912151</v>
      </c>
      <c r="AM59" s="198">
        <f>+VCdata!AN38</f>
        <v>15.618848911253133</v>
      </c>
      <c r="AN59" s="198">
        <f>+VCdata!AO38</f>
        <v>14.161338249454486</v>
      </c>
      <c r="AO59" s="198">
        <f>+VCdata!AP38</f>
        <v>12.712280791411615</v>
      </c>
      <c r="AP59" s="198">
        <f>+VCdata!AQ38</f>
        <v>11.270349870016386</v>
      </c>
      <c r="AQ59" s="198">
        <f>+VCdata!AR38</f>
        <v>9.8297940012451193</v>
      </c>
      <c r="AR59" s="198">
        <f>+VCdata!AS38</f>
        <v>8.3911961142119083</v>
      </c>
      <c r="AS59" s="198">
        <f>+VCdata!AT38</f>
        <v>6.9576703933771133</v>
      </c>
      <c r="AT59" s="198">
        <f>+VCdata!AU38</f>
        <v>5.5290234975426342</v>
      </c>
      <c r="AU59" s="198">
        <f>+VCdata!AV38</f>
        <v>4.1038325822458326</v>
      </c>
      <c r="AV59" s="198">
        <f>+VCdata!AW38</f>
        <v>2.6864565320363587</v>
      </c>
      <c r="AW59" s="198"/>
      <c r="AX59" s="198"/>
      <c r="AY59" s="198"/>
      <c r="AZ59" s="198"/>
      <c r="BA59" s="198"/>
      <c r="BB59" s="198"/>
      <c r="BC59" s="198"/>
      <c r="BD59" s="198"/>
      <c r="BE59" s="198"/>
      <c r="BF59" s="198"/>
    </row>
    <row r="60" spans="1:58" s="196" customFormat="1" ht="15" customHeight="1" x14ac:dyDescent="0.15">
      <c r="A60" s="195" t="s">
        <v>363</v>
      </c>
      <c r="B60" s="197" t="s">
        <v>52</v>
      </c>
      <c r="C60" s="196" t="s">
        <v>336</v>
      </c>
      <c r="D60" s="195" t="s">
        <v>346</v>
      </c>
      <c r="E60" s="195" t="s">
        <v>264</v>
      </c>
      <c r="F60" s="199" t="s">
        <v>347</v>
      </c>
      <c r="G60" s="195" t="s">
        <v>338</v>
      </c>
      <c r="T60" s="198">
        <f>+VCdata!U39</f>
        <v>50.556166012618981</v>
      </c>
      <c r="U60" s="198">
        <f>+VCdata!V39</f>
        <v>50.556166012618981</v>
      </c>
      <c r="V60" s="198">
        <f>+VCdata!W39</f>
        <v>48.485924798294157</v>
      </c>
      <c r="W60" s="198">
        <f>+VCdata!X39</f>
        <v>46.246895614907402</v>
      </c>
      <c r="X60" s="198">
        <f>+VCdata!Y39</f>
        <v>43.719958323337451</v>
      </c>
      <c r="Y60" s="198">
        <f>+VCdata!Z39</f>
        <v>41.102880199203817</v>
      </c>
      <c r="Z60" s="198">
        <f>+VCdata!AA39</f>
        <v>38.266039148619399</v>
      </c>
      <c r="AA60" s="198">
        <f>+VCdata!AB39</f>
        <v>35.561317294938647</v>
      </c>
      <c r="AB60" s="198">
        <f>+VCdata!AC39</f>
        <v>32.939610624822578</v>
      </c>
      <c r="AC60" s="198">
        <f>+VCdata!AD39</f>
        <v>31.170279186033095</v>
      </c>
      <c r="AD60" s="198">
        <f>+VCdata!AE39</f>
        <v>29.473772160971986</v>
      </c>
      <c r="AE60" s="198">
        <f>+VCdata!AF39</f>
        <v>27.60054941654279</v>
      </c>
      <c r="AF60" s="198">
        <f>+VCdata!AG39</f>
        <v>25.698691615869592</v>
      </c>
      <c r="AG60" s="198">
        <f>+VCdata!AH39</f>
        <v>24.687548843752467</v>
      </c>
      <c r="AH60" s="198">
        <f>+VCdata!AI39</f>
        <v>23.811149651235329</v>
      </c>
      <c r="AI60" s="198">
        <f>+VCdata!AJ39</f>
        <v>22.842655036994422</v>
      </c>
      <c r="AJ60" s="198">
        <f>+VCdata!AK39</f>
        <v>21.111303255168938</v>
      </c>
      <c r="AK60" s="198">
        <f>+VCdata!AL39</f>
        <v>19.276681169066975</v>
      </c>
      <c r="AL60" s="198">
        <f>+VCdata!AM39</f>
        <v>17.342208966712004</v>
      </c>
      <c r="AM60" s="198">
        <f>+VCdata!AN39</f>
        <v>16.000931051201224</v>
      </c>
      <c r="AN60" s="198">
        <f>+VCdata!AO39</f>
        <v>14.643459547436931</v>
      </c>
      <c r="AO60" s="198">
        <f>+VCdata!AP39</f>
        <v>13.268249174315297</v>
      </c>
      <c r="AP60" s="198">
        <f>+VCdata!AQ39</f>
        <v>11.872891450297741</v>
      </c>
      <c r="AQ60" s="198">
        <f>+VCdata!AR39</f>
        <v>10.458192915228926</v>
      </c>
      <c r="AR60" s="198">
        <f>+VCdata!AS39</f>
        <v>8.9692593869147874</v>
      </c>
      <c r="AS60" s="198">
        <f>+VCdata!AT39</f>
        <v>7.4821263632599928</v>
      </c>
      <c r="AT60" s="198">
        <f>+VCdata!AU39</f>
        <v>5.9958809959232831</v>
      </c>
      <c r="AU60" s="198">
        <f>+VCdata!AV39</f>
        <v>4.5113324934803263</v>
      </c>
      <c r="AV60" s="198">
        <f>+VCdata!AW39</f>
        <v>3.0293459231212592</v>
      </c>
      <c r="AW60" s="198"/>
      <c r="AX60" s="198"/>
      <c r="AY60" s="198"/>
      <c r="AZ60" s="198"/>
      <c r="BA60" s="198"/>
      <c r="BB60" s="198"/>
      <c r="BC60" s="198"/>
      <c r="BD60" s="198"/>
      <c r="BE60" s="198"/>
      <c r="BF60" s="198"/>
    </row>
    <row r="61" spans="1:58" s="196" customFormat="1" ht="15" customHeight="1" x14ac:dyDescent="0.15">
      <c r="A61" s="195" t="s">
        <v>363</v>
      </c>
      <c r="B61" s="197" t="s">
        <v>52</v>
      </c>
      <c r="C61" s="196" t="s">
        <v>234</v>
      </c>
      <c r="D61" s="195" t="s">
        <v>346</v>
      </c>
      <c r="E61" s="195" t="s">
        <v>264</v>
      </c>
      <c r="F61" s="199" t="s">
        <v>347</v>
      </c>
      <c r="G61" s="195" t="s">
        <v>338</v>
      </c>
      <c r="T61" s="198">
        <f>+VCdata!U40</f>
        <v>49.787161887125556</v>
      </c>
      <c r="U61" s="198">
        <f>+VCdata!V40</f>
        <v>49.635790572686332</v>
      </c>
      <c r="V61" s="198">
        <f>+VCdata!W40</f>
        <v>47.494755992368084</v>
      </c>
      <c r="W61" s="198">
        <f>+VCdata!X40</f>
        <v>46.477785146486291</v>
      </c>
      <c r="X61" s="198">
        <f>+VCdata!Y40</f>
        <v>45.072649395466165</v>
      </c>
      <c r="Y61" s="198">
        <f>+VCdata!Z40</f>
        <v>43.100372035832542</v>
      </c>
      <c r="Z61" s="198">
        <f>+VCdata!AA40</f>
        <v>40.839865595195882</v>
      </c>
      <c r="AA61" s="198">
        <f>+VCdata!AB40</f>
        <v>38.366349267553119</v>
      </c>
      <c r="AB61" s="198">
        <f>+VCdata!AC40</f>
        <v>35.957993283263932</v>
      </c>
      <c r="AC61" s="198">
        <f>+VCdata!AD40</f>
        <v>34.09112767051883</v>
      </c>
      <c r="AD61" s="198">
        <f>+VCdata!AE40</f>
        <v>32.298361487498674</v>
      </c>
      <c r="AE61" s="198">
        <f>+VCdata!AF40</f>
        <v>30.454549581407527</v>
      </c>
      <c r="AF61" s="198">
        <f>+VCdata!AG40</f>
        <v>28.630099872806028</v>
      </c>
      <c r="AG61" s="198">
        <f>+VCdata!AH40</f>
        <v>27.260849647041255</v>
      </c>
      <c r="AH61" s="198">
        <f>+VCdata!AI40</f>
        <v>25.359079658457745</v>
      </c>
      <c r="AI61" s="198">
        <f>+VCdata!AJ40</f>
        <v>23.50944523039351</v>
      </c>
      <c r="AJ61" s="198">
        <f>+VCdata!AK40</f>
        <v>21.400500886052281</v>
      </c>
      <c r="AK61" s="198">
        <f>+VCdata!AL40</f>
        <v>19.232853428123899</v>
      </c>
      <c r="AL61" s="198">
        <f>+VCdata!AM40</f>
        <v>17.085635308743289</v>
      </c>
      <c r="AM61" s="198">
        <f>+VCdata!AN40</f>
        <v>15.687944171317348</v>
      </c>
      <c r="AN61" s="198">
        <f>+VCdata!AO40</f>
        <v>14.285856678824954</v>
      </c>
      <c r="AO61" s="198">
        <f>+VCdata!AP40</f>
        <v>12.880263995763809</v>
      </c>
      <c r="AP61" s="198">
        <f>+VCdata!AQ40</f>
        <v>11.468449233226684</v>
      </c>
      <c r="AQ61" s="198">
        <f>+VCdata!AR40</f>
        <v>10.048513708446679</v>
      </c>
      <c r="AR61" s="198">
        <f>+VCdata!AS40</f>
        <v>8.5977416164411284</v>
      </c>
      <c r="AS61" s="198">
        <f>+VCdata!AT40</f>
        <v>7.1517241587177081</v>
      </c>
      <c r="AT61" s="198">
        <f>+VCdata!AU40</f>
        <v>5.7090753967861989</v>
      </c>
      <c r="AU61" s="198">
        <f>+VCdata!AV40</f>
        <v>4.2692843440337223</v>
      </c>
      <c r="AV61" s="198">
        <f>+VCdata!AW40</f>
        <v>2.83462241028462</v>
      </c>
      <c r="AW61" s="198"/>
      <c r="AX61" s="198"/>
      <c r="AY61" s="198"/>
      <c r="AZ61" s="198"/>
      <c r="BA61" s="198"/>
      <c r="BB61" s="198"/>
      <c r="BC61" s="198"/>
      <c r="BD61" s="198"/>
      <c r="BE61" s="198"/>
      <c r="BF61" s="198"/>
    </row>
    <row r="62" spans="1:58" s="196" customFormat="1" ht="15" customHeight="1" x14ac:dyDescent="0.15">
      <c r="A62" s="195" t="s">
        <v>363</v>
      </c>
      <c r="B62" s="197" t="s">
        <v>52</v>
      </c>
      <c r="C62" s="196" t="s">
        <v>335</v>
      </c>
      <c r="D62" s="195" t="s">
        <v>346</v>
      </c>
      <c r="E62" s="195" t="s">
        <v>264</v>
      </c>
      <c r="F62" s="199" t="s">
        <v>347</v>
      </c>
      <c r="G62" s="195" t="s">
        <v>339</v>
      </c>
      <c r="T62" s="198">
        <f>+VCdata!U41</f>
        <v>62.804640365942745</v>
      </c>
      <c r="U62" s="198">
        <f>+VCdata!V41</f>
        <v>62.804640365942745</v>
      </c>
      <c r="V62" s="198">
        <f>+VCdata!W41</f>
        <v>59.500614343593405</v>
      </c>
      <c r="W62" s="198">
        <f>+VCdata!X41</f>
        <v>57.540036211095938</v>
      </c>
      <c r="X62" s="198">
        <f>+VCdata!Y41</f>
        <v>55.129639845049894</v>
      </c>
      <c r="Y62" s="198">
        <f>+VCdata!Z41</f>
        <v>52.222581987324794</v>
      </c>
      <c r="Z62" s="198">
        <f>+VCdata!AA41</f>
        <v>49.23733271678941</v>
      </c>
      <c r="AA62" s="198">
        <f>+VCdata!AB41</f>
        <v>46.108732292295656</v>
      </c>
      <c r="AB62" s="198">
        <f>+VCdata!AC41</f>
        <v>43.114472940320965</v>
      </c>
      <c r="AC62" s="198">
        <f>+VCdata!AD41</f>
        <v>40.911421084565987</v>
      </c>
      <c r="AD62" s="198">
        <f>+VCdata!AE41</f>
        <v>38.481228058096576</v>
      </c>
      <c r="AE62" s="198">
        <f>+VCdata!AF41</f>
        <v>36.262125975788216</v>
      </c>
      <c r="AF62" s="198">
        <f>+VCdata!AG41</f>
        <v>34.003175323526598</v>
      </c>
      <c r="AG62" s="198">
        <f>+VCdata!AH41</f>
        <v>31.870760486390282</v>
      </c>
      <c r="AH62" s="198">
        <f>+VCdata!AI41</f>
        <v>29.081186770040524</v>
      </c>
      <c r="AI62" s="198">
        <f>+VCdata!AJ41</f>
        <v>26.407293498037308</v>
      </c>
      <c r="AJ62" s="198">
        <f>+VCdata!AK41</f>
        <v>23.86493858795502</v>
      </c>
      <c r="AK62" s="198">
        <f>+VCdata!AL41</f>
        <v>21.321707230827609</v>
      </c>
      <c r="AL62" s="198">
        <f>+VCdata!AM41</f>
        <v>18.812890515779426</v>
      </c>
      <c r="AM62" s="198">
        <f>+VCdata!AN41</f>
        <v>17.192863288627219</v>
      </c>
      <c r="AN62" s="198">
        <f>+VCdata!AO41</f>
        <v>15.595590145893858</v>
      </c>
      <c r="AO62" s="198">
        <f>+VCdata!AP41</f>
        <v>14.012499313045378</v>
      </c>
      <c r="AP62" s="198">
        <f>+VCdata!AQ41</f>
        <v>12.441504961195854</v>
      </c>
      <c r="AQ62" s="198">
        <f>+VCdata!AR41</f>
        <v>10.872673434684051</v>
      </c>
      <c r="AR62" s="198">
        <f>+VCdata!AS41</f>
        <v>9.3069770729229422</v>
      </c>
      <c r="AS62" s="198">
        <f>+VCdata!AT41</f>
        <v>7.749857697412244</v>
      </c>
      <c r="AT62" s="198">
        <f>+VCdata!AU41</f>
        <v>6.200989731594519</v>
      </c>
      <c r="AU62" s="198">
        <f>+VCdata!AV41</f>
        <v>4.6578088670857829</v>
      </c>
      <c r="AV62" s="198">
        <f>+VCdata!AW41</f>
        <v>3.1282131338264292</v>
      </c>
      <c r="AW62" s="198"/>
      <c r="AX62" s="198"/>
      <c r="AY62" s="198"/>
      <c r="AZ62" s="198"/>
      <c r="BA62" s="198"/>
      <c r="BB62" s="198"/>
      <c r="BC62" s="198"/>
      <c r="BD62" s="198"/>
      <c r="BE62" s="198"/>
      <c r="BF62" s="198"/>
    </row>
    <row r="63" spans="1:58" s="196" customFormat="1" ht="15" customHeight="1" x14ac:dyDescent="0.15">
      <c r="A63" s="195" t="s">
        <v>363</v>
      </c>
      <c r="B63" s="197" t="s">
        <v>52</v>
      </c>
      <c r="C63" s="196" t="s">
        <v>443</v>
      </c>
      <c r="D63" s="195" t="s">
        <v>346</v>
      </c>
      <c r="E63" s="195" t="s">
        <v>264</v>
      </c>
      <c r="F63" s="199" t="s">
        <v>347</v>
      </c>
      <c r="G63" s="195" t="s">
        <v>339</v>
      </c>
      <c r="T63" s="198">
        <f>+VCdata!U42</f>
        <v>74.908843588516874</v>
      </c>
      <c r="U63" s="198">
        <f>+VCdata!V42</f>
        <v>74.908103177248137</v>
      </c>
      <c r="V63" s="198">
        <f>+VCdata!W42</f>
        <v>72.072461006473759</v>
      </c>
      <c r="W63" s="198">
        <f>+VCdata!X42</f>
        <v>70.034655430746142</v>
      </c>
      <c r="X63" s="198">
        <f>+VCdata!Y42</f>
        <v>67.198242723598796</v>
      </c>
      <c r="Y63" s="198">
        <f>+VCdata!Z42</f>
        <v>63.615792835072497</v>
      </c>
      <c r="Z63" s="198">
        <f>+VCdata!AA42</f>
        <v>59.606582461448966</v>
      </c>
      <c r="AA63" s="198">
        <f>+VCdata!AB42</f>
        <v>55.090852923622073</v>
      </c>
      <c r="AB63" s="198">
        <f>+VCdata!AC42</f>
        <v>50.789094672968247</v>
      </c>
      <c r="AC63" s="198">
        <f>+VCdata!AD42</f>
        <v>47.466363190057557</v>
      </c>
      <c r="AD63" s="198">
        <f>+VCdata!AE42</f>
        <v>43.677245374296248</v>
      </c>
      <c r="AE63" s="198">
        <f>+VCdata!AF42</f>
        <v>40.076327334561583</v>
      </c>
      <c r="AF63" s="198">
        <f>+VCdata!AG42</f>
        <v>36.821449710335884</v>
      </c>
      <c r="AG63" s="198">
        <f>+VCdata!AH42</f>
        <v>34.091693094730985</v>
      </c>
      <c r="AH63" s="198">
        <f>+VCdata!AI42</f>
        <v>30.8411010389685</v>
      </c>
      <c r="AI63" s="198">
        <f>+VCdata!AJ42</f>
        <v>27.83797927033547</v>
      </c>
      <c r="AJ63" s="198">
        <f>+VCdata!AK42</f>
        <v>25.008806667947962</v>
      </c>
      <c r="AK63" s="198">
        <f>+VCdata!AL42</f>
        <v>22.078601221985206</v>
      </c>
      <c r="AL63" s="198">
        <f>+VCdata!AM42</f>
        <v>19.398043566157753</v>
      </c>
      <c r="AM63" s="198">
        <f>+VCdata!AN42</f>
        <v>17.719097312928117</v>
      </c>
      <c r="AN63" s="198">
        <f>+VCdata!AO42</f>
        <v>16.064202736335702</v>
      </c>
      <c r="AO63" s="198">
        <f>+VCdata!AP42</f>
        <v>14.424220463631809</v>
      </c>
      <c r="AP63" s="198">
        <f>+VCdata!AQ42</f>
        <v>12.796897453447663</v>
      </c>
      <c r="AQ63" s="198">
        <f>+VCdata!AR42</f>
        <v>11.17181977682168</v>
      </c>
      <c r="AR63" s="198">
        <f>+VCdata!AS42</f>
        <v>9.5500770745987715</v>
      </c>
      <c r="AS63" s="198">
        <f>+VCdata!AT42</f>
        <v>7.93733474271259</v>
      </c>
      <c r="AT63" s="198">
        <f>+VCdata!AU42</f>
        <v>6.3332436393969855</v>
      </c>
      <c r="AU63" s="198">
        <f>+VCdata!AV42</f>
        <v>4.7352425100057252</v>
      </c>
      <c r="AV63" s="198">
        <f>+VCdata!AW42</f>
        <v>3.1511853820931206</v>
      </c>
      <c r="AW63" s="198"/>
      <c r="AX63" s="198"/>
      <c r="AY63" s="198"/>
      <c r="AZ63" s="198"/>
      <c r="BA63" s="198"/>
      <c r="BB63" s="198"/>
      <c r="BC63" s="198"/>
      <c r="BD63" s="198"/>
      <c r="BE63" s="198"/>
      <c r="BF63" s="198"/>
    </row>
    <row r="64" spans="1:58" s="196" customFormat="1" ht="15" customHeight="1" x14ac:dyDescent="0.15">
      <c r="A64" s="195" t="s">
        <v>363</v>
      </c>
      <c r="B64" s="197" t="s">
        <v>52</v>
      </c>
      <c r="C64" s="196" t="s">
        <v>336</v>
      </c>
      <c r="D64" s="195" t="s">
        <v>346</v>
      </c>
      <c r="E64" s="195" t="s">
        <v>264</v>
      </c>
      <c r="F64" s="199" t="s">
        <v>347</v>
      </c>
      <c r="G64" s="195" t="s">
        <v>339</v>
      </c>
      <c r="T64" s="198">
        <f>+VCdata!U43</f>
        <v>71.725075485889349</v>
      </c>
      <c r="U64" s="198">
        <f>+VCdata!V43</f>
        <v>71.725075485889349</v>
      </c>
      <c r="V64" s="198">
        <f>+VCdata!W43</f>
        <v>68.751031623793011</v>
      </c>
      <c r="W64" s="198">
        <f>+VCdata!X43</f>
        <v>65.439400378873188</v>
      </c>
      <c r="X64" s="198">
        <f>+VCdata!Y43</f>
        <v>61.738586504384728</v>
      </c>
      <c r="Y64" s="198">
        <f>+VCdata!Z43</f>
        <v>57.909577295950712</v>
      </c>
      <c r="Z64" s="198">
        <f>+VCdata!AA43</f>
        <v>53.780835243211875</v>
      </c>
      <c r="AA64" s="198">
        <f>+VCdata!AB43</f>
        <v>49.867443853489306</v>
      </c>
      <c r="AB64" s="198">
        <f>+VCdata!AC43</f>
        <v>46.090829456648216</v>
      </c>
      <c r="AC64" s="198">
        <f>+VCdata!AD43</f>
        <v>42.684610799519461</v>
      </c>
      <c r="AD64" s="198">
        <f>+VCdata!AE43</f>
        <v>39.49472788401706</v>
      </c>
      <c r="AE64" s="198">
        <f>+VCdata!AF43</f>
        <v>36.250506476910012</v>
      </c>
      <c r="AF64" s="198">
        <f>+VCdata!AG43</f>
        <v>33.134480310627993</v>
      </c>
      <c r="AG64" s="198">
        <f>+VCdata!AH43</f>
        <v>30.115946751173293</v>
      </c>
      <c r="AH64" s="198">
        <f>+VCdata!AI43</f>
        <v>27.688013960208117</v>
      </c>
      <c r="AI64" s="198">
        <f>+VCdata!AJ43</f>
        <v>25.426460463697786</v>
      </c>
      <c r="AJ64" s="198">
        <f>+VCdata!AK43</f>
        <v>23.48602286185697</v>
      </c>
      <c r="AK64" s="198">
        <f>+VCdata!AL43</f>
        <v>21.448300437402771</v>
      </c>
      <c r="AL64" s="198">
        <f>+VCdata!AM43</f>
        <v>19.299893626764643</v>
      </c>
      <c r="AM64" s="198">
        <f>+VCdata!AN43</f>
        <v>18.036385468004053</v>
      </c>
      <c r="AN64" s="198">
        <f>+VCdata!AO43</f>
        <v>16.721210923898653</v>
      </c>
      <c r="AO64" s="198">
        <f>+VCdata!AP43</f>
        <v>15.344797172444729</v>
      </c>
      <c r="AP64" s="198">
        <f>+VCdata!AQ43</f>
        <v>13.905372961947762</v>
      </c>
      <c r="AQ64" s="198">
        <f>+VCdata!AR43</f>
        <v>12.4069467000669</v>
      </c>
      <c r="AR64" s="198">
        <f>+VCdata!AS43</f>
        <v>10.671240817470713</v>
      </c>
      <c r="AS64" s="198">
        <f>+VCdata!AT43</f>
        <v>8.9394771183180683</v>
      </c>
      <c r="AT64" s="198">
        <f>+VCdata!AU43</f>
        <v>7.2098885014360263</v>
      </c>
      <c r="AU64" s="198">
        <f>+VCdata!AV43</f>
        <v>5.4841361047766473</v>
      </c>
      <c r="AV64" s="198">
        <f>+VCdata!AW43</f>
        <v>3.7638956649348358</v>
      </c>
      <c r="AW64" s="198"/>
      <c r="AX64" s="198"/>
      <c r="AY64" s="198"/>
      <c r="AZ64" s="198"/>
      <c r="BA64" s="198"/>
      <c r="BB64" s="198"/>
      <c r="BC64" s="198"/>
      <c r="BD64" s="198"/>
      <c r="BE64" s="198"/>
      <c r="BF64" s="198"/>
    </row>
    <row r="65" spans="1:58" s="196" customFormat="1" ht="15" customHeight="1" x14ac:dyDescent="0.15">
      <c r="A65" s="195" t="s">
        <v>363</v>
      </c>
      <c r="B65" s="197" t="s">
        <v>52</v>
      </c>
      <c r="C65" s="196" t="s">
        <v>234</v>
      </c>
      <c r="D65" s="195" t="s">
        <v>346</v>
      </c>
      <c r="E65" s="195" t="s">
        <v>264</v>
      </c>
      <c r="F65" s="199" t="s">
        <v>347</v>
      </c>
      <c r="G65" s="195" t="s">
        <v>339</v>
      </c>
      <c r="T65" s="198">
        <f>+VCdata!U44</f>
        <v>69.807318539515819</v>
      </c>
      <c r="U65" s="198">
        <f>+VCdata!V44</f>
        <v>69.807318539515819</v>
      </c>
      <c r="V65" s="198">
        <f>+VCdata!W44</f>
        <v>67.379957891467541</v>
      </c>
      <c r="W65" s="198">
        <f>+VCdata!X44</f>
        <v>65.008418755230991</v>
      </c>
      <c r="X65" s="198">
        <f>+VCdata!Y44</f>
        <v>61.772925709745344</v>
      </c>
      <c r="Y65" s="198">
        <f>+VCdata!Z44</f>
        <v>58.358048765187412</v>
      </c>
      <c r="Z65" s="198">
        <f>+VCdata!AA44</f>
        <v>54.673797351605486</v>
      </c>
      <c r="AA65" s="198">
        <f>+VCdata!AB44</f>
        <v>50.823272737343629</v>
      </c>
      <c r="AB65" s="198">
        <f>+VCdata!AC44</f>
        <v>47.127854099353229</v>
      </c>
      <c r="AC65" s="198">
        <f>+VCdata!AD44</f>
        <v>44.26112243439146</v>
      </c>
      <c r="AD65" s="198">
        <f>+VCdata!AE44</f>
        <v>41.045755700772773</v>
      </c>
      <c r="AE65" s="198">
        <f>+VCdata!AF44</f>
        <v>37.914480472861811</v>
      </c>
      <c r="AF65" s="198">
        <f>+VCdata!AG44</f>
        <v>34.94462636091346</v>
      </c>
      <c r="AG65" s="198">
        <f>+VCdata!AH44</f>
        <v>32.259813763900915</v>
      </c>
      <c r="AH65" s="198">
        <f>+VCdata!AI44</f>
        <v>29.385911442348601</v>
      </c>
      <c r="AI65" s="198">
        <f>+VCdata!AJ44</f>
        <v>26.700075605260221</v>
      </c>
      <c r="AJ65" s="198">
        <f>+VCdata!AK44</f>
        <v>24.226121109135104</v>
      </c>
      <c r="AK65" s="198">
        <f>+VCdata!AL44</f>
        <v>21.681093009405046</v>
      </c>
      <c r="AL65" s="198">
        <f>+VCdata!AM44</f>
        <v>19.217771231888161</v>
      </c>
      <c r="AM65" s="198">
        <f>+VCdata!AN44</f>
        <v>17.693659970751799</v>
      </c>
      <c r="AN65" s="198">
        <f>+VCdata!AO44</f>
        <v>16.175439881518695</v>
      </c>
      <c r="AO65" s="198">
        <f>+VCdata!AP44</f>
        <v>14.646779386464663</v>
      </c>
      <c r="AP65" s="198">
        <f>+VCdata!AQ44</f>
        <v>13.103973013580994</v>
      </c>
      <c r="AQ65" s="198">
        <f>+VCdata!AR44</f>
        <v>11.540940805292109</v>
      </c>
      <c r="AR65" s="198">
        <f>+VCdata!AS44</f>
        <v>9.8938217193206874</v>
      </c>
      <c r="AS65" s="198">
        <f>+VCdata!AT44</f>
        <v>8.2537208740874455</v>
      </c>
      <c r="AT65" s="198">
        <f>+VCdata!AU44</f>
        <v>6.6195367608549445</v>
      </c>
      <c r="AU65" s="198">
        <f>+VCdata!AV44</f>
        <v>4.9902993878909259</v>
      </c>
      <c r="AV65" s="198">
        <f>+VCdata!AW44</f>
        <v>3.3713456736161413</v>
      </c>
      <c r="AW65" s="198"/>
      <c r="AX65" s="198"/>
      <c r="AY65" s="198"/>
      <c r="AZ65" s="198"/>
      <c r="BA65" s="198"/>
      <c r="BB65" s="198"/>
      <c r="BC65" s="198"/>
      <c r="BD65" s="198"/>
      <c r="BE65" s="198"/>
      <c r="BF65" s="198"/>
    </row>
    <row r="66" spans="1:58" s="196" customFormat="1" ht="15" customHeight="1" x14ac:dyDescent="0.15">
      <c r="A66" s="195" t="s">
        <v>363</v>
      </c>
      <c r="B66" s="197" t="s">
        <v>52</v>
      </c>
      <c r="C66" s="196" t="s">
        <v>335</v>
      </c>
      <c r="D66" s="195" t="s">
        <v>346</v>
      </c>
      <c r="E66" s="195" t="s">
        <v>264</v>
      </c>
      <c r="F66" s="199" t="s">
        <v>347</v>
      </c>
      <c r="G66" s="195" t="s">
        <v>376</v>
      </c>
      <c r="T66" s="198">
        <f>+VCdata!U45</f>
        <v>32.799458699072275</v>
      </c>
      <c r="U66" s="198">
        <f>+VCdata!V45</f>
        <v>32.799458699072275</v>
      </c>
      <c r="V66" s="198">
        <f>+VCdata!W45</f>
        <v>32.464157595067405</v>
      </c>
      <c r="W66" s="198">
        <f>+VCdata!X45</f>
        <v>32.464157595067405</v>
      </c>
      <c r="X66" s="198">
        <f>+VCdata!Y45</f>
        <v>32.151170825207132</v>
      </c>
      <c r="Y66" s="198">
        <f>+VCdata!Z45</f>
        <v>31.401544197149661</v>
      </c>
      <c r="Z66" s="198">
        <f>+VCdata!AA45</f>
        <v>30.493234916729904</v>
      </c>
      <c r="AA66" s="198">
        <f>+VCdata!AB45</f>
        <v>29.329126928001084</v>
      </c>
      <c r="AB66" s="198">
        <f>+VCdata!AC45</f>
        <v>28.120945960789452</v>
      </c>
      <c r="AC66" s="198">
        <f>+VCdata!AD45</f>
        <v>25.3795449422262</v>
      </c>
      <c r="AD66" s="198">
        <f>+VCdata!AE45</f>
        <v>22.767751797084408</v>
      </c>
      <c r="AE66" s="198">
        <f>+VCdata!AF45</f>
        <v>20.554498205504551</v>
      </c>
      <c r="AF66" s="198">
        <f>+VCdata!AG45</f>
        <v>18.500564325862399</v>
      </c>
      <c r="AG66" s="198">
        <f>+VCdata!AH45</f>
        <v>16.691364687139075</v>
      </c>
      <c r="AH66" s="198">
        <f>+VCdata!AI45</f>
        <v>15.233107272477572</v>
      </c>
      <c r="AI66" s="198">
        <f>+VCdata!AJ45</f>
        <v>13.837272127588674</v>
      </c>
      <c r="AJ66" s="198">
        <f>+VCdata!AK45</f>
        <v>12.502557475136197</v>
      </c>
      <c r="AK66" s="198">
        <f>+VCdata!AL45</f>
        <v>11.171010843210103</v>
      </c>
      <c r="AL66" s="198">
        <f>+VCdata!AM45</f>
        <v>9.8531201616499775</v>
      </c>
      <c r="AM66" s="198">
        <f>+VCdata!AN45</f>
        <v>9.0069602765590613</v>
      </c>
      <c r="AN66" s="198">
        <f>+VCdata!AO45</f>
        <v>8.1702799197616116</v>
      </c>
      <c r="AO66" s="198">
        <f>+VCdata!AP45</f>
        <v>7.3395733407333337</v>
      </c>
      <c r="AP66" s="198">
        <f>+VCdata!AQ45</f>
        <v>6.5140057517230057</v>
      </c>
      <c r="AQ66" s="198">
        <f>+VCdata!AR45</f>
        <v>5.6895271446334723</v>
      </c>
      <c r="AR66" s="198">
        <f>+VCdata!AS45</f>
        <v>4.8664966435682651</v>
      </c>
      <c r="AS66" s="198">
        <f>+VCdata!AT45</f>
        <v>4.0471375682652617</v>
      </c>
      <c r="AT66" s="198">
        <f>+VCdata!AU45</f>
        <v>3.2313179133204781</v>
      </c>
      <c r="AU66" s="198">
        <f>+VCdata!AV45</f>
        <v>2.4179384672031845</v>
      </c>
      <c r="AV66" s="198">
        <f>+VCdata!AW45</f>
        <v>1.6103876465787832</v>
      </c>
      <c r="AW66" s="198"/>
      <c r="AX66" s="198"/>
      <c r="AY66" s="198"/>
      <c r="AZ66" s="198"/>
      <c r="BA66" s="198"/>
      <c r="BB66" s="198"/>
      <c r="BC66" s="198"/>
      <c r="BD66" s="198"/>
      <c r="BE66" s="198"/>
      <c r="BF66" s="198"/>
    </row>
    <row r="67" spans="1:58" s="196" customFormat="1" ht="15" customHeight="1" x14ac:dyDescent="0.15">
      <c r="A67" s="195" t="s">
        <v>363</v>
      </c>
      <c r="B67" s="197" t="s">
        <v>52</v>
      </c>
      <c r="C67" s="196" t="s">
        <v>443</v>
      </c>
      <c r="D67" s="195" t="s">
        <v>346</v>
      </c>
      <c r="E67" s="195" t="s">
        <v>264</v>
      </c>
      <c r="F67" s="199" t="s">
        <v>347</v>
      </c>
      <c r="G67" s="195" t="s">
        <v>376</v>
      </c>
      <c r="T67" s="198">
        <f>+VCdata!U46</f>
        <v>43.219753786618455</v>
      </c>
      <c r="U67" s="198">
        <f>+VCdata!V46</f>
        <v>43.219753786618455</v>
      </c>
      <c r="V67" s="198">
        <f>+VCdata!W46</f>
        <v>43.219753786618455</v>
      </c>
      <c r="W67" s="198">
        <f>+VCdata!X46</f>
        <v>43.219753786618455</v>
      </c>
      <c r="X67" s="198">
        <f>+VCdata!Y46</f>
        <v>42.314571326905245</v>
      </c>
      <c r="Y67" s="198">
        <f>+VCdata!Z46</f>
        <v>40.693178823369792</v>
      </c>
      <c r="Z67" s="198">
        <f>+VCdata!AA46</f>
        <v>38.614279435249252</v>
      </c>
      <c r="AA67" s="198">
        <f>+VCdata!AB46</f>
        <v>35.960405882207397</v>
      </c>
      <c r="AB67" s="198">
        <f>+VCdata!AC46</f>
        <v>33.489235382608214</v>
      </c>
      <c r="AC67" s="198">
        <f>+VCdata!AD46</f>
        <v>29.409707658799501</v>
      </c>
      <c r="AD67" s="198">
        <f>+VCdata!AE46</f>
        <v>25.688932642965625</v>
      </c>
      <c r="AE67" s="198">
        <f>+VCdata!AF46</f>
        <v>22.557411602039185</v>
      </c>
      <c r="AF67" s="198">
        <f>+VCdata!AG46</f>
        <v>20.012689094960496</v>
      </c>
      <c r="AG67" s="198">
        <f>+VCdata!AH46</f>
        <v>17.835980066777797</v>
      </c>
      <c r="AH67" s="198">
        <f>+VCdata!AI46</f>
        <v>16.148894849486684</v>
      </c>
      <c r="AI67" s="198">
        <f>+VCdata!AJ46</f>
        <v>14.583071508833861</v>
      </c>
      <c r="AJ67" s="198">
        <f>+VCdata!AK46</f>
        <v>13.088810796584651</v>
      </c>
      <c r="AK67" s="198">
        <f>+VCdata!AL46</f>
        <v>11.52289959025445</v>
      </c>
      <c r="AL67" s="198">
        <f>+VCdata!AM46</f>
        <v>10.111223203116145</v>
      </c>
      <c r="AM67" s="198">
        <f>+VCdata!AN46</f>
        <v>9.2377304652800571</v>
      </c>
      <c r="AN67" s="198">
        <f>+VCdata!AO46</f>
        <v>8.3737854014295827</v>
      </c>
      <c r="AO67" s="198">
        <f>+VCdata!AP46</f>
        <v>7.5159709256629386</v>
      </c>
      <c r="AP67" s="198">
        <f>+VCdata!AQ46</f>
        <v>6.6634672821163061</v>
      </c>
      <c r="AQ67" s="198">
        <f>+VCdata!AR46</f>
        <v>5.8120612872913462</v>
      </c>
      <c r="AR67" s="198">
        <f>+VCdata!AS46</f>
        <v>4.9621878273558497</v>
      </c>
      <c r="AS67" s="198">
        <f>+VCdata!AT46</f>
        <v>4.116154118475702</v>
      </c>
      <c r="AT67" s="198">
        <f>+VCdata!AU46</f>
        <v>3.2738167100813693</v>
      </c>
      <c r="AU67" s="198">
        <f>+VCdata!AV46</f>
        <v>2.4341124796920006</v>
      </c>
      <c r="AV67" s="198">
        <f>+VCdata!AW46</f>
        <v>1.6002956529359043</v>
      </c>
      <c r="AW67" s="198"/>
      <c r="AX67" s="198"/>
      <c r="AY67" s="198"/>
      <c r="AZ67" s="198"/>
      <c r="BA67" s="198"/>
      <c r="BB67" s="198"/>
      <c r="BC67" s="198"/>
      <c r="BD67" s="198"/>
      <c r="BE67" s="198"/>
      <c r="BF67" s="198"/>
    </row>
    <row r="68" spans="1:58" s="196" customFormat="1" ht="15" customHeight="1" x14ac:dyDescent="0.15">
      <c r="A68" s="195" t="s">
        <v>363</v>
      </c>
      <c r="B68" s="197" t="s">
        <v>52</v>
      </c>
      <c r="C68" s="196" t="s">
        <v>336</v>
      </c>
      <c r="D68" s="195" t="s">
        <v>346</v>
      </c>
      <c r="E68" s="195" t="s">
        <v>264</v>
      </c>
      <c r="F68" s="199" t="s">
        <v>347</v>
      </c>
      <c r="G68" s="195" t="s">
        <v>376</v>
      </c>
      <c r="T68" s="198">
        <f>+VCdata!U47</f>
        <v>37.713064117150346</v>
      </c>
      <c r="U68" s="198">
        <f>+VCdata!V47</f>
        <v>37.713064117150346</v>
      </c>
      <c r="V68" s="198">
        <f>+VCdata!W47</f>
        <v>37.713064117150346</v>
      </c>
      <c r="W68" s="198">
        <f>+VCdata!X47</f>
        <v>37.713064117150346</v>
      </c>
      <c r="X68" s="198">
        <f>+VCdata!Y47</f>
        <v>37.713064117150346</v>
      </c>
      <c r="Y68" s="198">
        <f>+VCdata!Z47</f>
        <v>37.713064117150346</v>
      </c>
      <c r="Z68" s="198">
        <f>+VCdata!AA47</f>
        <v>35.332286061234164</v>
      </c>
      <c r="AA68" s="198">
        <f>+VCdata!AB47</f>
        <v>33.109636194533074</v>
      </c>
      <c r="AB68" s="198">
        <f>+VCdata!AC47</f>
        <v>30.823056812926879</v>
      </c>
      <c r="AC68" s="198">
        <f>+VCdata!AD47</f>
        <v>27.776586321480387</v>
      </c>
      <c r="AD68" s="198">
        <f>+VCdata!AE47</f>
        <v>25.280267896459605</v>
      </c>
      <c r="AE68" s="198">
        <f>+VCdata!AF47</f>
        <v>22.733308906143996</v>
      </c>
      <c r="AF68" s="198">
        <f>+VCdata!AG47</f>
        <v>20.386090089452036</v>
      </c>
      <c r="AG68" s="198">
        <f>+VCdata!AH47</f>
        <v>18.144128154433993</v>
      </c>
      <c r="AH68" s="198">
        <f>+VCdata!AI47</f>
        <v>16.440510136028195</v>
      </c>
      <c r="AI68" s="198">
        <f>+VCdata!AJ47</f>
        <v>14.903269778521739</v>
      </c>
      <c r="AJ68" s="198">
        <f>+VCdata!AK47</f>
        <v>13.476425062737817</v>
      </c>
      <c r="AK68" s="198">
        <f>+VCdata!AL47</f>
        <v>12.046416180010205</v>
      </c>
      <c r="AL68" s="198">
        <f>+VCdata!AM47</f>
        <v>10.609792797668984</v>
      </c>
      <c r="AM68" s="198">
        <f>+VCdata!AN47</f>
        <v>9.7322577369043994</v>
      </c>
      <c r="AN68" s="198">
        <f>+VCdata!AO47</f>
        <v>8.8547873753783115</v>
      </c>
      <c r="AO68" s="198">
        <f>+VCdata!AP47</f>
        <v>7.9781547761260567</v>
      </c>
      <c r="AP68" s="198">
        <f>+VCdata!AQ47</f>
        <v>7.101187841948092</v>
      </c>
      <c r="AQ68" s="198">
        <f>+VCdata!AR47</f>
        <v>6.2244007209730539</v>
      </c>
      <c r="AR68" s="198">
        <f>+VCdata!AS47</f>
        <v>5.3481512267224014</v>
      </c>
      <c r="AS68" s="198">
        <f>+VCdata!AT47</f>
        <v>4.4729711788710178</v>
      </c>
      <c r="AT68" s="198">
        <f>+VCdata!AU47</f>
        <v>3.5982301810646695</v>
      </c>
      <c r="AU68" s="198">
        <f>+VCdata!AV47</f>
        <v>2.7244515242532317</v>
      </c>
      <c r="AV68" s="198">
        <f>+VCdata!AW47</f>
        <v>1.8522327466329538</v>
      </c>
      <c r="AW68" s="198"/>
      <c r="AX68" s="198"/>
      <c r="AY68" s="198"/>
      <c r="AZ68" s="198"/>
      <c r="BA68" s="198"/>
      <c r="BB68" s="198"/>
      <c r="BC68" s="198"/>
      <c r="BD68" s="198"/>
      <c r="BE68" s="198"/>
      <c r="BF68" s="198"/>
    </row>
    <row r="69" spans="1:58" s="196" customFormat="1" ht="15" customHeight="1" x14ac:dyDescent="0.15">
      <c r="A69" s="195" t="s">
        <v>363</v>
      </c>
      <c r="B69" s="197" t="s">
        <v>52</v>
      </c>
      <c r="C69" s="196" t="s">
        <v>234</v>
      </c>
      <c r="D69" s="195" t="s">
        <v>346</v>
      </c>
      <c r="E69" s="195" t="s">
        <v>264</v>
      </c>
      <c r="F69" s="199" t="s">
        <v>347</v>
      </c>
      <c r="G69" s="195" t="s">
        <v>376</v>
      </c>
      <c r="T69" s="198">
        <f>+VCdata!U48</f>
        <v>36.437405362357495</v>
      </c>
      <c r="U69" s="198">
        <f>+VCdata!V48</f>
        <v>36.437405362357495</v>
      </c>
      <c r="V69" s="198">
        <f>+VCdata!W48</f>
        <v>36.246522041724837</v>
      </c>
      <c r="W69" s="198">
        <f>+VCdata!X48</f>
        <v>36.246522041724837</v>
      </c>
      <c r="X69" s="198">
        <f>+VCdata!Y48</f>
        <v>36.04785675913385</v>
      </c>
      <c r="Y69" s="198">
        <f>+VCdata!Z48</f>
        <v>35.795153696030148</v>
      </c>
      <c r="Z69" s="198">
        <f>+VCdata!AA48</f>
        <v>34.277145936987928</v>
      </c>
      <c r="AA69" s="198">
        <f>+VCdata!AB48</f>
        <v>32.450122129211202</v>
      </c>
      <c r="AB69" s="198">
        <f>+VCdata!AC48</f>
        <v>30.616479651037967</v>
      </c>
      <c r="AC69" s="198">
        <f>+VCdata!AD48</f>
        <v>27.231612343510875</v>
      </c>
      <c r="AD69" s="198">
        <f>+VCdata!AE48</f>
        <v>24.29533977123555</v>
      </c>
      <c r="AE69" s="198">
        <f>+VCdata!AF48</f>
        <v>21.712618895112762</v>
      </c>
      <c r="AF69" s="198">
        <f>+VCdata!AG48</f>
        <v>19.437001843227065</v>
      </c>
      <c r="AG69" s="198">
        <f>+VCdata!AH48</f>
        <v>17.412145094424822</v>
      </c>
      <c r="AH69" s="198">
        <f>+VCdata!AI48</f>
        <v>15.79438768463997</v>
      </c>
      <c r="AI69" s="198">
        <f>+VCdata!AJ48</f>
        <v>14.317964503941077</v>
      </c>
      <c r="AJ69" s="198">
        <f>+VCdata!AK48</f>
        <v>12.916745404824182</v>
      </c>
      <c r="AK69" s="198">
        <f>+VCdata!AL48</f>
        <v>11.49392874960953</v>
      </c>
      <c r="AL69" s="198">
        <f>+VCdata!AM48</f>
        <v>10.120770194838411</v>
      </c>
      <c r="AM69" s="198">
        <f>+VCdata!AN48</f>
        <v>9.2769832197665565</v>
      </c>
      <c r="AN69" s="198">
        <f>+VCdata!AO48</f>
        <v>8.423794852235611</v>
      </c>
      <c r="AO69" s="198">
        <f>+VCdata!AP48</f>
        <v>7.5737867505500613</v>
      </c>
      <c r="AP69" s="198">
        <f>+VCdata!AQ48</f>
        <v>6.7268925417355208</v>
      </c>
      <c r="AQ69" s="198">
        <f>+VCdata!AR48</f>
        <v>5.879770205593271</v>
      </c>
      <c r="AR69" s="198">
        <f>+VCdata!AS48</f>
        <v>5.045206943444259</v>
      </c>
      <c r="AS69" s="198">
        <f>+VCdata!AT48</f>
        <v>4.2019523425861598</v>
      </c>
      <c r="AT69" s="198">
        <f>+VCdata!AU48</f>
        <v>3.3607714828779232</v>
      </c>
      <c r="AU69" s="198">
        <f>+VCdata!AV48</f>
        <v>2.5213262790560584</v>
      </c>
      <c r="AV69" s="198">
        <f>+VCdata!AW48</f>
        <v>1.6862964099628364</v>
      </c>
      <c r="AW69" s="198"/>
      <c r="AX69" s="198"/>
      <c r="AY69" s="198"/>
      <c r="AZ69" s="198"/>
      <c r="BA69" s="198"/>
      <c r="BB69" s="198"/>
      <c r="BC69" s="198"/>
      <c r="BD69" s="198"/>
      <c r="BE69" s="198"/>
      <c r="BF69" s="198"/>
    </row>
    <row r="70" spans="1:58" s="196" customFormat="1" ht="15" customHeight="1" x14ac:dyDescent="0.15">
      <c r="A70" s="195" t="s">
        <v>363</v>
      </c>
      <c r="B70" s="197" t="s">
        <v>52</v>
      </c>
      <c r="C70" s="196" t="s">
        <v>335</v>
      </c>
      <c r="D70" s="195" t="s">
        <v>346</v>
      </c>
      <c r="E70" s="195" t="s">
        <v>264</v>
      </c>
      <c r="F70" s="199" t="s">
        <v>347</v>
      </c>
      <c r="G70" s="195" t="s">
        <v>236</v>
      </c>
      <c r="T70" s="198">
        <f>+VCdata!U49</f>
        <v>18.75496213852432</v>
      </c>
      <c r="U70" s="198">
        <f>+VCdata!V49</f>
        <v>18.75496213852432</v>
      </c>
      <c r="V70" s="198">
        <f>+VCdata!W49</f>
        <v>18.75496213852432</v>
      </c>
      <c r="W70" s="198">
        <f>+VCdata!X49</f>
        <v>18.75496213852432</v>
      </c>
      <c r="X70" s="198">
        <f>+VCdata!Y49</f>
        <v>18.279705135501892</v>
      </c>
      <c r="Y70" s="198">
        <f>+VCdata!Z49</f>
        <v>17.666790967125863</v>
      </c>
      <c r="Z70" s="198">
        <f>+VCdata!AA49</f>
        <v>17.293098239986797</v>
      </c>
      <c r="AA70" s="198">
        <f>+VCdata!AB49</f>
        <v>16.648255330762943</v>
      </c>
      <c r="AB70" s="198">
        <f>+VCdata!AC49</f>
        <v>15.879802105546428</v>
      </c>
      <c r="AC70" s="198">
        <f>+VCdata!AD49</f>
        <v>14.939435750972811</v>
      </c>
      <c r="AD70" s="198">
        <f>+VCdata!AE49</f>
        <v>13.950561205956772</v>
      </c>
      <c r="AE70" s="198">
        <f>+VCdata!AF49</f>
        <v>12.797128967735583</v>
      </c>
      <c r="AF70" s="198">
        <f>+VCdata!AG49</f>
        <v>11.701061968334152</v>
      </c>
      <c r="AG70" s="198">
        <f>+VCdata!AH49</f>
        <v>10.562615294210669</v>
      </c>
      <c r="AH70" s="198">
        <f>+VCdata!AI49</f>
        <v>9.6413560475495874</v>
      </c>
      <c r="AI70" s="198">
        <f>+VCdata!AJ49</f>
        <v>8.7578136936203759</v>
      </c>
      <c r="AJ70" s="198">
        <f>+VCdata!AK49</f>
        <v>7.9118117416499762</v>
      </c>
      <c r="AK70" s="198">
        <f>+VCdata!AL49</f>
        <v>7.0675948061496312</v>
      </c>
      <c r="AL70" s="198">
        <f>+VCdata!AM49</f>
        <v>6.2321864358127117</v>
      </c>
      <c r="AM70" s="198">
        <f>+VCdata!AN49</f>
        <v>5.6969295186816016</v>
      </c>
      <c r="AN70" s="198">
        <f>+VCdata!AO49</f>
        <v>5.167545069590914</v>
      </c>
      <c r="AO70" s="198">
        <f>+VCdata!AP49</f>
        <v>4.6418368338461518</v>
      </c>
      <c r="AP70" s="198">
        <f>+VCdata!AQ49</f>
        <v>4.1192779818646601</v>
      </c>
      <c r="AQ70" s="198">
        <f>+VCdata!AR49</f>
        <v>3.5973512853952507</v>
      </c>
      <c r="AR70" s="198">
        <f>+VCdata!AS49</f>
        <v>3.0762873738418541</v>
      </c>
      <c r="AS70" s="198">
        <f>+VCdata!AT49</f>
        <v>2.5574657739946409</v>
      </c>
      <c r="AT70" s="198">
        <f>+VCdata!AU49</f>
        <v>2.040804341212195</v>
      </c>
      <c r="AU70" s="198">
        <f>+VCdata!AV49</f>
        <v>1.5256320552138913</v>
      </c>
      <c r="AV70" s="198">
        <f>+VCdata!AW49</f>
        <v>1.0140168019848332</v>
      </c>
      <c r="AW70" s="198"/>
      <c r="AX70" s="198"/>
      <c r="AY70" s="198"/>
      <c r="AZ70" s="198"/>
      <c r="BA70" s="198"/>
      <c r="BB70" s="198"/>
      <c r="BC70" s="198"/>
      <c r="BD70" s="198"/>
      <c r="BE70" s="198"/>
      <c r="BF70" s="198"/>
    </row>
    <row r="71" spans="1:58" s="196" customFormat="1" ht="15" customHeight="1" x14ac:dyDescent="0.15">
      <c r="A71" s="195" t="s">
        <v>363</v>
      </c>
      <c r="B71" s="197" t="s">
        <v>52</v>
      </c>
      <c r="C71" s="196" t="s">
        <v>443</v>
      </c>
      <c r="D71" s="195" t="s">
        <v>346</v>
      </c>
      <c r="E71" s="195" t="s">
        <v>264</v>
      </c>
      <c r="F71" s="199" t="s">
        <v>347</v>
      </c>
      <c r="G71" s="195" t="s">
        <v>236</v>
      </c>
      <c r="T71" s="198">
        <f>+VCdata!U50</f>
        <v>23.218818092819355</v>
      </c>
      <c r="U71" s="198">
        <f>+VCdata!V50</f>
        <v>23.218818092819355</v>
      </c>
      <c r="V71" s="198">
        <f>+VCdata!W50</f>
        <v>22.9411614845937</v>
      </c>
      <c r="W71" s="198">
        <f>+VCdata!X50</f>
        <v>22.9411614845937</v>
      </c>
      <c r="X71" s="198">
        <f>+VCdata!Y50</f>
        <v>22.505829783628418</v>
      </c>
      <c r="Y71" s="198">
        <f>+VCdata!Z50</f>
        <v>21.829591599820979</v>
      </c>
      <c r="Z71" s="198">
        <f>+VCdata!AA50</f>
        <v>21.342105571009448</v>
      </c>
      <c r="AA71" s="198">
        <f>+VCdata!AB50</f>
        <v>20.275992090559164</v>
      </c>
      <c r="AB71" s="198">
        <f>+VCdata!AC50</f>
        <v>19.05717932000892</v>
      </c>
      <c r="AC71" s="198">
        <f>+VCdata!AD50</f>
        <v>17.539507643321549</v>
      </c>
      <c r="AD71" s="198">
        <f>+VCdata!AE50</f>
        <v>15.971055939332253</v>
      </c>
      <c r="AE71" s="198">
        <f>+VCdata!AF50</f>
        <v>14.240091540366103</v>
      </c>
      <c r="AF71" s="198">
        <f>+VCdata!AG50</f>
        <v>12.793833329952861</v>
      </c>
      <c r="AG71" s="198">
        <f>+VCdata!AH50</f>
        <v>11.377124774828046</v>
      </c>
      <c r="AH71" s="198">
        <f>+VCdata!AI50</f>
        <v>10.287654875530349</v>
      </c>
      <c r="AI71" s="198">
        <f>+VCdata!AJ50</f>
        <v>9.2835838924829552</v>
      </c>
      <c r="AJ71" s="198">
        <f>+VCdata!AK50</f>
        <v>8.3322666115907271</v>
      </c>
      <c r="AK71" s="198">
        <f>+VCdata!AL50</f>
        <v>7.3457862982452546</v>
      </c>
      <c r="AL71" s="198">
        <f>+VCdata!AM50</f>
        <v>6.4480153926385926</v>
      </c>
      <c r="AM71" s="198">
        <f>+VCdata!AN50</f>
        <v>5.8910265337866621</v>
      </c>
      <c r="AN71" s="198">
        <f>+VCdata!AO50</f>
        <v>5.3403888605134409</v>
      </c>
      <c r="AO71" s="198">
        <f>+VCdata!AP50</f>
        <v>4.7936989884644214</v>
      </c>
      <c r="AP71" s="198">
        <f>+VCdata!AQ50</f>
        <v>4.2503634739061651</v>
      </c>
      <c r="AQ71" s="198">
        <f>+VCdata!AR50</f>
        <v>3.7076905477782685</v>
      </c>
      <c r="AR71" s="198">
        <f>+VCdata!AS50</f>
        <v>3.1659541057782943</v>
      </c>
      <c r="AS71" s="198">
        <f>+VCdata!AT50</f>
        <v>2.6266161394792067</v>
      </c>
      <c r="AT71" s="198">
        <f>+VCdata!AU50</f>
        <v>2.0895858122805664</v>
      </c>
      <c r="AU71" s="198">
        <f>+VCdata!AV50</f>
        <v>1.55419323026408</v>
      </c>
      <c r="AV71" s="198">
        <f>+VCdata!AW50</f>
        <v>1.0224900492621145</v>
      </c>
      <c r="AW71" s="198"/>
      <c r="AX71" s="198"/>
      <c r="AY71" s="198"/>
      <c r="AZ71" s="198"/>
      <c r="BA71" s="198"/>
      <c r="BB71" s="198"/>
      <c r="BC71" s="198"/>
      <c r="BD71" s="198"/>
      <c r="BE71" s="198"/>
      <c r="BF71" s="198"/>
    </row>
    <row r="72" spans="1:58" s="196" customFormat="1" ht="15" customHeight="1" x14ac:dyDescent="0.15">
      <c r="A72" s="195" t="s">
        <v>363</v>
      </c>
      <c r="B72" s="197" t="s">
        <v>52</v>
      </c>
      <c r="C72" s="196" t="s">
        <v>336</v>
      </c>
      <c r="D72" s="195" t="s">
        <v>346</v>
      </c>
      <c r="E72" s="195" t="s">
        <v>264</v>
      </c>
      <c r="F72" s="199" t="s">
        <v>347</v>
      </c>
      <c r="G72" s="195" t="s">
        <v>236</v>
      </c>
      <c r="T72" s="198">
        <f>+VCdata!U51</f>
        <v>20.928894945254243</v>
      </c>
      <c r="U72" s="198">
        <f>+VCdata!V51</f>
        <v>20.928894945254243</v>
      </c>
      <c r="V72" s="198">
        <f>+VCdata!W51</f>
        <v>20.071973689068809</v>
      </c>
      <c r="W72" s="198">
        <f>+VCdata!X51</f>
        <v>19.897229578906561</v>
      </c>
      <c r="X72" s="198">
        <f>+VCdata!Y51</f>
        <v>19.191934737832259</v>
      </c>
      <c r="Y72" s="198">
        <f>+VCdata!Z51</f>
        <v>18.43952376480091</v>
      </c>
      <c r="Z72" s="198">
        <f>+VCdata!AA51</f>
        <v>17.72597005884608</v>
      </c>
      <c r="AA72" s="198">
        <f>+VCdata!AB51</f>
        <v>16.943958790358018</v>
      </c>
      <c r="AB72" s="198">
        <f>+VCdata!AC51</f>
        <v>16.074039056032518</v>
      </c>
      <c r="AC72" s="198">
        <f>+VCdata!AD51</f>
        <v>14.849565125161185</v>
      </c>
      <c r="AD72" s="198">
        <f>+VCdata!AE51</f>
        <v>13.783762965105348</v>
      </c>
      <c r="AE72" s="198">
        <f>+VCdata!AF51</f>
        <v>12.627736217903028</v>
      </c>
      <c r="AF72" s="198">
        <f>+VCdata!AG51</f>
        <v>11.525639131155534</v>
      </c>
      <c r="AG72" s="198">
        <f>+VCdata!AH51</f>
        <v>10.560751888317514</v>
      </c>
      <c r="AH72" s="198">
        <f>+VCdata!AI51</f>
        <v>9.8312850245860819</v>
      </c>
      <c r="AI72" s="198">
        <f>+VCdata!AJ51</f>
        <v>9.1465070358577645</v>
      </c>
      <c r="AJ72" s="198">
        <f>+VCdata!AK51</f>
        <v>8.4714530783390067</v>
      </c>
      <c r="AK72" s="198">
        <f>+VCdata!AL51</f>
        <v>7.656572448928177</v>
      </c>
      <c r="AL72" s="198">
        <f>+VCdata!AM51</f>
        <v>6.8170048077722587</v>
      </c>
      <c r="AM72" s="198">
        <f>+VCdata!AN51</f>
        <v>6.2519452418836323</v>
      </c>
      <c r="AN72" s="198">
        <f>+VCdata!AO51</f>
        <v>5.687261773951529</v>
      </c>
      <c r="AO72" s="198">
        <f>+VCdata!AP51</f>
        <v>5.1232903850726412</v>
      </c>
      <c r="AP72" s="198">
        <f>+VCdata!AQ51</f>
        <v>4.5591388553956103</v>
      </c>
      <c r="AQ72" s="198">
        <f>+VCdata!AR51</f>
        <v>3.9951625204338099</v>
      </c>
      <c r="AR72" s="198">
        <f>+VCdata!AS51</f>
        <v>3.4316126118341228</v>
      </c>
      <c r="AS72" s="198">
        <f>+VCdata!AT51</f>
        <v>2.8688536909763203</v>
      </c>
      <c r="AT72" s="198">
        <f>+VCdata!AU51</f>
        <v>2.3064660736936586</v>
      </c>
      <c r="AU72" s="198">
        <f>+VCdata!AV51</f>
        <v>1.7448142595717924</v>
      </c>
      <c r="AV72" s="198">
        <f>+VCdata!AW51</f>
        <v>1.1842959741781378</v>
      </c>
      <c r="AW72" s="198"/>
      <c r="AX72" s="198"/>
      <c r="AY72" s="198"/>
      <c r="AZ72" s="198"/>
      <c r="BA72" s="198"/>
      <c r="BB72" s="198"/>
      <c r="BC72" s="198"/>
      <c r="BD72" s="198"/>
      <c r="BE72" s="198"/>
      <c r="BF72" s="198"/>
    </row>
    <row r="73" spans="1:58" s="196" customFormat="1" ht="15" customHeight="1" x14ac:dyDescent="0.15">
      <c r="A73" s="195" t="s">
        <v>363</v>
      </c>
      <c r="B73" s="197" t="s">
        <v>52</v>
      </c>
      <c r="C73" s="196" t="s">
        <v>234</v>
      </c>
      <c r="D73" s="195" t="s">
        <v>346</v>
      </c>
      <c r="E73" s="195" t="s">
        <v>264</v>
      </c>
      <c r="F73" s="199" t="s">
        <v>347</v>
      </c>
      <c r="G73" s="195" t="s">
        <v>236</v>
      </c>
      <c r="T73" s="198">
        <f>+VCdata!U52</f>
        <v>19.68073675732704</v>
      </c>
      <c r="U73" s="198">
        <f>+VCdata!V52</f>
        <v>19.68073675732704</v>
      </c>
      <c r="V73" s="198">
        <f>+VCdata!W52</f>
        <v>19.659102731981505</v>
      </c>
      <c r="W73" s="198">
        <f>+VCdata!X52</f>
        <v>19.659102731981505</v>
      </c>
      <c r="X73" s="198">
        <f>+VCdata!Y52</f>
        <v>19.274107154794621</v>
      </c>
      <c r="Y73" s="198">
        <f>+VCdata!Z52</f>
        <v>18.661429426269414</v>
      </c>
      <c r="Z73" s="198">
        <f>+VCdata!AA52</f>
        <v>18.253920679284406</v>
      </c>
      <c r="AA73" s="198">
        <f>+VCdata!AB52</f>
        <v>17.499389813342983</v>
      </c>
      <c r="AB73" s="198">
        <f>+VCdata!AC52</f>
        <v>16.592074903157311</v>
      </c>
      <c r="AC73" s="198">
        <f>+VCdata!AD52</f>
        <v>15.401229941900649</v>
      </c>
      <c r="AD73" s="198">
        <f>+VCdata!AE52</f>
        <v>14.283884673160744</v>
      </c>
      <c r="AE73" s="198">
        <f>+VCdata!AF52</f>
        <v>13.022441956546631</v>
      </c>
      <c r="AF73" s="198">
        <f>+VCdata!AG52</f>
        <v>11.860661591102527</v>
      </c>
      <c r="AG73" s="198">
        <f>+VCdata!AH52</f>
        <v>10.714534795590842</v>
      </c>
      <c r="AH73" s="198">
        <f>+VCdata!AI52</f>
        <v>9.8107910740056301</v>
      </c>
      <c r="AI73" s="198">
        <f>+VCdata!AJ52</f>
        <v>8.9549295930081687</v>
      </c>
      <c r="AJ73" s="198">
        <f>+VCdata!AK52</f>
        <v>8.1316080186584987</v>
      </c>
      <c r="AK73" s="198">
        <f>+VCdata!AL52</f>
        <v>7.266955984235425</v>
      </c>
      <c r="AL73" s="198">
        <f>+VCdata!AM52</f>
        <v>6.4183613418901979</v>
      </c>
      <c r="AM73" s="198">
        <f>+VCdata!AN52</f>
        <v>5.8697781397355895</v>
      </c>
      <c r="AN73" s="198">
        <f>+VCdata!AO52</f>
        <v>5.3274318601518473</v>
      </c>
      <c r="AO73" s="198">
        <f>+VCdata!AP52</f>
        <v>4.7881804570908608</v>
      </c>
      <c r="AP73" s="198">
        <f>+VCdata!AQ52</f>
        <v>4.2512859070170563</v>
      </c>
      <c r="AQ73" s="198">
        <f>+VCdata!AR52</f>
        <v>3.7150349400688061</v>
      </c>
      <c r="AR73" s="198">
        <f>+VCdata!AS52</f>
        <v>3.1795567252363717</v>
      </c>
      <c r="AS73" s="198">
        <f>+VCdata!AT52</f>
        <v>2.6460287290583171</v>
      </c>
      <c r="AT73" s="198">
        <f>+VCdata!AU52</f>
        <v>2.1142588643588307</v>
      </c>
      <c r="AU73" s="198">
        <f>+VCdata!AV52</f>
        <v>1.5840073038448896</v>
      </c>
      <c r="AV73" s="198">
        <f>+VCdata!AW52</f>
        <v>1.0567577190844655</v>
      </c>
      <c r="AW73" s="198"/>
      <c r="AX73" s="198"/>
      <c r="AY73" s="198"/>
      <c r="AZ73" s="198"/>
      <c r="BA73" s="198"/>
      <c r="BB73" s="198"/>
      <c r="BC73" s="198"/>
      <c r="BD73" s="198"/>
      <c r="BE73" s="198"/>
      <c r="BF73" s="198"/>
    </row>
    <row r="74" spans="1:58" s="196" customFormat="1" ht="15" customHeight="1" x14ac:dyDescent="0.15">
      <c r="A74" s="195" t="s">
        <v>385</v>
      </c>
      <c r="B74" s="197" t="s">
        <v>52</v>
      </c>
      <c r="C74" s="196" t="s">
        <v>383</v>
      </c>
      <c r="D74" s="195" t="s">
        <v>384</v>
      </c>
      <c r="E74" s="195" t="s">
        <v>29</v>
      </c>
      <c r="F74" s="199" t="s">
        <v>382</v>
      </c>
      <c r="G74" s="195" t="s">
        <v>383</v>
      </c>
      <c r="T74" s="198"/>
      <c r="U74" s="198">
        <v>1</v>
      </c>
      <c r="V74" s="198">
        <v>0.96576747072674518</v>
      </c>
      <c r="W74" s="198">
        <v>0.93153494145349003</v>
      </c>
      <c r="X74" s="198">
        <v>0.89730241218023521</v>
      </c>
      <c r="Y74" s="198">
        <v>0.86306988290698017</v>
      </c>
      <c r="Z74" s="198">
        <v>0.82883735363372524</v>
      </c>
      <c r="AA74" s="198">
        <v>0.79460482436047042</v>
      </c>
      <c r="AB74" s="198">
        <v>0.76037229508721538</v>
      </c>
      <c r="AC74" s="198">
        <v>0.7161825737268781</v>
      </c>
      <c r="AD74" s="198">
        <v>0.67199285236654105</v>
      </c>
      <c r="AE74" s="198">
        <v>0.62780313100620389</v>
      </c>
      <c r="AF74" s="198">
        <v>0.58361340964586683</v>
      </c>
      <c r="AG74" s="198">
        <v>0.53942368828552978</v>
      </c>
      <c r="AH74" s="198">
        <v>0.49693665164059386</v>
      </c>
      <c r="AI74" s="198">
        <v>0.454449614995658</v>
      </c>
      <c r="AJ74" s="198">
        <v>0.41196257835072209</v>
      </c>
      <c r="AK74" s="198">
        <v>0.36947554170578634</v>
      </c>
      <c r="AL74" s="198">
        <v>0.32698850506085048</v>
      </c>
      <c r="AM74" s="198">
        <v>0.29883823918863928</v>
      </c>
      <c r="AN74" s="198">
        <v>0.27068797331642813</v>
      </c>
      <c r="AO74" s="198">
        <v>0.2425377074442169</v>
      </c>
      <c r="AP74" s="198">
        <v>0.21438744157200568</v>
      </c>
      <c r="AQ74" s="198">
        <v>0.1862371756997945</v>
      </c>
      <c r="AR74" s="198">
        <v>0.15808690982758328</v>
      </c>
      <c r="AS74" s="198">
        <v>0.12993664395537211</v>
      </c>
      <c r="AT74" s="198">
        <v>0.10178637808316089</v>
      </c>
      <c r="AU74" s="198">
        <v>7.3636112210949692E-2</v>
      </c>
      <c r="AV74" s="198">
        <v>4.5485846338738409E-2</v>
      </c>
      <c r="AW74" s="198"/>
      <c r="AX74" s="198"/>
      <c r="AY74" s="198"/>
      <c r="AZ74" s="198"/>
      <c r="BA74" s="198"/>
      <c r="BB74" s="198"/>
      <c r="BC74" s="198"/>
      <c r="BD74" s="198"/>
      <c r="BE74" s="198"/>
      <c r="BF74" s="198"/>
    </row>
    <row r="75" spans="1:58" s="196" customFormat="1" ht="15" customHeight="1" x14ac:dyDescent="0.15">
      <c r="A75" s="195" t="s">
        <v>386</v>
      </c>
      <c r="B75" s="197" t="s">
        <v>52</v>
      </c>
      <c r="C75" s="196" t="s">
        <v>335</v>
      </c>
      <c r="D75" s="195" t="s">
        <v>387</v>
      </c>
      <c r="E75" s="195" t="s">
        <v>264</v>
      </c>
      <c r="F75" s="199" t="s">
        <v>388</v>
      </c>
      <c r="G75" s="195" t="s">
        <v>340</v>
      </c>
      <c r="T75" s="198">
        <f>+T18-T50</f>
        <v>59.101958795122897</v>
      </c>
      <c r="U75" s="198">
        <f t="shared" ref="U75:AV78" si="0">+U18-U50</f>
        <v>58.584047320346897</v>
      </c>
      <c r="V75" s="198">
        <f t="shared" si="0"/>
        <v>57.584231922892599</v>
      </c>
      <c r="W75" s="198">
        <f t="shared" si="0"/>
        <v>52.500151089168703</v>
      </c>
      <c r="X75" s="198">
        <f t="shared" si="0"/>
        <v>46.490517831222903</v>
      </c>
      <c r="Y75" s="198">
        <f t="shared" si="0"/>
        <v>39.471147838713399</v>
      </c>
      <c r="Z75" s="198">
        <f t="shared" si="0"/>
        <v>32.606357293007598</v>
      </c>
      <c r="AA75" s="198">
        <f t="shared" si="0"/>
        <v>25.4000348519813</v>
      </c>
      <c r="AB75" s="198">
        <f t="shared" si="0"/>
        <v>19.597040640219401</v>
      </c>
      <c r="AC75" s="198">
        <f t="shared" si="0"/>
        <v>14.082955188124199</v>
      </c>
      <c r="AD75" s="198">
        <f t="shared" si="0"/>
        <v>9.6440707643725823</v>
      </c>
      <c r="AE75" s="198">
        <f t="shared" si="0"/>
        <v>6.1973016356185502</v>
      </c>
      <c r="AF75" s="198">
        <f t="shared" si="0"/>
        <v>3.7221158208766698</v>
      </c>
      <c r="AG75" s="198">
        <f t="shared" si="0"/>
        <v>1.7140450811249599</v>
      </c>
      <c r="AH75" s="198">
        <f t="shared" si="0"/>
        <v>6.2789154336049258E-2</v>
      </c>
      <c r="AI75" s="198">
        <f t="shared" si="0"/>
        <v>0</v>
      </c>
      <c r="AJ75" s="198">
        <f t="shared" si="0"/>
        <v>0</v>
      </c>
      <c r="AK75" s="198">
        <f t="shared" si="0"/>
        <v>0</v>
      </c>
      <c r="AL75" s="198">
        <f t="shared" si="0"/>
        <v>0</v>
      </c>
      <c r="AM75" s="198">
        <f t="shared" si="0"/>
        <v>0</v>
      </c>
      <c r="AN75" s="198">
        <f t="shared" si="0"/>
        <v>0</v>
      </c>
      <c r="AO75" s="198">
        <f t="shared" si="0"/>
        <v>0</v>
      </c>
      <c r="AP75" s="198">
        <f t="shared" si="0"/>
        <v>0</v>
      </c>
      <c r="AQ75" s="198">
        <f t="shared" si="0"/>
        <v>0</v>
      </c>
      <c r="AR75" s="198">
        <f t="shared" si="0"/>
        <v>0</v>
      </c>
      <c r="AS75" s="198">
        <f t="shared" si="0"/>
        <v>0</v>
      </c>
      <c r="AT75" s="198">
        <f t="shared" si="0"/>
        <v>0</v>
      </c>
      <c r="AU75" s="198">
        <f t="shared" si="0"/>
        <v>0</v>
      </c>
      <c r="AV75" s="198">
        <f t="shared" si="0"/>
        <v>0</v>
      </c>
      <c r="AW75" s="198"/>
      <c r="AX75" s="198"/>
      <c r="AY75" s="198"/>
      <c r="AZ75" s="198"/>
      <c r="BA75" s="198"/>
      <c r="BB75" s="198"/>
      <c r="BC75" s="198"/>
      <c r="BD75" s="198"/>
      <c r="BE75" s="198"/>
      <c r="BF75" s="198"/>
    </row>
    <row r="76" spans="1:58" s="196" customFormat="1" ht="15" customHeight="1" x14ac:dyDescent="0.15">
      <c r="A76" s="195" t="s">
        <v>386</v>
      </c>
      <c r="B76" s="197" t="s">
        <v>52</v>
      </c>
      <c r="C76" s="196" t="s">
        <v>443</v>
      </c>
      <c r="D76" s="195" t="s">
        <v>387</v>
      </c>
      <c r="E76" s="195" t="s">
        <v>264</v>
      </c>
      <c r="F76" s="199" t="s">
        <v>388</v>
      </c>
      <c r="G76" s="195" t="s">
        <v>340</v>
      </c>
      <c r="T76" s="198">
        <f t="shared" ref="T76:AI78" si="1">+T19-T51</f>
        <v>63.201514210110005</v>
      </c>
      <c r="U76" s="198">
        <f t="shared" si="1"/>
        <v>61.593231232349893</v>
      </c>
      <c r="V76" s="198">
        <f t="shared" si="1"/>
        <v>57.732782257135703</v>
      </c>
      <c r="W76" s="198">
        <f t="shared" si="1"/>
        <v>53.393575011369499</v>
      </c>
      <c r="X76" s="198">
        <f t="shared" si="1"/>
        <v>48.7612210524426</v>
      </c>
      <c r="Y76" s="198">
        <f t="shared" si="1"/>
        <v>43.884033865867501</v>
      </c>
      <c r="Z76" s="198">
        <f t="shared" si="1"/>
        <v>38.457792713311299</v>
      </c>
      <c r="AA76" s="198">
        <f t="shared" si="1"/>
        <v>33.5571375551811</v>
      </c>
      <c r="AB76" s="198">
        <f t="shared" si="1"/>
        <v>26.7317502911609</v>
      </c>
      <c r="AC76" s="198">
        <f t="shared" si="1"/>
        <v>19.778490818406699</v>
      </c>
      <c r="AD76" s="198">
        <f t="shared" si="1"/>
        <v>14.603701689309499</v>
      </c>
      <c r="AE76" s="198">
        <f t="shared" si="1"/>
        <v>9.4622136328076003</v>
      </c>
      <c r="AF76" s="198">
        <f t="shared" si="1"/>
        <v>6.1945689804815904</v>
      </c>
      <c r="AG76" s="198">
        <f t="shared" si="1"/>
        <v>3.0924446843614599</v>
      </c>
      <c r="AH76" s="198">
        <f t="shared" si="1"/>
        <v>0.63000000000000012</v>
      </c>
      <c r="AI76" s="198">
        <f t="shared" si="1"/>
        <v>0.31299999999999994</v>
      </c>
      <c r="AJ76" s="198">
        <f t="shared" si="0"/>
        <v>0.31099999999999994</v>
      </c>
      <c r="AK76" s="198">
        <f t="shared" si="0"/>
        <v>0</v>
      </c>
      <c r="AL76" s="198">
        <f t="shared" si="0"/>
        <v>0</v>
      </c>
      <c r="AM76" s="198">
        <f t="shared" si="0"/>
        <v>0</v>
      </c>
      <c r="AN76" s="198">
        <f t="shared" si="0"/>
        <v>0</v>
      </c>
      <c r="AO76" s="198">
        <f t="shared" si="0"/>
        <v>0</v>
      </c>
      <c r="AP76" s="198">
        <f t="shared" si="0"/>
        <v>0</v>
      </c>
      <c r="AQ76" s="198">
        <f t="shared" si="0"/>
        <v>0</v>
      </c>
      <c r="AR76" s="198">
        <f t="shared" si="0"/>
        <v>0</v>
      </c>
      <c r="AS76" s="198">
        <f t="shared" si="0"/>
        <v>0</v>
      </c>
      <c r="AT76" s="198">
        <f t="shared" si="0"/>
        <v>0</v>
      </c>
      <c r="AU76" s="198">
        <f t="shared" si="0"/>
        <v>0</v>
      </c>
      <c r="AV76" s="198">
        <f t="shared" si="0"/>
        <v>0</v>
      </c>
      <c r="AW76" s="198"/>
      <c r="AX76" s="198"/>
      <c r="AY76" s="198"/>
      <c r="AZ76" s="198"/>
      <c r="BA76" s="198"/>
      <c r="BB76" s="198"/>
      <c r="BC76" s="198"/>
      <c r="BD76" s="198"/>
      <c r="BE76" s="198"/>
      <c r="BF76" s="198"/>
    </row>
    <row r="77" spans="1:58" s="196" customFormat="1" ht="15" customHeight="1" x14ac:dyDescent="0.15">
      <c r="A77" s="195" t="s">
        <v>386</v>
      </c>
      <c r="B77" s="197" t="s">
        <v>52</v>
      </c>
      <c r="C77" s="196" t="s">
        <v>336</v>
      </c>
      <c r="D77" s="195" t="s">
        <v>387</v>
      </c>
      <c r="E77" s="195" t="s">
        <v>264</v>
      </c>
      <c r="F77" s="199" t="s">
        <v>388</v>
      </c>
      <c r="G77" s="195" t="s">
        <v>340</v>
      </c>
      <c r="T77" s="198">
        <f t="shared" si="1"/>
        <v>59.323250441293837</v>
      </c>
      <c r="U77" s="198">
        <f t="shared" si="0"/>
        <v>58.426893510646501</v>
      </c>
      <c r="V77" s="198">
        <f t="shared" si="0"/>
        <v>57.3150254279292</v>
      </c>
      <c r="W77" s="198">
        <f t="shared" si="0"/>
        <v>54.058463688552699</v>
      </c>
      <c r="X77" s="198">
        <f t="shared" si="0"/>
        <v>49.390888085250602</v>
      </c>
      <c r="Y77" s="198">
        <f t="shared" si="0"/>
        <v>43.941876126828902</v>
      </c>
      <c r="Z77" s="198">
        <f t="shared" si="0"/>
        <v>37.744912904926103</v>
      </c>
      <c r="AA77" s="198">
        <f t="shared" si="0"/>
        <v>30.995697209311398</v>
      </c>
      <c r="AB77" s="198">
        <f t="shared" si="0"/>
        <v>25.161671578604299</v>
      </c>
      <c r="AC77" s="198">
        <f t="shared" si="0"/>
        <v>18.982984963020701</v>
      </c>
      <c r="AD77" s="198">
        <f t="shared" si="0"/>
        <v>14.280916064972498</v>
      </c>
      <c r="AE77" s="198">
        <f t="shared" si="0"/>
        <v>9.6116667634505504</v>
      </c>
      <c r="AF77" s="198">
        <f t="shared" si="0"/>
        <v>6.758428614539441</v>
      </c>
      <c r="AG77" s="198">
        <f t="shared" si="0"/>
        <v>4.0742362643936003</v>
      </c>
      <c r="AH77" s="198">
        <f t="shared" si="0"/>
        <v>1.8326357552560602</v>
      </c>
      <c r="AI77" s="198">
        <f t="shared" si="0"/>
        <v>1.2192699413546302</v>
      </c>
      <c r="AJ77" s="198">
        <f t="shared" si="0"/>
        <v>0.87763195814280515</v>
      </c>
      <c r="AK77" s="198">
        <f t="shared" si="0"/>
        <v>0.34125870723317897</v>
      </c>
      <c r="AL77" s="198">
        <f t="shared" si="0"/>
        <v>0.28502825097376405</v>
      </c>
      <c r="AM77" s="198">
        <f t="shared" si="0"/>
        <v>0.28202886712856401</v>
      </c>
      <c r="AN77" s="198">
        <f t="shared" si="0"/>
        <v>0.27462387278196698</v>
      </c>
      <c r="AO77" s="198">
        <f t="shared" si="0"/>
        <v>0.27173839338510097</v>
      </c>
      <c r="AP77" s="198">
        <f t="shared" si="0"/>
        <v>4.9406764242467149E-2</v>
      </c>
      <c r="AQ77" s="198">
        <f t="shared" si="0"/>
        <v>0</v>
      </c>
      <c r="AR77" s="198">
        <f t="shared" si="0"/>
        <v>0</v>
      </c>
      <c r="AS77" s="198">
        <f t="shared" si="0"/>
        <v>0</v>
      </c>
      <c r="AT77" s="198">
        <f t="shared" si="0"/>
        <v>0</v>
      </c>
      <c r="AU77" s="198">
        <f t="shared" si="0"/>
        <v>0</v>
      </c>
      <c r="AV77" s="198">
        <f t="shared" si="0"/>
        <v>0</v>
      </c>
      <c r="AW77" s="198"/>
      <c r="AX77" s="198"/>
      <c r="AY77" s="198"/>
      <c r="AZ77" s="198"/>
      <c r="BA77" s="198"/>
      <c r="BB77" s="198"/>
      <c r="BC77" s="198"/>
      <c r="BD77" s="198"/>
      <c r="BE77" s="198"/>
      <c r="BF77" s="198"/>
    </row>
    <row r="78" spans="1:58" s="196" customFormat="1" ht="15" customHeight="1" x14ac:dyDescent="0.15">
      <c r="A78" s="195" t="s">
        <v>386</v>
      </c>
      <c r="B78" s="197" t="s">
        <v>52</v>
      </c>
      <c r="C78" s="196" t="s">
        <v>234</v>
      </c>
      <c r="D78" s="195" t="s">
        <v>387</v>
      </c>
      <c r="E78" s="195" t="s">
        <v>264</v>
      </c>
      <c r="F78" s="199" t="s">
        <v>388</v>
      </c>
      <c r="G78" s="195" t="s">
        <v>340</v>
      </c>
      <c r="T78" s="198">
        <f t="shared" si="1"/>
        <v>61.340316934355798</v>
      </c>
      <c r="U78" s="198">
        <f t="shared" si="0"/>
        <v>60.017305943780102</v>
      </c>
      <c r="V78" s="198">
        <f t="shared" si="0"/>
        <v>57.421645719373501</v>
      </c>
      <c r="W78" s="198">
        <f t="shared" si="0"/>
        <v>53.8269227336462</v>
      </c>
      <c r="X78" s="198">
        <f t="shared" si="0"/>
        <v>49.205150053603802</v>
      </c>
      <c r="Y78" s="198">
        <f t="shared" si="0"/>
        <v>43.840270574400797</v>
      </c>
      <c r="Z78" s="198">
        <f t="shared" si="0"/>
        <v>37.802126098047999</v>
      </c>
      <c r="AA78" s="198">
        <f t="shared" si="0"/>
        <v>31.4927065214492</v>
      </c>
      <c r="AB78" s="198">
        <f t="shared" si="0"/>
        <v>25.455659814262901</v>
      </c>
      <c r="AC78" s="198">
        <f t="shared" si="0"/>
        <v>19.007568608767599</v>
      </c>
      <c r="AD78" s="198">
        <f t="shared" si="0"/>
        <v>14.1871279550975</v>
      </c>
      <c r="AE78" s="198">
        <f t="shared" si="0"/>
        <v>9.4457073929797701</v>
      </c>
      <c r="AF78" s="198">
        <f t="shared" si="0"/>
        <v>6.5221631605000505</v>
      </c>
      <c r="AG78" s="198">
        <f t="shared" si="0"/>
        <v>3.7904461872986799</v>
      </c>
      <c r="AH78" s="198">
        <f t="shared" si="0"/>
        <v>1.55550037270818</v>
      </c>
      <c r="AI78" s="198">
        <f t="shared" si="0"/>
        <v>1.0161980191672897</v>
      </c>
      <c r="AJ78" s="198">
        <f t="shared" si="0"/>
        <v>0.74418970121864891</v>
      </c>
      <c r="AK78" s="198">
        <f t="shared" si="0"/>
        <v>0.26637506013568091</v>
      </c>
      <c r="AL78" s="198">
        <f t="shared" si="0"/>
        <v>0.22211822889913102</v>
      </c>
      <c r="AM78" s="198">
        <f t="shared" si="0"/>
        <v>0.21606691631020691</v>
      </c>
      <c r="AN78" s="198">
        <f t="shared" si="0"/>
        <v>0.21318498529437302</v>
      </c>
      <c r="AO78" s="198">
        <f t="shared" si="0"/>
        <v>0.21443449565038508</v>
      </c>
      <c r="AP78" s="198">
        <f t="shared" si="0"/>
        <v>3.9615874984694655E-2</v>
      </c>
      <c r="AQ78" s="198">
        <f t="shared" si="0"/>
        <v>0</v>
      </c>
      <c r="AR78" s="198">
        <f t="shared" si="0"/>
        <v>0</v>
      </c>
      <c r="AS78" s="198">
        <f t="shared" si="0"/>
        <v>0</v>
      </c>
      <c r="AT78" s="198">
        <f t="shared" si="0"/>
        <v>0</v>
      </c>
      <c r="AU78" s="198">
        <f t="shared" si="0"/>
        <v>0</v>
      </c>
      <c r="AV78" s="198">
        <f t="shared" si="0"/>
        <v>0</v>
      </c>
      <c r="AW78" s="198"/>
      <c r="AX78" s="198"/>
      <c r="AY78" s="198"/>
      <c r="AZ78" s="198"/>
      <c r="BA78" s="198"/>
      <c r="BB78" s="198"/>
      <c r="BC78" s="198"/>
      <c r="BD78" s="198"/>
      <c r="BE78" s="198"/>
      <c r="BF78" s="198"/>
    </row>
    <row r="79" spans="1:58" s="196" customFormat="1" ht="15" customHeight="1" x14ac:dyDescent="0.15">
      <c r="A79" s="195" t="s">
        <v>386</v>
      </c>
      <c r="B79" s="197" t="s">
        <v>52</v>
      </c>
      <c r="C79" s="196" t="s">
        <v>335</v>
      </c>
      <c r="D79" s="195" t="s">
        <v>387</v>
      </c>
      <c r="E79" s="195" t="s">
        <v>264</v>
      </c>
      <c r="F79" s="199" t="s">
        <v>388</v>
      </c>
      <c r="G79" s="195" t="s">
        <v>377</v>
      </c>
      <c r="T79" s="198">
        <f>+T26-T54</f>
        <v>1052.0501346252943</v>
      </c>
      <c r="U79" s="198">
        <f t="shared" ref="U79:AV82" si="2">+U26-U54</f>
        <v>1055.7563378403399</v>
      </c>
      <c r="V79" s="198">
        <f t="shared" si="2"/>
        <v>1046.4509493190601</v>
      </c>
      <c r="W79" s="198">
        <f t="shared" si="2"/>
        <v>1026.9763246671901</v>
      </c>
      <c r="X79" s="198">
        <f t="shared" si="2"/>
        <v>1014.5207786029401</v>
      </c>
      <c r="Y79" s="198">
        <f t="shared" si="2"/>
        <v>907.06902741149497</v>
      </c>
      <c r="Z79" s="198">
        <f t="shared" si="2"/>
        <v>840.33342125695003</v>
      </c>
      <c r="AA79" s="198">
        <f t="shared" si="2"/>
        <v>727.52691618891504</v>
      </c>
      <c r="AB79" s="198">
        <f t="shared" si="2"/>
        <v>619.05885162722404</v>
      </c>
      <c r="AC79" s="198">
        <f t="shared" si="2"/>
        <v>419.93994907932506</v>
      </c>
      <c r="AD79" s="198">
        <f t="shared" si="2"/>
        <v>283.82483201438799</v>
      </c>
      <c r="AE79" s="198">
        <f t="shared" si="2"/>
        <v>160.02525385970199</v>
      </c>
      <c r="AF79" s="198">
        <f t="shared" si="2"/>
        <v>76.441695812137198</v>
      </c>
      <c r="AG79" s="198">
        <f t="shared" si="2"/>
        <v>0.69360392937123549</v>
      </c>
      <c r="AH79" s="198">
        <f t="shared" si="2"/>
        <v>0.65203504338796137</v>
      </c>
      <c r="AI79" s="198">
        <f t="shared" si="2"/>
        <v>0</v>
      </c>
      <c r="AJ79" s="198">
        <f t="shared" si="2"/>
        <v>0</v>
      </c>
      <c r="AK79" s="198">
        <f t="shared" si="2"/>
        <v>0</v>
      </c>
      <c r="AL79" s="198">
        <f t="shared" si="2"/>
        <v>0</v>
      </c>
      <c r="AM79" s="198">
        <f t="shared" si="2"/>
        <v>0</v>
      </c>
      <c r="AN79" s="198">
        <f t="shared" si="2"/>
        <v>0</v>
      </c>
      <c r="AO79" s="198">
        <f t="shared" si="2"/>
        <v>0</v>
      </c>
      <c r="AP79" s="198">
        <f t="shared" si="2"/>
        <v>0</v>
      </c>
      <c r="AQ79" s="198">
        <f t="shared" si="2"/>
        <v>0</v>
      </c>
      <c r="AR79" s="198">
        <f t="shared" si="2"/>
        <v>0</v>
      </c>
      <c r="AS79" s="198">
        <f t="shared" si="2"/>
        <v>0</v>
      </c>
      <c r="AT79" s="198">
        <f t="shared" si="2"/>
        <v>0</v>
      </c>
      <c r="AU79" s="198">
        <f t="shared" si="2"/>
        <v>0</v>
      </c>
      <c r="AV79" s="198">
        <f t="shared" si="2"/>
        <v>0</v>
      </c>
      <c r="AW79" s="198"/>
      <c r="AX79" s="198"/>
      <c r="AY79" s="198"/>
      <c r="AZ79" s="198"/>
      <c r="BA79" s="198"/>
      <c r="BB79" s="198"/>
      <c r="BC79" s="198"/>
      <c r="BD79" s="198"/>
      <c r="BE79" s="198"/>
      <c r="BF79" s="198"/>
    </row>
    <row r="80" spans="1:58" s="196" customFormat="1" ht="15" customHeight="1" x14ac:dyDescent="0.15">
      <c r="A80" s="195" t="s">
        <v>386</v>
      </c>
      <c r="B80" s="197" t="s">
        <v>52</v>
      </c>
      <c r="C80" s="196" t="s">
        <v>443</v>
      </c>
      <c r="D80" s="195" t="s">
        <v>387</v>
      </c>
      <c r="E80" s="195" t="s">
        <v>264</v>
      </c>
      <c r="F80" s="199" t="s">
        <v>388</v>
      </c>
      <c r="G80" s="195" t="s">
        <v>377</v>
      </c>
      <c r="T80" s="198">
        <f t="shared" ref="T80:AI82" si="3">+T27-T55</f>
        <v>1105.54555787083</v>
      </c>
      <c r="U80" s="198">
        <f t="shared" si="3"/>
        <v>1098.2286623912528</v>
      </c>
      <c r="V80" s="198">
        <f t="shared" si="3"/>
        <v>1057.7294021103667</v>
      </c>
      <c r="W80" s="198">
        <f t="shared" si="3"/>
        <v>979.9330504489194</v>
      </c>
      <c r="X80" s="198">
        <f t="shared" si="3"/>
        <v>882.06614207796292</v>
      </c>
      <c r="Y80" s="198">
        <f t="shared" si="3"/>
        <v>763.94665732090493</v>
      </c>
      <c r="Z80" s="198">
        <f t="shared" si="3"/>
        <v>686.98555442791417</v>
      </c>
      <c r="AA80" s="198">
        <f t="shared" si="3"/>
        <v>597.26849108394697</v>
      </c>
      <c r="AB80" s="198">
        <f t="shared" si="3"/>
        <v>502.09464203319499</v>
      </c>
      <c r="AC80" s="198">
        <f t="shared" si="3"/>
        <v>352.76105719787103</v>
      </c>
      <c r="AD80" s="198">
        <f t="shared" si="3"/>
        <v>249.549060363303</v>
      </c>
      <c r="AE80" s="198">
        <f t="shared" si="3"/>
        <v>147.158947816374</v>
      </c>
      <c r="AF80" s="198">
        <f t="shared" si="3"/>
        <v>80.646400883591198</v>
      </c>
      <c r="AG80" s="198">
        <f t="shared" si="3"/>
        <v>17.963999999999992</v>
      </c>
      <c r="AH80" s="198">
        <f t="shared" si="3"/>
        <v>8.892000000000003</v>
      </c>
      <c r="AI80" s="198">
        <f t="shared" si="3"/>
        <v>4.402000000000001</v>
      </c>
      <c r="AJ80" s="198">
        <f t="shared" si="2"/>
        <v>4.3590000000000018</v>
      </c>
      <c r="AK80" s="198">
        <f t="shared" si="2"/>
        <v>0</v>
      </c>
      <c r="AL80" s="198">
        <f t="shared" si="2"/>
        <v>0</v>
      </c>
      <c r="AM80" s="198">
        <f t="shared" si="2"/>
        <v>0</v>
      </c>
      <c r="AN80" s="198">
        <f t="shared" si="2"/>
        <v>0</v>
      </c>
      <c r="AO80" s="198">
        <f t="shared" si="2"/>
        <v>0</v>
      </c>
      <c r="AP80" s="198">
        <f t="shared" si="2"/>
        <v>0</v>
      </c>
      <c r="AQ80" s="198">
        <f t="shared" si="2"/>
        <v>0</v>
      </c>
      <c r="AR80" s="198">
        <f t="shared" si="2"/>
        <v>0</v>
      </c>
      <c r="AS80" s="198">
        <f t="shared" si="2"/>
        <v>0</v>
      </c>
      <c r="AT80" s="198">
        <f t="shared" si="2"/>
        <v>0</v>
      </c>
      <c r="AU80" s="198">
        <f t="shared" si="2"/>
        <v>0</v>
      </c>
      <c r="AV80" s="198">
        <f t="shared" si="2"/>
        <v>0</v>
      </c>
      <c r="AW80" s="198"/>
      <c r="AX80" s="198"/>
      <c r="AY80" s="198"/>
      <c r="AZ80" s="198"/>
      <c r="BA80" s="198"/>
      <c r="BB80" s="198"/>
      <c r="BC80" s="198"/>
      <c r="BD80" s="198"/>
      <c r="BE80" s="198"/>
      <c r="BF80" s="198"/>
    </row>
    <row r="81" spans="1:58" s="196" customFormat="1" ht="15" customHeight="1" x14ac:dyDescent="0.15">
      <c r="A81" s="195" t="s">
        <v>386</v>
      </c>
      <c r="B81" s="197" t="s">
        <v>52</v>
      </c>
      <c r="C81" s="196" t="s">
        <v>336</v>
      </c>
      <c r="D81" s="195" t="s">
        <v>387</v>
      </c>
      <c r="E81" s="195" t="s">
        <v>264</v>
      </c>
      <c r="F81" s="199" t="s">
        <v>388</v>
      </c>
      <c r="G81" s="195" t="s">
        <v>377</v>
      </c>
      <c r="T81" s="198">
        <f t="shared" si="3"/>
        <v>845.05454486654571</v>
      </c>
      <c r="U81" s="198">
        <f t="shared" si="2"/>
        <v>826.68398752152461</v>
      </c>
      <c r="V81" s="198">
        <f t="shared" si="2"/>
        <v>825.09284400859951</v>
      </c>
      <c r="W81" s="198">
        <f t="shared" si="2"/>
        <v>789.29583425045018</v>
      </c>
      <c r="X81" s="198">
        <f t="shared" si="2"/>
        <v>718.42578004706877</v>
      </c>
      <c r="Y81" s="198">
        <f t="shared" si="2"/>
        <v>627.01727844418099</v>
      </c>
      <c r="Z81" s="198">
        <f t="shared" si="2"/>
        <v>563.63241919071402</v>
      </c>
      <c r="AA81" s="198">
        <f t="shared" si="2"/>
        <v>481.83989497396999</v>
      </c>
      <c r="AB81" s="198">
        <f t="shared" si="2"/>
        <v>408.06654501409798</v>
      </c>
      <c r="AC81" s="198">
        <f t="shared" si="2"/>
        <v>360.994419870591</v>
      </c>
      <c r="AD81" s="198">
        <f t="shared" si="2"/>
        <v>321.67687914891502</v>
      </c>
      <c r="AE81" s="198">
        <f t="shared" si="2"/>
        <v>285.74771565093204</v>
      </c>
      <c r="AF81" s="198">
        <f t="shared" si="2"/>
        <v>246.316469538219</v>
      </c>
      <c r="AG81" s="198">
        <f t="shared" si="2"/>
        <v>209.48759255533798</v>
      </c>
      <c r="AH81" s="198">
        <f t="shared" si="2"/>
        <v>157.21656540963801</v>
      </c>
      <c r="AI81" s="198">
        <f t="shared" si="2"/>
        <v>105.03429660037999</v>
      </c>
      <c r="AJ81" s="198">
        <f t="shared" si="2"/>
        <v>80.360783359288703</v>
      </c>
      <c r="AK81" s="198">
        <f t="shared" si="2"/>
        <v>53.915891513472793</v>
      </c>
      <c r="AL81" s="198">
        <f t="shared" si="2"/>
        <v>33.062579626068803</v>
      </c>
      <c r="AM81" s="198">
        <f t="shared" si="2"/>
        <v>26.810704871778501</v>
      </c>
      <c r="AN81" s="198">
        <f t="shared" si="2"/>
        <v>20.7634412347942</v>
      </c>
      <c r="AO81" s="198">
        <f t="shared" si="2"/>
        <v>15.021127507538402</v>
      </c>
      <c r="AP81" s="198">
        <f t="shared" si="2"/>
        <v>6.8329196679535009</v>
      </c>
      <c r="AQ81" s="198">
        <f t="shared" si="2"/>
        <v>0</v>
      </c>
      <c r="AR81" s="198">
        <f t="shared" si="2"/>
        <v>0</v>
      </c>
      <c r="AS81" s="198">
        <f t="shared" si="2"/>
        <v>0</v>
      </c>
      <c r="AT81" s="198">
        <f t="shared" si="2"/>
        <v>0</v>
      </c>
      <c r="AU81" s="198">
        <f t="shared" si="2"/>
        <v>0</v>
      </c>
      <c r="AV81" s="198">
        <f t="shared" si="2"/>
        <v>0</v>
      </c>
      <c r="AW81" s="198"/>
      <c r="AX81" s="198"/>
      <c r="AY81" s="198"/>
      <c r="AZ81" s="198"/>
      <c r="BA81" s="198"/>
      <c r="BB81" s="198"/>
      <c r="BC81" s="198"/>
      <c r="BD81" s="198"/>
      <c r="BE81" s="198"/>
      <c r="BF81" s="198"/>
    </row>
    <row r="82" spans="1:58" s="196" customFormat="1" ht="15" customHeight="1" x14ac:dyDescent="0.15">
      <c r="A82" s="195" t="s">
        <v>386</v>
      </c>
      <c r="B82" s="197" t="s">
        <v>52</v>
      </c>
      <c r="C82" s="196" t="s">
        <v>234</v>
      </c>
      <c r="D82" s="195" t="s">
        <v>387</v>
      </c>
      <c r="E82" s="195" t="s">
        <v>264</v>
      </c>
      <c r="F82" s="199" t="s">
        <v>388</v>
      </c>
      <c r="G82" s="195" t="s">
        <v>377</v>
      </c>
      <c r="T82" s="198">
        <f t="shared" si="3"/>
        <v>1013.6162589973142</v>
      </c>
      <c r="U82" s="198">
        <f t="shared" si="2"/>
        <v>999.50352529865086</v>
      </c>
      <c r="V82" s="198">
        <f t="shared" si="2"/>
        <v>974.48037666501864</v>
      </c>
      <c r="W82" s="198">
        <f t="shared" si="2"/>
        <v>925.93237266260303</v>
      </c>
      <c r="X82" s="198">
        <f t="shared" si="2"/>
        <v>881.58001728776196</v>
      </c>
      <c r="Y82" s="198">
        <f t="shared" si="2"/>
        <v>776.41989261016295</v>
      </c>
      <c r="Z82" s="198">
        <f t="shared" si="2"/>
        <v>707.18570607972697</v>
      </c>
      <c r="AA82" s="198">
        <f t="shared" si="2"/>
        <v>609.82682181777704</v>
      </c>
      <c r="AB82" s="198">
        <f t="shared" si="2"/>
        <v>516.82410449387203</v>
      </c>
      <c r="AC82" s="198">
        <f t="shared" si="2"/>
        <v>386.193702276419</v>
      </c>
      <c r="AD82" s="198">
        <f t="shared" si="2"/>
        <v>290.816008679471</v>
      </c>
      <c r="AE82" s="198">
        <f t="shared" si="2"/>
        <v>201.67980497413396</v>
      </c>
      <c r="AF82" s="198">
        <f t="shared" si="2"/>
        <v>135.90249303531601</v>
      </c>
      <c r="AG82" s="198">
        <f t="shared" si="2"/>
        <v>75.0232656789847</v>
      </c>
      <c r="AH82" s="198">
        <f t="shared" si="2"/>
        <v>56.710950788679192</v>
      </c>
      <c r="AI82" s="198">
        <f t="shared" si="2"/>
        <v>36.937824385619805</v>
      </c>
      <c r="AJ82" s="198">
        <f t="shared" si="2"/>
        <v>27.9261674171495</v>
      </c>
      <c r="AK82" s="198">
        <f t="shared" si="2"/>
        <v>17.925258018946401</v>
      </c>
      <c r="AL82" s="198">
        <f t="shared" si="2"/>
        <v>10.830228828306602</v>
      </c>
      <c r="AM82" s="198">
        <f t="shared" si="2"/>
        <v>9.8102062716991441</v>
      </c>
      <c r="AN82" s="198">
        <f t="shared" si="2"/>
        <v>7.5836524652900188</v>
      </c>
      <c r="AO82" s="198">
        <f t="shared" si="2"/>
        <v>5.4906546105649809</v>
      </c>
      <c r="AP82" s="198">
        <f t="shared" si="2"/>
        <v>2.5022362595470184</v>
      </c>
      <c r="AQ82" s="198">
        <f t="shared" si="2"/>
        <v>0</v>
      </c>
      <c r="AR82" s="198">
        <f t="shared" si="2"/>
        <v>0</v>
      </c>
      <c r="AS82" s="198">
        <f t="shared" si="2"/>
        <v>0</v>
      </c>
      <c r="AT82" s="198">
        <f t="shared" si="2"/>
        <v>0</v>
      </c>
      <c r="AU82" s="198">
        <f t="shared" si="2"/>
        <v>0</v>
      </c>
      <c r="AV82" s="198">
        <f t="shared" si="2"/>
        <v>0</v>
      </c>
      <c r="AW82" s="198"/>
      <c r="AX82" s="198"/>
      <c r="AY82" s="198"/>
      <c r="AZ82" s="198"/>
      <c r="BA82" s="198"/>
      <c r="BB82" s="198"/>
      <c r="BC82" s="198"/>
      <c r="BD82" s="198"/>
      <c r="BE82" s="198"/>
      <c r="BF82" s="198"/>
    </row>
    <row r="83" spans="1:58" s="196" customFormat="1" ht="15" customHeight="1" x14ac:dyDescent="0.15">
      <c r="A83" s="195" t="s">
        <v>386</v>
      </c>
      <c r="B83" s="197" t="s">
        <v>52</v>
      </c>
      <c r="C83" s="196" t="s">
        <v>335</v>
      </c>
      <c r="D83" s="195" t="s">
        <v>387</v>
      </c>
      <c r="E83" s="195" t="s">
        <v>264</v>
      </c>
      <c r="F83" s="199" t="s">
        <v>388</v>
      </c>
      <c r="G83" s="195" t="s">
        <v>338</v>
      </c>
      <c r="T83" s="198">
        <f>+T34-T58</f>
        <v>811.36124362926444</v>
      </c>
      <c r="U83" s="198">
        <f t="shared" ref="U83:AV86" si="4">+U34-U58</f>
        <v>800.93210449916398</v>
      </c>
      <c r="V83" s="198">
        <f t="shared" si="4"/>
        <v>789.04972445913995</v>
      </c>
      <c r="W83" s="198">
        <f t="shared" si="4"/>
        <v>750.51038207707484</v>
      </c>
      <c r="X83" s="198">
        <f t="shared" si="4"/>
        <v>708.20677888277396</v>
      </c>
      <c r="Y83" s="198">
        <f t="shared" si="4"/>
        <v>639.12973326217502</v>
      </c>
      <c r="Z83" s="198">
        <f t="shared" si="4"/>
        <v>573.79408454372401</v>
      </c>
      <c r="AA83" s="198">
        <f t="shared" si="4"/>
        <v>480.29483874275701</v>
      </c>
      <c r="AB83" s="198">
        <f t="shared" si="4"/>
        <v>392.76302863980101</v>
      </c>
      <c r="AC83" s="198">
        <f t="shared" si="4"/>
        <v>252.589762348622</v>
      </c>
      <c r="AD83" s="198">
        <f t="shared" si="4"/>
        <v>163.99157386684499</v>
      </c>
      <c r="AE83" s="198">
        <f t="shared" si="4"/>
        <v>87.446919442845498</v>
      </c>
      <c r="AF83" s="198">
        <f t="shared" si="4"/>
        <v>40.531417120228198</v>
      </c>
      <c r="AG83" s="198">
        <f t="shared" si="4"/>
        <v>4.8789070292635017E-2</v>
      </c>
      <c r="AH83" s="198">
        <f t="shared" si="4"/>
        <v>4.3837267962889115E-2</v>
      </c>
      <c r="AI83" s="198">
        <f t="shared" si="4"/>
        <v>6.3613519129290808E-4</v>
      </c>
      <c r="AJ83" s="198">
        <f t="shared" si="4"/>
        <v>5.9668482545660595E-4</v>
      </c>
      <c r="AK83" s="198">
        <f t="shared" si="4"/>
        <v>5.6697333328159516E-4</v>
      </c>
      <c r="AL83" s="198">
        <f t="shared" si="4"/>
        <v>0</v>
      </c>
      <c r="AM83" s="198">
        <f t="shared" si="4"/>
        <v>0</v>
      </c>
      <c r="AN83" s="198">
        <f t="shared" si="4"/>
        <v>0</v>
      </c>
      <c r="AO83" s="198">
        <f t="shared" si="4"/>
        <v>0</v>
      </c>
      <c r="AP83" s="198">
        <f t="shared" si="4"/>
        <v>0</v>
      </c>
      <c r="AQ83" s="198">
        <f t="shared" si="4"/>
        <v>0</v>
      </c>
      <c r="AR83" s="198">
        <f t="shared" si="4"/>
        <v>0</v>
      </c>
      <c r="AS83" s="198">
        <f t="shared" si="4"/>
        <v>0</v>
      </c>
      <c r="AT83" s="198">
        <f t="shared" si="4"/>
        <v>0</v>
      </c>
      <c r="AU83" s="198">
        <f t="shared" si="4"/>
        <v>0</v>
      </c>
      <c r="AV83" s="198">
        <f t="shared" si="4"/>
        <v>0</v>
      </c>
      <c r="AW83" s="198"/>
      <c r="AX83" s="198"/>
      <c r="AY83" s="198"/>
      <c r="AZ83" s="198"/>
      <c r="BA83" s="198"/>
      <c r="BB83" s="198"/>
      <c r="BC83" s="198"/>
      <c r="BD83" s="198"/>
      <c r="BE83" s="198"/>
      <c r="BF83" s="198"/>
    </row>
    <row r="84" spans="1:58" s="196" customFormat="1" ht="15" customHeight="1" x14ac:dyDescent="0.15">
      <c r="A84" s="195" t="s">
        <v>386</v>
      </c>
      <c r="B84" s="197" t="s">
        <v>52</v>
      </c>
      <c r="C84" s="196" t="s">
        <v>443</v>
      </c>
      <c r="D84" s="195" t="s">
        <v>387</v>
      </c>
      <c r="E84" s="195" t="s">
        <v>264</v>
      </c>
      <c r="F84" s="199" t="s">
        <v>388</v>
      </c>
      <c r="G84" s="195" t="s">
        <v>338</v>
      </c>
      <c r="T84" s="198">
        <f t="shared" ref="T84:AI86" si="5">+T35-T59</f>
        <v>535.69239667199895</v>
      </c>
      <c r="U84" s="198">
        <f t="shared" si="5"/>
        <v>530.78437726456104</v>
      </c>
      <c r="V84" s="198">
        <f t="shared" si="5"/>
        <v>527.12574460977203</v>
      </c>
      <c r="W84" s="198">
        <f t="shared" si="5"/>
        <v>491.65347567798807</v>
      </c>
      <c r="X84" s="198">
        <f t="shared" si="5"/>
        <v>452.62369917793302</v>
      </c>
      <c r="Y84" s="198">
        <f t="shared" si="5"/>
        <v>414.015476820483</v>
      </c>
      <c r="Z84" s="198">
        <f t="shared" si="5"/>
        <v>373.82506675965402</v>
      </c>
      <c r="AA84" s="198">
        <f t="shared" si="5"/>
        <v>321.086872221536</v>
      </c>
      <c r="AB84" s="198">
        <f t="shared" si="5"/>
        <v>266.87480399999998</v>
      </c>
      <c r="AC84" s="198">
        <f t="shared" si="5"/>
        <v>182.56003811704898</v>
      </c>
      <c r="AD84" s="198">
        <f t="shared" si="5"/>
        <v>125.27885273944801</v>
      </c>
      <c r="AE84" s="198">
        <f t="shared" si="5"/>
        <v>70.908288207065397</v>
      </c>
      <c r="AF84" s="198">
        <f t="shared" si="5"/>
        <v>37.088661375905502</v>
      </c>
      <c r="AG84" s="198">
        <f t="shared" si="5"/>
        <v>6.7360000000000007</v>
      </c>
      <c r="AH84" s="198">
        <f t="shared" si="5"/>
        <v>3.2079999999999984</v>
      </c>
      <c r="AI84" s="198">
        <f t="shared" si="5"/>
        <v>1.5279999999999987</v>
      </c>
      <c r="AJ84" s="198">
        <f t="shared" si="4"/>
        <v>1.4550000000000018</v>
      </c>
      <c r="AK84" s="198">
        <f t="shared" si="4"/>
        <v>0</v>
      </c>
      <c r="AL84" s="198">
        <f t="shared" si="4"/>
        <v>0</v>
      </c>
      <c r="AM84" s="198">
        <f t="shared" si="4"/>
        <v>0</v>
      </c>
      <c r="AN84" s="198">
        <f t="shared" si="4"/>
        <v>0</v>
      </c>
      <c r="AO84" s="198">
        <f t="shared" si="4"/>
        <v>0</v>
      </c>
      <c r="AP84" s="198">
        <f t="shared" si="4"/>
        <v>0</v>
      </c>
      <c r="AQ84" s="198">
        <f t="shared" si="4"/>
        <v>0</v>
      </c>
      <c r="AR84" s="198">
        <f t="shared" si="4"/>
        <v>0</v>
      </c>
      <c r="AS84" s="198">
        <f t="shared" si="4"/>
        <v>0</v>
      </c>
      <c r="AT84" s="198">
        <f t="shared" si="4"/>
        <v>0</v>
      </c>
      <c r="AU84" s="198">
        <f t="shared" si="4"/>
        <v>0</v>
      </c>
      <c r="AV84" s="198">
        <f t="shared" si="4"/>
        <v>0</v>
      </c>
      <c r="AW84" s="198"/>
      <c r="AX84" s="198"/>
      <c r="AY84" s="198"/>
      <c r="AZ84" s="198"/>
      <c r="BA84" s="198"/>
      <c r="BB84" s="198"/>
      <c r="BC84" s="198"/>
      <c r="BD84" s="198"/>
      <c r="BE84" s="198"/>
      <c r="BF84" s="198"/>
    </row>
    <row r="85" spans="1:58" s="196" customFormat="1" ht="15" customHeight="1" x14ac:dyDescent="0.15">
      <c r="A85" s="195" t="s">
        <v>386</v>
      </c>
      <c r="B85" s="197" t="s">
        <v>52</v>
      </c>
      <c r="C85" s="196" t="s">
        <v>336</v>
      </c>
      <c r="D85" s="195" t="s">
        <v>387</v>
      </c>
      <c r="E85" s="195" t="s">
        <v>264</v>
      </c>
      <c r="F85" s="199" t="s">
        <v>388</v>
      </c>
      <c r="G85" s="195" t="s">
        <v>338</v>
      </c>
      <c r="T85" s="198">
        <f t="shared" si="5"/>
        <v>640.50427975055902</v>
      </c>
      <c r="U85" s="198">
        <f t="shared" si="4"/>
        <v>637.77070555840498</v>
      </c>
      <c r="V85" s="198">
        <f t="shared" si="4"/>
        <v>646.96583673575401</v>
      </c>
      <c r="W85" s="198">
        <f t="shared" si="4"/>
        <v>609.89479778831003</v>
      </c>
      <c r="X85" s="198">
        <f t="shared" si="4"/>
        <v>567.75722126252504</v>
      </c>
      <c r="Y85" s="198">
        <f t="shared" si="4"/>
        <v>528.19618270718195</v>
      </c>
      <c r="Z85" s="198">
        <f t="shared" si="4"/>
        <v>489.594119561198</v>
      </c>
      <c r="AA85" s="198">
        <f t="shared" si="4"/>
        <v>442.46304626378202</v>
      </c>
      <c r="AB85" s="198">
        <f t="shared" si="4"/>
        <v>398.07466125884798</v>
      </c>
      <c r="AC85" s="198">
        <f t="shared" si="4"/>
        <v>347.19659711356297</v>
      </c>
      <c r="AD85" s="198">
        <f t="shared" si="4"/>
        <v>306.26232454237203</v>
      </c>
      <c r="AE85" s="198">
        <f t="shared" si="4"/>
        <v>268.405616040594</v>
      </c>
      <c r="AF85" s="198">
        <f t="shared" si="4"/>
        <v>225.65006591706199</v>
      </c>
      <c r="AG85" s="198">
        <f t="shared" si="4"/>
        <v>185.97421421923801</v>
      </c>
      <c r="AH85" s="198">
        <f t="shared" si="4"/>
        <v>134.47804738808</v>
      </c>
      <c r="AI85" s="198">
        <f t="shared" si="4"/>
        <v>86.340589466529593</v>
      </c>
      <c r="AJ85" s="198">
        <f t="shared" si="4"/>
        <v>63.991930546735801</v>
      </c>
      <c r="AK85" s="198">
        <f t="shared" si="4"/>
        <v>42.966870136962399</v>
      </c>
      <c r="AL85" s="198">
        <f t="shared" si="4"/>
        <v>24.869337495408605</v>
      </c>
      <c r="AM85" s="198">
        <f t="shared" si="4"/>
        <v>19.399242820508004</v>
      </c>
      <c r="AN85" s="198">
        <f t="shared" si="4"/>
        <v>13.9861213840398</v>
      </c>
      <c r="AO85" s="198">
        <f t="shared" si="4"/>
        <v>9.2042391116621722</v>
      </c>
      <c r="AP85" s="198">
        <f t="shared" si="4"/>
        <v>4.2583391471214309</v>
      </c>
      <c r="AQ85" s="198">
        <f t="shared" si="4"/>
        <v>0</v>
      </c>
      <c r="AR85" s="198">
        <f t="shared" si="4"/>
        <v>0</v>
      </c>
      <c r="AS85" s="198">
        <f t="shared" si="4"/>
        <v>0</v>
      </c>
      <c r="AT85" s="198">
        <f t="shared" si="4"/>
        <v>0</v>
      </c>
      <c r="AU85" s="198">
        <f t="shared" si="4"/>
        <v>0</v>
      </c>
      <c r="AV85" s="198">
        <f t="shared" si="4"/>
        <v>0</v>
      </c>
      <c r="AW85" s="198"/>
      <c r="AX85" s="198"/>
      <c r="AY85" s="198"/>
      <c r="AZ85" s="198"/>
      <c r="BA85" s="198"/>
      <c r="BB85" s="198"/>
      <c r="BC85" s="198"/>
      <c r="BD85" s="198"/>
      <c r="BE85" s="198"/>
      <c r="BF85" s="198"/>
    </row>
    <row r="86" spans="1:58" s="196" customFormat="1" ht="15" customHeight="1" x14ac:dyDescent="0.15">
      <c r="A86" s="195" t="s">
        <v>386</v>
      </c>
      <c r="B86" s="197" t="s">
        <v>52</v>
      </c>
      <c r="C86" s="196" t="s">
        <v>234</v>
      </c>
      <c r="D86" s="195" t="s">
        <v>387</v>
      </c>
      <c r="E86" s="195" t="s">
        <v>264</v>
      </c>
      <c r="F86" s="199" t="s">
        <v>388</v>
      </c>
      <c r="G86" s="195" t="s">
        <v>338</v>
      </c>
      <c r="T86" s="198">
        <f t="shared" si="5"/>
        <v>679.19519062862196</v>
      </c>
      <c r="U86" s="198">
        <f t="shared" si="4"/>
        <v>673.19418117634496</v>
      </c>
      <c r="V86" s="198">
        <f t="shared" si="4"/>
        <v>662.10979062307115</v>
      </c>
      <c r="W86" s="198">
        <f t="shared" si="4"/>
        <v>633.88528818593102</v>
      </c>
      <c r="X86" s="198">
        <f t="shared" si="4"/>
        <v>590.53755674737204</v>
      </c>
      <c r="Y86" s="198">
        <f t="shared" si="4"/>
        <v>540.89094341870702</v>
      </c>
      <c r="Z86" s="198">
        <f t="shared" si="4"/>
        <v>492.00209900855305</v>
      </c>
      <c r="AA86" s="198">
        <f t="shared" si="4"/>
        <v>425.60533317817999</v>
      </c>
      <c r="AB86" s="198">
        <f t="shared" si="4"/>
        <v>362.17286116966</v>
      </c>
      <c r="AC86" s="198">
        <f t="shared" si="4"/>
        <v>276.62514913512393</v>
      </c>
      <c r="AD86" s="198">
        <f t="shared" si="4"/>
        <v>215.88777194455599</v>
      </c>
      <c r="AE86" s="198">
        <f t="shared" si="4"/>
        <v>161.79063383953101</v>
      </c>
      <c r="AF86" s="198">
        <f t="shared" si="4"/>
        <v>119.77288273540901</v>
      </c>
      <c r="AG86" s="198">
        <f t="shared" si="4"/>
        <v>80.972019891622196</v>
      </c>
      <c r="AH86" s="198">
        <f t="shared" si="4"/>
        <v>57.419933522646502</v>
      </c>
      <c r="AI86" s="198">
        <f t="shared" si="4"/>
        <v>36.451065707015097</v>
      </c>
      <c r="AJ86" s="198">
        <f t="shared" si="4"/>
        <v>27.045630078879402</v>
      </c>
      <c r="AK86" s="198">
        <f t="shared" si="4"/>
        <v>18.031737587881299</v>
      </c>
      <c r="AL86" s="198">
        <f t="shared" si="4"/>
        <v>10.497825985613698</v>
      </c>
      <c r="AM86" s="198">
        <f t="shared" si="4"/>
        <v>8.3008252016163482</v>
      </c>
      <c r="AN86" s="198">
        <f t="shared" si="4"/>
        <v>5.9830355133352118</v>
      </c>
      <c r="AO86" s="198">
        <f t="shared" si="4"/>
        <v>3.9400968217352208</v>
      </c>
      <c r="AP86" s="198">
        <f t="shared" si="4"/>
        <v>1.8164741589706708</v>
      </c>
      <c r="AQ86" s="198">
        <f t="shared" si="4"/>
        <v>0</v>
      </c>
      <c r="AR86" s="198">
        <f t="shared" si="4"/>
        <v>0</v>
      </c>
      <c r="AS86" s="198">
        <f t="shared" si="4"/>
        <v>0</v>
      </c>
      <c r="AT86" s="198">
        <f t="shared" si="4"/>
        <v>0</v>
      </c>
      <c r="AU86" s="198">
        <f t="shared" si="4"/>
        <v>0</v>
      </c>
      <c r="AV86" s="198">
        <f t="shared" si="4"/>
        <v>0</v>
      </c>
      <c r="AW86" s="198"/>
      <c r="AX86" s="198"/>
      <c r="AY86" s="198"/>
      <c r="AZ86" s="198"/>
      <c r="BA86" s="198"/>
      <c r="BB86" s="198"/>
      <c r="BC86" s="198"/>
      <c r="BD86" s="198"/>
      <c r="BE86" s="198"/>
      <c r="BF86" s="198"/>
    </row>
    <row r="87" spans="1:58" s="196" customFormat="1" ht="15" customHeight="1" x14ac:dyDescent="0.15">
      <c r="A87" s="195" t="s">
        <v>386</v>
      </c>
      <c r="B87" s="197" t="s">
        <v>52</v>
      </c>
      <c r="C87" s="196" t="s">
        <v>335</v>
      </c>
      <c r="D87" s="195" t="s">
        <v>387</v>
      </c>
      <c r="E87" s="195" t="s">
        <v>264</v>
      </c>
      <c r="F87" s="199" t="s">
        <v>388</v>
      </c>
      <c r="G87" s="195" t="s">
        <v>339</v>
      </c>
      <c r="T87" s="198">
        <f>+T42-T62</f>
        <v>913.85680641441218</v>
      </c>
      <c r="U87" s="198">
        <f t="shared" ref="U87:AV90" si="6">+U42-U62</f>
        <v>906.444653931419</v>
      </c>
      <c r="V87" s="198">
        <f t="shared" si="6"/>
        <v>899.34963108356999</v>
      </c>
      <c r="W87" s="198">
        <f t="shared" si="6"/>
        <v>824.97551326187704</v>
      </c>
      <c r="X87" s="198">
        <f t="shared" si="6"/>
        <v>753.38578389935287</v>
      </c>
      <c r="Y87" s="198">
        <f t="shared" si="6"/>
        <v>679.35986594511496</v>
      </c>
      <c r="Z87" s="198">
        <f t="shared" si="6"/>
        <v>610.00744957154905</v>
      </c>
      <c r="AA87" s="198">
        <f t="shared" si="6"/>
        <v>510.94208995455102</v>
      </c>
      <c r="AB87" s="198">
        <f t="shared" si="6"/>
        <v>418.481660937882</v>
      </c>
      <c r="AC87" s="198">
        <f t="shared" si="6"/>
        <v>269.83304641536802</v>
      </c>
      <c r="AD87" s="198">
        <f t="shared" si="6"/>
        <v>175.73408796169801</v>
      </c>
      <c r="AE87" s="198">
        <f t="shared" si="6"/>
        <v>93.840239706064381</v>
      </c>
      <c r="AF87" s="198">
        <f t="shared" si="6"/>
        <v>43.451672214555991</v>
      </c>
      <c r="AG87" s="198">
        <f t="shared" si="6"/>
        <v>3.1006928445492576E-2</v>
      </c>
      <c r="AH87" s="198">
        <f t="shared" si="6"/>
        <v>2.8355261026728584E-2</v>
      </c>
      <c r="AI87" s="198">
        <f t="shared" si="6"/>
        <v>1.7673144005598829E-3</v>
      </c>
      <c r="AJ87" s="198">
        <f t="shared" si="6"/>
        <v>1.6312135197615873E-3</v>
      </c>
      <c r="AK87" s="198">
        <f t="shared" si="6"/>
        <v>1.5277687360786274E-3</v>
      </c>
      <c r="AL87" s="198">
        <f t="shared" si="6"/>
        <v>7.2388788369082135E-4</v>
      </c>
      <c r="AM87" s="198">
        <f t="shared" si="6"/>
        <v>7.0669939571743612E-4</v>
      </c>
      <c r="AN87" s="198">
        <f t="shared" si="6"/>
        <v>0</v>
      </c>
      <c r="AO87" s="198">
        <f t="shared" si="6"/>
        <v>0</v>
      </c>
      <c r="AP87" s="198">
        <f t="shared" si="6"/>
        <v>0</v>
      </c>
      <c r="AQ87" s="198">
        <f t="shared" si="6"/>
        <v>0</v>
      </c>
      <c r="AR87" s="198">
        <f t="shared" si="6"/>
        <v>0</v>
      </c>
      <c r="AS87" s="198">
        <f t="shared" si="6"/>
        <v>0</v>
      </c>
      <c r="AT87" s="198">
        <f t="shared" si="6"/>
        <v>0</v>
      </c>
      <c r="AU87" s="198">
        <f t="shared" si="6"/>
        <v>0</v>
      </c>
      <c r="AV87" s="198">
        <f t="shared" si="6"/>
        <v>0</v>
      </c>
      <c r="AW87" s="198"/>
      <c r="AX87" s="198"/>
      <c r="AY87" s="198"/>
      <c r="AZ87" s="198"/>
      <c r="BA87" s="198"/>
      <c r="BB87" s="198"/>
      <c r="BC87" s="198"/>
      <c r="BD87" s="198"/>
      <c r="BE87" s="198"/>
      <c r="BF87" s="198"/>
    </row>
    <row r="88" spans="1:58" s="196" customFormat="1" ht="15" customHeight="1" x14ac:dyDescent="0.15">
      <c r="A88" s="195" t="s">
        <v>386</v>
      </c>
      <c r="B88" s="197" t="s">
        <v>52</v>
      </c>
      <c r="C88" s="196" t="s">
        <v>443</v>
      </c>
      <c r="D88" s="195" t="s">
        <v>387</v>
      </c>
      <c r="E88" s="195" t="s">
        <v>264</v>
      </c>
      <c r="F88" s="199" t="s">
        <v>388</v>
      </c>
      <c r="G88" s="195" t="s">
        <v>339</v>
      </c>
      <c r="T88" s="198">
        <f t="shared" ref="T88:AI90" si="7">+T43-T63</f>
        <v>867.46435180266496</v>
      </c>
      <c r="U88" s="198">
        <f t="shared" si="7"/>
        <v>860.35986198814999</v>
      </c>
      <c r="V88" s="198">
        <f t="shared" si="7"/>
        <v>853.908735896091</v>
      </c>
      <c r="W88" s="198">
        <f t="shared" si="7"/>
        <v>800.05580139911399</v>
      </c>
      <c r="X88" s="198">
        <f t="shared" si="7"/>
        <v>746.80927098183304</v>
      </c>
      <c r="Y88" s="198">
        <f t="shared" si="7"/>
        <v>678.87494129435095</v>
      </c>
      <c r="Z88" s="198">
        <f t="shared" si="7"/>
        <v>611.37260800000001</v>
      </c>
      <c r="AA88" s="198">
        <f t="shared" si="7"/>
        <v>519.37594799999999</v>
      </c>
      <c r="AB88" s="198">
        <f t="shared" si="7"/>
        <v>428.94474901289499</v>
      </c>
      <c r="AC88" s="198">
        <f t="shared" si="7"/>
        <v>285.95587261500702</v>
      </c>
      <c r="AD88" s="198">
        <f t="shared" si="7"/>
        <v>193.22760174999996</v>
      </c>
      <c r="AE88" s="198">
        <f t="shared" si="7"/>
        <v>106.423471692924</v>
      </c>
      <c r="AF88" s="198">
        <f t="shared" si="7"/>
        <v>54.125481276624896</v>
      </c>
      <c r="AG88" s="198">
        <f t="shared" si="7"/>
        <v>7</v>
      </c>
      <c r="AH88" s="198">
        <f t="shared" si="7"/>
        <v>3.3339999999999996</v>
      </c>
      <c r="AI88" s="198">
        <f t="shared" si="7"/>
        <v>1.5869999999999997</v>
      </c>
      <c r="AJ88" s="198">
        <f t="shared" si="6"/>
        <v>1.5120000000000005</v>
      </c>
      <c r="AK88" s="198">
        <f t="shared" si="6"/>
        <v>0</v>
      </c>
      <c r="AL88" s="198">
        <f t="shared" si="6"/>
        <v>0</v>
      </c>
      <c r="AM88" s="198">
        <f t="shared" si="6"/>
        <v>0</v>
      </c>
      <c r="AN88" s="198">
        <f t="shared" si="6"/>
        <v>0</v>
      </c>
      <c r="AO88" s="198">
        <f t="shared" si="6"/>
        <v>0</v>
      </c>
      <c r="AP88" s="198">
        <f t="shared" si="6"/>
        <v>0</v>
      </c>
      <c r="AQ88" s="198">
        <f t="shared" si="6"/>
        <v>0</v>
      </c>
      <c r="AR88" s="198">
        <f t="shared" si="6"/>
        <v>0</v>
      </c>
      <c r="AS88" s="198">
        <f t="shared" si="6"/>
        <v>0</v>
      </c>
      <c r="AT88" s="198">
        <f t="shared" si="6"/>
        <v>0</v>
      </c>
      <c r="AU88" s="198">
        <f t="shared" si="6"/>
        <v>0</v>
      </c>
      <c r="AV88" s="198">
        <f t="shared" si="6"/>
        <v>0</v>
      </c>
      <c r="AW88" s="198"/>
      <c r="AX88" s="198"/>
      <c r="AY88" s="198"/>
      <c r="AZ88" s="198"/>
      <c r="BA88" s="198"/>
      <c r="BB88" s="198"/>
      <c r="BC88" s="198"/>
      <c r="BD88" s="198"/>
      <c r="BE88" s="198"/>
      <c r="BF88" s="198"/>
    </row>
    <row r="89" spans="1:58" s="196" customFormat="1" ht="15" customHeight="1" x14ac:dyDescent="0.15">
      <c r="A89" s="195" t="s">
        <v>386</v>
      </c>
      <c r="B89" s="197" t="s">
        <v>52</v>
      </c>
      <c r="C89" s="196" t="s">
        <v>336</v>
      </c>
      <c r="D89" s="195" t="s">
        <v>387</v>
      </c>
      <c r="E89" s="195" t="s">
        <v>264</v>
      </c>
      <c r="F89" s="199" t="s">
        <v>388</v>
      </c>
      <c r="G89" s="195" t="s">
        <v>339</v>
      </c>
      <c r="T89" s="198">
        <f t="shared" si="7"/>
        <v>905.08236095514883</v>
      </c>
      <c r="U89" s="198">
        <f t="shared" si="6"/>
        <v>900.74257840375799</v>
      </c>
      <c r="V89" s="198">
        <f t="shared" si="6"/>
        <v>891.09535206394605</v>
      </c>
      <c r="W89" s="198">
        <f t="shared" si="6"/>
        <v>845.58987931522699</v>
      </c>
      <c r="X89" s="198">
        <f t="shared" si="6"/>
        <v>804.62460509243192</v>
      </c>
      <c r="Y89" s="198">
        <f t="shared" si="6"/>
        <v>763.76982236202105</v>
      </c>
      <c r="Z89" s="198">
        <f t="shared" si="6"/>
        <v>724.89401743227495</v>
      </c>
      <c r="AA89" s="198">
        <f t="shared" si="6"/>
        <v>685.10416554544804</v>
      </c>
      <c r="AB89" s="198">
        <f t="shared" si="6"/>
        <v>647.43830268228805</v>
      </c>
      <c r="AC89" s="198">
        <f t="shared" si="6"/>
        <v>594.08884310265501</v>
      </c>
      <c r="AD89" s="198">
        <f t="shared" si="6"/>
        <v>546.41360812909204</v>
      </c>
      <c r="AE89" s="198">
        <f t="shared" si="6"/>
        <v>501.46786495567198</v>
      </c>
      <c r="AF89" s="198">
        <f t="shared" si="6"/>
        <v>461.80498138440601</v>
      </c>
      <c r="AG89" s="198">
        <f t="shared" si="6"/>
        <v>405.059578241846</v>
      </c>
      <c r="AH89" s="198">
        <f t="shared" si="6"/>
        <v>355.85353953590499</v>
      </c>
      <c r="AI89" s="198">
        <f t="shared" si="6"/>
        <v>309.48010984745503</v>
      </c>
      <c r="AJ89" s="198">
        <f t="shared" si="6"/>
        <v>266.76413324430803</v>
      </c>
      <c r="AK89" s="198">
        <f t="shared" si="6"/>
        <v>227.111102799766</v>
      </c>
      <c r="AL89" s="198">
        <f t="shared" si="6"/>
        <v>190.96755902237703</v>
      </c>
      <c r="AM89" s="198">
        <f t="shared" si="6"/>
        <v>119.752278606511</v>
      </c>
      <c r="AN89" s="198">
        <f t="shared" si="6"/>
        <v>53.274617717214198</v>
      </c>
      <c r="AO89" s="198">
        <f t="shared" si="6"/>
        <v>34.198302566810398</v>
      </c>
      <c r="AP89" s="198">
        <f t="shared" si="6"/>
        <v>16.0594422010134</v>
      </c>
      <c r="AQ89" s="198">
        <f t="shared" si="6"/>
        <v>0</v>
      </c>
      <c r="AR89" s="198">
        <f t="shared" si="6"/>
        <v>0</v>
      </c>
      <c r="AS89" s="198">
        <f t="shared" si="6"/>
        <v>0</v>
      </c>
      <c r="AT89" s="198">
        <f t="shared" si="6"/>
        <v>0</v>
      </c>
      <c r="AU89" s="198">
        <f t="shared" si="6"/>
        <v>0</v>
      </c>
      <c r="AV89" s="198">
        <f t="shared" si="6"/>
        <v>0</v>
      </c>
      <c r="AW89" s="198"/>
      <c r="AX89" s="198"/>
      <c r="AY89" s="198"/>
      <c r="AZ89" s="198"/>
      <c r="BA89" s="198"/>
      <c r="BB89" s="198"/>
      <c r="BC89" s="198"/>
      <c r="BD89" s="198"/>
      <c r="BE89" s="198"/>
      <c r="BF89" s="198"/>
    </row>
    <row r="90" spans="1:58" s="196" customFormat="1" ht="15" customHeight="1" x14ac:dyDescent="0.15">
      <c r="A90" s="195" t="s">
        <v>386</v>
      </c>
      <c r="B90" s="197" t="s">
        <v>52</v>
      </c>
      <c r="C90" s="196" t="s">
        <v>234</v>
      </c>
      <c r="D90" s="195" t="s">
        <v>387</v>
      </c>
      <c r="E90" s="195" t="s">
        <v>264</v>
      </c>
      <c r="F90" s="199" t="s">
        <v>388</v>
      </c>
      <c r="G90" s="195" t="s">
        <v>339</v>
      </c>
      <c r="T90" s="198">
        <f t="shared" si="7"/>
        <v>905.59641078723268</v>
      </c>
      <c r="U90" s="198">
        <f t="shared" si="6"/>
        <v>898.81667351186604</v>
      </c>
      <c r="V90" s="198">
        <f t="shared" si="6"/>
        <v>886.39799625304499</v>
      </c>
      <c r="W90" s="198">
        <f t="shared" si="6"/>
        <v>825.83761746451103</v>
      </c>
      <c r="X90" s="198">
        <f t="shared" si="6"/>
        <v>766.82812379473501</v>
      </c>
      <c r="Y90" s="198">
        <f t="shared" si="6"/>
        <v>703.35681961696196</v>
      </c>
      <c r="Z90" s="198">
        <f t="shared" si="6"/>
        <v>643.38263703259895</v>
      </c>
      <c r="AA90" s="198">
        <f t="shared" si="6"/>
        <v>563.38775003529702</v>
      </c>
      <c r="AB90" s="198">
        <f t="shared" si="6"/>
        <v>488.56068275802505</v>
      </c>
      <c r="AC90" s="198">
        <f t="shared" si="6"/>
        <v>379.55097618226102</v>
      </c>
      <c r="AD90" s="198">
        <f t="shared" si="6"/>
        <v>303.14523996679702</v>
      </c>
      <c r="AE90" s="198">
        <f t="shared" si="6"/>
        <v>234.105418757774</v>
      </c>
      <c r="AF90" s="198">
        <f t="shared" si="6"/>
        <v>186.56182699572304</v>
      </c>
      <c r="AG90" s="198">
        <f t="shared" si="6"/>
        <v>136.50269596850401</v>
      </c>
      <c r="AH90" s="198">
        <f t="shared" si="6"/>
        <v>117.49057026113499</v>
      </c>
      <c r="AI90" s="198">
        <f t="shared" si="6"/>
        <v>100.568823799569</v>
      </c>
      <c r="AJ90" s="198">
        <f t="shared" si="6"/>
        <v>86.165907098979801</v>
      </c>
      <c r="AK90" s="198">
        <f t="shared" si="6"/>
        <v>73.194608740408697</v>
      </c>
      <c r="AL90" s="198">
        <f t="shared" si="6"/>
        <v>61.912492177462397</v>
      </c>
      <c r="AM90" s="198">
        <f t="shared" si="6"/>
        <v>40.4692514697321</v>
      </c>
      <c r="AN90" s="198">
        <f t="shared" si="6"/>
        <v>18.148252729039701</v>
      </c>
      <c r="AO90" s="198">
        <f t="shared" si="6"/>
        <v>11.716397338341702</v>
      </c>
      <c r="AP90" s="198">
        <f t="shared" si="6"/>
        <v>5.5166614430014711</v>
      </c>
      <c r="AQ90" s="198">
        <f t="shared" si="6"/>
        <v>0</v>
      </c>
      <c r="AR90" s="198">
        <f t="shared" si="6"/>
        <v>0</v>
      </c>
      <c r="AS90" s="198">
        <f t="shared" si="6"/>
        <v>0</v>
      </c>
      <c r="AT90" s="198">
        <f t="shared" si="6"/>
        <v>0</v>
      </c>
      <c r="AU90" s="198">
        <f t="shared" si="6"/>
        <v>0</v>
      </c>
      <c r="AV90" s="198">
        <f t="shared" si="6"/>
        <v>0</v>
      </c>
      <c r="AW90" s="198"/>
      <c r="AX90" s="198"/>
      <c r="AY90" s="198"/>
      <c r="AZ90" s="198"/>
      <c r="BA90" s="198"/>
      <c r="BB90" s="198"/>
      <c r="BC90" s="198"/>
      <c r="BD90" s="198"/>
      <c r="BE90" s="198"/>
      <c r="BF90" s="198"/>
    </row>
    <row r="91" spans="1:58" s="196" customFormat="1" ht="15" customHeight="1" x14ac:dyDescent="0.15">
      <c r="A91" s="195" t="s">
        <v>386</v>
      </c>
      <c r="B91" s="197" t="s">
        <v>52</v>
      </c>
      <c r="C91" s="196" t="s">
        <v>335</v>
      </c>
      <c r="D91" s="195" t="s">
        <v>387</v>
      </c>
      <c r="E91" s="195" t="s">
        <v>264</v>
      </c>
      <c r="F91" s="199" t="s">
        <v>388</v>
      </c>
      <c r="G91" s="195" t="s">
        <v>376</v>
      </c>
      <c r="T91" s="198">
        <f>+T2-T66</f>
        <v>215.82216624071032</v>
      </c>
      <c r="U91" s="198">
        <f t="shared" ref="U91:AV94" si="8">+U2-U66</f>
        <v>211.19679198123902</v>
      </c>
      <c r="V91" s="198">
        <f t="shared" si="8"/>
        <v>204.14197569388705</v>
      </c>
      <c r="W91" s="198">
        <f t="shared" si="8"/>
        <v>123.492488977025</v>
      </c>
      <c r="X91" s="198">
        <f t="shared" si="8"/>
        <v>93.228066430795096</v>
      </c>
      <c r="Y91" s="198">
        <f t="shared" si="8"/>
        <v>63.433975567237297</v>
      </c>
      <c r="Z91" s="198">
        <f t="shared" si="8"/>
        <v>36.851339066381101</v>
      </c>
      <c r="AA91" s="198">
        <f t="shared" si="8"/>
        <v>19.803099025469297</v>
      </c>
      <c r="AB91" s="198">
        <f t="shared" si="8"/>
        <v>6.7971261191430905</v>
      </c>
      <c r="AC91" s="198">
        <f t="shared" si="8"/>
        <v>4.3281965824777195</v>
      </c>
      <c r="AD91" s="198">
        <f t="shared" si="8"/>
        <v>2.0611406783068205</v>
      </c>
      <c r="AE91" s="198">
        <f t="shared" si="8"/>
        <v>1.4759744638203287</v>
      </c>
      <c r="AF91" s="198">
        <f t="shared" si="8"/>
        <v>0.41414245372820346</v>
      </c>
      <c r="AG91" s="198">
        <f t="shared" si="8"/>
        <v>4.2877420755978335E-2</v>
      </c>
      <c r="AH91" s="198">
        <f t="shared" si="8"/>
        <v>4.005667410631375E-2</v>
      </c>
      <c r="AI91" s="198">
        <f t="shared" si="8"/>
        <v>6.5954421213376691E-5</v>
      </c>
      <c r="AJ91" s="198">
        <f t="shared" si="8"/>
        <v>3.9562627403455508E-5</v>
      </c>
      <c r="AK91" s="198">
        <f t="shared" si="8"/>
        <v>2.0851006947708584E-5</v>
      </c>
      <c r="AL91" s="198">
        <f t="shared" si="8"/>
        <v>0</v>
      </c>
      <c r="AM91" s="198">
        <f t="shared" si="8"/>
        <v>0</v>
      </c>
      <c r="AN91" s="198">
        <f t="shared" si="8"/>
        <v>0</v>
      </c>
      <c r="AO91" s="198">
        <f t="shared" si="8"/>
        <v>0</v>
      </c>
      <c r="AP91" s="198">
        <f t="shared" si="8"/>
        <v>0</v>
      </c>
      <c r="AQ91" s="198">
        <f t="shared" si="8"/>
        <v>0</v>
      </c>
      <c r="AR91" s="198">
        <f t="shared" si="8"/>
        <v>0</v>
      </c>
      <c r="AS91" s="198">
        <f t="shared" si="8"/>
        <v>0</v>
      </c>
      <c r="AT91" s="198">
        <f t="shared" si="8"/>
        <v>0</v>
      </c>
      <c r="AU91" s="198">
        <f t="shared" si="8"/>
        <v>0</v>
      </c>
      <c r="AV91" s="198">
        <f t="shared" si="8"/>
        <v>0</v>
      </c>
      <c r="AW91" s="198"/>
      <c r="AX91" s="198"/>
      <c r="AY91" s="198"/>
      <c r="AZ91" s="198"/>
      <c r="BA91" s="198"/>
      <c r="BB91" s="198"/>
      <c r="BC91" s="198"/>
      <c r="BD91" s="198"/>
      <c r="BE91" s="198"/>
      <c r="BF91" s="198"/>
    </row>
    <row r="92" spans="1:58" s="196" customFormat="1" ht="15" customHeight="1" x14ac:dyDescent="0.15">
      <c r="A92" s="195" t="s">
        <v>386</v>
      </c>
      <c r="B92" s="197" t="s">
        <v>52</v>
      </c>
      <c r="C92" s="196" t="s">
        <v>443</v>
      </c>
      <c r="D92" s="195" t="s">
        <v>387</v>
      </c>
      <c r="E92" s="195" t="s">
        <v>264</v>
      </c>
      <c r="F92" s="199" t="s">
        <v>388</v>
      </c>
      <c r="G92" s="195" t="s">
        <v>376</v>
      </c>
      <c r="T92" s="198">
        <f t="shared" ref="T92:AI94" si="9">+T3-T67</f>
        <v>188.77522541406023</v>
      </c>
      <c r="U92" s="198">
        <f t="shared" si="9"/>
        <v>184.2313849718858</v>
      </c>
      <c r="V92" s="198">
        <f t="shared" si="9"/>
        <v>176.23339251126833</v>
      </c>
      <c r="W92" s="198">
        <f t="shared" si="9"/>
        <v>134.45590472722199</v>
      </c>
      <c r="X92" s="198">
        <f t="shared" si="9"/>
        <v>108.17404301817999</v>
      </c>
      <c r="Y92" s="198">
        <f t="shared" si="9"/>
        <v>83.045861223448298</v>
      </c>
      <c r="Z92" s="198">
        <f t="shared" si="9"/>
        <v>51.437149476912801</v>
      </c>
      <c r="AA92" s="198">
        <f t="shared" si="9"/>
        <v>31.736429434749994</v>
      </c>
      <c r="AB92" s="198">
        <f t="shared" si="9"/>
        <v>17.472000000000001</v>
      </c>
      <c r="AC92" s="198">
        <f t="shared" si="9"/>
        <v>11.956</v>
      </c>
      <c r="AD92" s="198">
        <f t="shared" si="9"/>
        <v>8.14</v>
      </c>
      <c r="AE92" s="198">
        <f t="shared" si="9"/>
        <v>5.0309999999999988</v>
      </c>
      <c r="AF92" s="198">
        <f t="shared" si="9"/>
        <v>2.9520000000000017</v>
      </c>
      <c r="AG92" s="198">
        <f t="shared" si="9"/>
        <v>1.4039999999999999</v>
      </c>
      <c r="AH92" s="198">
        <f t="shared" si="9"/>
        <v>0.67000000000000171</v>
      </c>
      <c r="AI92" s="198">
        <f t="shared" si="9"/>
        <v>0.31900000000000084</v>
      </c>
      <c r="AJ92" s="198">
        <f t="shared" si="8"/>
        <v>0.30400000000000027</v>
      </c>
      <c r="AK92" s="198">
        <f t="shared" si="8"/>
        <v>0</v>
      </c>
      <c r="AL92" s="198">
        <f t="shared" si="8"/>
        <v>0</v>
      </c>
      <c r="AM92" s="198">
        <f t="shared" si="8"/>
        <v>0</v>
      </c>
      <c r="AN92" s="198">
        <f t="shared" si="8"/>
        <v>0</v>
      </c>
      <c r="AO92" s="198">
        <f t="shared" si="8"/>
        <v>0</v>
      </c>
      <c r="AP92" s="198">
        <f t="shared" si="8"/>
        <v>0</v>
      </c>
      <c r="AQ92" s="198">
        <f t="shared" si="8"/>
        <v>0</v>
      </c>
      <c r="AR92" s="198">
        <f t="shared" si="8"/>
        <v>0</v>
      </c>
      <c r="AS92" s="198">
        <f t="shared" si="8"/>
        <v>0</v>
      </c>
      <c r="AT92" s="198">
        <f t="shared" si="8"/>
        <v>0</v>
      </c>
      <c r="AU92" s="198">
        <f t="shared" si="8"/>
        <v>0</v>
      </c>
      <c r="AV92" s="198">
        <f t="shared" si="8"/>
        <v>0</v>
      </c>
      <c r="AW92" s="198"/>
      <c r="AX92" s="198"/>
      <c r="AY92" s="198"/>
      <c r="AZ92" s="198"/>
      <c r="BA92" s="198"/>
      <c r="BB92" s="198"/>
      <c r="BC92" s="198"/>
      <c r="BD92" s="198"/>
      <c r="BE92" s="198"/>
      <c r="BF92" s="198"/>
    </row>
    <row r="93" spans="1:58" s="196" customFormat="1" ht="15" customHeight="1" x14ac:dyDescent="0.15">
      <c r="A93" s="195" t="s">
        <v>386</v>
      </c>
      <c r="B93" s="197" t="s">
        <v>52</v>
      </c>
      <c r="C93" s="196" t="s">
        <v>336</v>
      </c>
      <c r="D93" s="195" t="s">
        <v>387</v>
      </c>
      <c r="E93" s="195" t="s">
        <v>264</v>
      </c>
      <c r="F93" s="199" t="s">
        <v>388</v>
      </c>
      <c r="G93" s="195" t="s">
        <v>376</v>
      </c>
      <c r="T93" s="198">
        <f t="shared" si="9"/>
        <v>209.2817624881074</v>
      </c>
      <c r="U93" s="198">
        <f t="shared" si="8"/>
        <v>206.04961431324961</v>
      </c>
      <c r="V93" s="198">
        <f t="shared" si="8"/>
        <v>201.9659650162728</v>
      </c>
      <c r="W93" s="198">
        <f t="shared" si="8"/>
        <v>185.01713929078335</v>
      </c>
      <c r="X93" s="198">
        <f t="shared" si="8"/>
        <v>137.55684874462986</v>
      </c>
      <c r="Y93" s="198">
        <f t="shared" si="8"/>
        <v>117.24557383771202</v>
      </c>
      <c r="Z93" s="198">
        <f t="shared" si="8"/>
        <v>95.772714691098201</v>
      </c>
      <c r="AA93" s="198">
        <f t="shared" si="8"/>
        <v>61.372345282924492</v>
      </c>
      <c r="AB93" s="198">
        <f t="shared" si="8"/>
        <v>49.8972461818433</v>
      </c>
      <c r="AC93" s="198">
        <f t="shared" si="8"/>
        <v>40.432521711813202</v>
      </c>
      <c r="AD93" s="198">
        <f t="shared" si="8"/>
        <v>32.0655934636289</v>
      </c>
      <c r="AE93" s="198">
        <f t="shared" si="8"/>
        <v>24.450883385333505</v>
      </c>
      <c r="AF93" s="198">
        <f t="shared" si="8"/>
        <v>17.532093753662995</v>
      </c>
      <c r="AG93" s="198">
        <f t="shared" si="8"/>
        <v>11.2700303528989</v>
      </c>
      <c r="AH93" s="198">
        <f t="shared" si="8"/>
        <v>7.7877485103572006</v>
      </c>
      <c r="AI93" s="198">
        <f t="shared" si="8"/>
        <v>5.3858247131680805</v>
      </c>
      <c r="AJ93" s="198">
        <f t="shared" si="8"/>
        <v>3.4833003826316613</v>
      </c>
      <c r="AK93" s="198">
        <f t="shared" si="8"/>
        <v>1.6181182335716695</v>
      </c>
      <c r="AL93" s="198">
        <f t="shared" si="8"/>
        <v>0.27500000000000036</v>
      </c>
      <c r="AM93" s="198">
        <f t="shared" si="8"/>
        <v>0.26200000000000045</v>
      </c>
      <c r="AN93" s="198">
        <f t="shared" si="8"/>
        <v>0.23132176377720626</v>
      </c>
      <c r="AO93" s="198">
        <f t="shared" si="8"/>
        <v>0.22008810324404759</v>
      </c>
      <c r="AP93" s="198">
        <f t="shared" si="8"/>
        <v>7.0622865897164822E-2</v>
      </c>
      <c r="AQ93" s="198">
        <f t="shared" si="8"/>
        <v>0</v>
      </c>
      <c r="AR93" s="198">
        <f t="shared" si="8"/>
        <v>0</v>
      </c>
      <c r="AS93" s="198">
        <f t="shared" si="8"/>
        <v>0</v>
      </c>
      <c r="AT93" s="198">
        <f t="shared" si="8"/>
        <v>0</v>
      </c>
      <c r="AU93" s="198">
        <f t="shared" si="8"/>
        <v>0</v>
      </c>
      <c r="AV93" s="198">
        <f t="shared" si="8"/>
        <v>0</v>
      </c>
      <c r="AW93" s="198"/>
      <c r="AX93" s="198"/>
      <c r="AY93" s="198"/>
      <c r="AZ93" s="198"/>
      <c r="BA93" s="198"/>
      <c r="BB93" s="198"/>
      <c r="BC93" s="198"/>
      <c r="BD93" s="198"/>
      <c r="BE93" s="198"/>
      <c r="BF93" s="198"/>
    </row>
    <row r="94" spans="1:58" s="196" customFormat="1" ht="15" customHeight="1" x14ac:dyDescent="0.15">
      <c r="A94" s="195" t="s">
        <v>386</v>
      </c>
      <c r="B94" s="197" t="s">
        <v>52</v>
      </c>
      <c r="C94" s="196" t="s">
        <v>234</v>
      </c>
      <c r="D94" s="195" t="s">
        <v>387</v>
      </c>
      <c r="E94" s="195" t="s">
        <v>264</v>
      </c>
      <c r="F94" s="199" t="s">
        <v>388</v>
      </c>
      <c r="G94" s="195" t="s">
        <v>376</v>
      </c>
      <c r="T94" s="198">
        <f t="shared" si="9"/>
        <v>211.78494387684799</v>
      </c>
      <c r="U94" s="198">
        <f t="shared" si="8"/>
        <v>207.45503918789501</v>
      </c>
      <c r="V94" s="198">
        <f t="shared" si="8"/>
        <v>202.05015552695355</v>
      </c>
      <c r="W94" s="198">
        <f t="shared" si="8"/>
        <v>142.06585153954299</v>
      </c>
      <c r="X94" s="198">
        <f t="shared" si="8"/>
        <v>109.17376588631001</v>
      </c>
      <c r="Y94" s="198">
        <f t="shared" si="8"/>
        <v>82.324538836816004</v>
      </c>
      <c r="Z94" s="198">
        <f t="shared" si="8"/>
        <v>57.261322579812507</v>
      </c>
      <c r="AA94" s="198">
        <f t="shared" si="8"/>
        <v>34.59360186644269</v>
      </c>
      <c r="AB94" s="198">
        <f t="shared" si="8"/>
        <v>22.218637110364799</v>
      </c>
      <c r="AC94" s="198">
        <f t="shared" si="8"/>
        <v>16.476530802890601</v>
      </c>
      <c r="AD94" s="198">
        <f t="shared" si="8"/>
        <v>12.262018907921</v>
      </c>
      <c r="AE94" s="198">
        <f t="shared" si="8"/>
        <v>9.2861009910271477</v>
      </c>
      <c r="AF94" s="198">
        <f t="shared" si="8"/>
        <v>6.3138492499405707</v>
      </c>
      <c r="AG94" s="198">
        <f t="shared" si="8"/>
        <v>3.9387300075511291</v>
      </c>
      <c r="AH94" s="198">
        <f t="shared" si="8"/>
        <v>2.7775261026470393</v>
      </c>
      <c r="AI94" s="198">
        <f t="shared" si="8"/>
        <v>1.92014896511294</v>
      </c>
      <c r="AJ94" s="198">
        <f t="shared" si="8"/>
        <v>1.2632286007041902</v>
      </c>
      <c r="AK94" s="198">
        <f t="shared" si="8"/>
        <v>0.580132006626215</v>
      </c>
      <c r="AL94" s="198">
        <f t="shared" si="8"/>
        <v>9.9379123862663121E-2</v>
      </c>
      <c r="AM94" s="198">
        <f t="shared" si="8"/>
        <v>9.793319142968393E-2</v>
      </c>
      <c r="AN94" s="198">
        <f t="shared" si="8"/>
        <v>8.7616180295002621E-2</v>
      </c>
      <c r="AO94" s="198">
        <f t="shared" si="8"/>
        <v>8.4061086780907956E-2</v>
      </c>
      <c r="AP94" s="198">
        <f t="shared" si="8"/>
        <v>2.7193700230570883E-2</v>
      </c>
      <c r="AQ94" s="198">
        <f t="shared" si="8"/>
        <v>0</v>
      </c>
      <c r="AR94" s="198">
        <f t="shared" si="8"/>
        <v>0</v>
      </c>
      <c r="AS94" s="198">
        <f t="shared" si="8"/>
        <v>0</v>
      </c>
      <c r="AT94" s="198">
        <f t="shared" si="8"/>
        <v>0</v>
      </c>
      <c r="AU94" s="198">
        <f t="shared" si="8"/>
        <v>0</v>
      </c>
      <c r="AV94" s="198">
        <f t="shared" si="8"/>
        <v>0</v>
      </c>
      <c r="AW94" s="198"/>
      <c r="AX94" s="198"/>
      <c r="AY94" s="198"/>
      <c r="AZ94" s="198"/>
      <c r="BA94" s="198"/>
      <c r="BB94" s="198"/>
      <c r="BC94" s="198"/>
      <c r="BD94" s="198"/>
      <c r="BE94" s="198"/>
      <c r="BF94" s="198"/>
    </row>
    <row r="95" spans="1:58" s="196" customFormat="1" ht="15" customHeight="1" x14ac:dyDescent="0.15">
      <c r="A95" s="195" t="s">
        <v>386</v>
      </c>
      <c r="B95" s="197" t="s">
        <v>52</v>
      </c>
      <c r="C95" s="196" t="s">
        <v>335</v>
      </c>
      <c r="D95" s="195" t="s">
        <v>387</v>
      </c>
      <c r="E95" s="195" t="s">
        <v>264</v>
      </c>
      <c r="F95" s="199" t="s">
        <v>388</v>
      </c>
      <c r="G95" s="195" t="s">
        <v>236</v>
      </c>
      <c r="T95" s="198">
        <f>+T10-T70</f>
        <v>275.64589676893098</v>
      </c>
      <c r="U95" s="198">
        <f t="shared" ref="U95:AV98" si="10">+U10-U70</f>
        <v>272.30018641733784</v>
      </c>
      <c r="V95" s="198">
        <f t="shared" si="10"/>
        <v>270.45614550077408</v>
      </c>
      <c r="W95" s="198">
        <f t="shared" si="10"/>
        <v>216.68503512274901</v>
      </c>
      <c r="X95" s="198">
        <f t="shared" si="10"/>
        <v>189.16302880884001</v>
      </c>
      <c r="Y95" s="198">
        <f t="shared" si="10"/>
        <v>159.40786949216999</v>
      </c>
      <c r="Z95" s="198">
        <f t="shared" si="10"/>
        <v>122.940251528901</v>
      </c>
      <c r="AA95" s="198">
        <f t="shared" si="10"/>
        <v>92.113881460153806</v>
      </c>
      <c r="AB95" s="198">
        <f t="shared" si="10"/>
        <v>67.1296299748347</v>
      </c>
      <c r="AC95" s="198">
        <f t="shared" si="10"/>
        <v>41.782016946361701</v>
      </c>
      <c r="AD95" s="198">
        <f t="shared" si="10"/>
        <v>18.010058777754097</v>
      </c>
      <c r="AE95" s="198">
        <f t="shared" si="10"/>
        <v>9.4364657197933521</v>
      </c>
      <c r="AF95" s="198">
        <f t="shared" si="10"/>
        <v>0.55909448067393441</v>
      </c>
      <c r="AG95" s="198">
        <f t="shared" si="10"/>
        <v>4.730311951256283E-3</v>
      </c>
      <c r="AH95" s="198">
        <f t="shared" si="10"/>
        <v>4.4168974357585711E-3</v>
      </c>
      <c r="AI95" s="198">
        <f t="shared" si="10"/>
        <v>1.699615037473734E-4</v>
      </c>
      <c r="AJ95" s="198">
        <f t="shared" si="10"/>
        <v>9.8492126521243506E-5</v>
      </c>
      <c r="AK95" s="198">
        <f t="shared" si="10"/>
        <v>4.254977950957084E-5</v>
      </c>
      <c r="AL95" s="198">
        <f t="shared" si="10"/>
        <v>0</v>
      </c>
      <c r="AM95" s="198">
        <f t="shared" si="10"/>
        <v>0</v>
      </c>
      <c r="AN95" s="198">
        <f t="shared" si="10"/>
        <v>0</v>
      </c>
      <c r="AO95" s="198">
        <f t="shared" si="10"/>
        <v>0</v>
      </c>
      <c r="AP95" s="198">
        <f t="shared" si="10"/>
        <v>0</v>
      </c>
      <c r="AQ95" s="198">
        <f t="shared" si="10"/>
        <v>0</v>
      </c>
      <c r="AR95" s="198">
        <f t="shared" si="10"/>
        <v>0</v>
      </c>
      <c r="AS95" s="198">
        <f t="shared" si="10"/>
        <v>0</v>
      </c>
      <c r="AT95" s="198">
        <f t="shared" si="10"/>
        <v>0</v>
      </c>
      <c r="AU95" s="198">
        <f t="shared" si="10"/>
        <v>0</v>
      </c>
      <c r="AV95" s="198">
        <f t="shared" si="10"/>
        <v>0</v>
      </c>
      <c r="AW95" s="198"/>
      <c r="AX95" s="198"/>
      <c r="AY95" s="198"/>
      <c r="AZ95" s="198"/>
      <c r="BA95" s="198"/>
      <c r="BB95" s="198"/>
      <c r="BC95" s="198"/>
      <c r="BD95" s="198"/>
      <c r="BE95" s="198"/>
      <c r="BF95" s="198"/>
    </row>
    <row r="96" spans="1:58" s="196" customFormat="1" ht="15" customHeight="1" x14ac:dyDescent="0.15">
      <c r="A96" s="195" t="s">
        <v>386</v>
      </c>
      <c r="B96" s="197" t="s">
        <v>52</v>
      </c>
      <c r="C96" s="196" t="s">
        <v>443</v>
      </c>
      <c r="D96" s="195" t="s">
        <v>387</v>
      </c>
      <c r="E96" s="195" t="s">
        <v>264</v>
      </c>
      <c r="F96" s="199" t="s">
        <v>388</v>
      </c>
      <c r="G96" s="195" t="s">
        <v>236</v>
      </c>
      <c r="T96" s="198">
        <f t="shared" ref="T96:AI98" si="11">+T11-T71</f>
        <v>214.02641047015052</v>
      </c>
      <c r="U96" s="198">
        <f t="shared" si="11"/>
        <v>211.73483237099799</v>
      </c>
      <c r="V96" s="198">
        <f t="shared" si="11"/>
        <v>206.51654097576929</v>
      </c>
      <c r="W96" s="198">
        <f t="shared" si="11"/>
        <v>189.25985444444399</v>
      </c>
      <c r="X96" s="198">
        <f t="shared" si="11"/>
        <v>168.865886094232</v>
      </c>
      <c r="Y96" s="198">
        <f t="shared" si="11"/>
        <v>147.43004790859001</v>
      </c>
      <c r="Z96" s="198">
        <f t="shared" si="11"/>
        <v>118.25660504128498</v>
      </c>
      <c r="AA96" s="198">
        <f t="shared" si="11"/>
        <v>93.101964632313411</v>
      </c>
      <c r="AB96" s="198">
        <f t="shared" si="11"/>
        <v>70.376715731409206</v>
      </c>
      <c r="AC96" s="198">
        <f t="shared" si="11"/>
        <v>47.418716962292699</v>
      </c>
      <c r="AD96" s="198">
        <f t="shared" si="11"/>
        <v>26.806800923888197</v>
      </c>
      <c r="AE96" s="198">
        <f t="shared" si="11"/>
        <v>14.703141692568002</v>
      </c>
      <c r="AF96" s="198">
        <f t="shared" si="11"/>
        <v>4.4320000000000022</v>
      </c>
      <c r="AG96" s="198">
        <f t="shared" si="11"/>
        <v>2.1080000000000005</v>
      </c>
      <c r="AH96" s="198">
        <f t="shared" si="11"/>
        <v>1.0039999999999996</v>
      </c>
      <c r="AI96" s="198">
        <f t="shared" si="11"/>
        <v>0.47799999999999976</v>
      </c>
      <c r="AJ96" s="198">
        <f t="shared" si="10"/>
        <v>0.45599999999999952</v>
      </c>
      <c r="AK96" s="198">
        <f t="shared" si="10"/>
        <v>0</v>
      </c>
      <c r="AL96" s="198">
        <f t="shared" si="10"/>
        <v>0</v>
      </c>
      <c r="AM96" s="198">
        <f t="shared" si="10"/>
        <v>0</v>
      </c>
      <c r="AN96" s="198">
        <f t="shared" si="10"/>
        <v>0</v>
      </c>
      <c r="AO96" s="198">
        <f t="shared" si="10"/>
        <v>0</v>
      </c>
      <c r="AP96" s="198">
        <f t="shared" si="10"/>
        <v>0</v>
      </c>
      <c r="AQ96" s="198">
        <f t="shared" si="10"/>
        <v>0</v>
      </c>
      <c r="AR96" s="198">
        <f t="shared" si="10"/>
        <v>0</v>
      </c>
      <c r="AS96" s="198">
        <f t="shared" si="10"/>
        <v>0</v>
      </c>
      <c r="AT96" s="198">
        <f t="shared" si="10"/>
        <v>0</v>
      </c>
      <c r="AU96" s="198">
        <f t="shared" si="10"/>
        <v>0</v>
      </c>
      <c r="AV96" s="198">
        <f t="shared" si="10"/>
        <v>0</v>
      </c>
      <c r="AW96" s="198"/>
      <c r="AX96" s="198"/>
      <c r="AY96" s="198"/>
      <c r="AZ96" s="198"/>
      <c r="BA96" s="198"/>
      <c r="BB96" s="198"/>
      <c r="BC96" s="198"/>
      <c r="BD96" s="198"/>
      <c r="BE96" s="198"/>
      <c r="BF96" s="198"/>
    </row>
    <row r="97" spans="1:58" s="196" customFormat="1" ht="15" customHeight="1" x14ac:dyDescent="0.15">
      <c r="A97" s="195" t="s">
        <v>386</v>
      </c>
      <c r="B97" s="197" t="s">
        <v>52</v>
      </c>
      <c r="C97" s="196" t="s">
        <v>336</v>
      </c>
      <c r="D97" s="195" t="s">
        <v>387</v>
      </c>
      <c r="E97" s="195" t="s">
        <v>264</v>
      </c>
      <c r="F97" s="199" t="s">
        <v>388</v>
      </c>
      <c r="G97" s="195" t="s">
        <v>236</v>
      </c>
      <c r="T97" s="198">
        <f t="shared" si="11"/>
        <v>231.03660478019799</v>
      </c>
      <c r="U97" s="198">
        <f t="shared" si="10"/>
        <v>229.24134376411001</v>
      </c>
      <c r="V97" s="198">
        <f t="shared" si="10"/>
        <v>229.17846382625399</v>
      </c>
      <c r="W97" s="198">
        <f t="shared" si="10"/>
        <v>198.38078705853803</v>
      </c>
      <c r="X97" s="198">
        <f t="shared" si="10"/>
        <v>183.647537249875</v>
      </c>
      <c r="Y97" s="198">
        <f t="shared" si="10"/>
        <v>166.10161096298901</v>
      </c>
      <c r="Z97" s="198">
        <f t="shared" si="10"/>
        <v>143.931963499375</v>
      </c>
      <c r="AA97" s="198">
        <f t="shared" si="10"/>
        <v>121.864956126208</v>
      </c>
      <c r="AB97" s="198">
        <f t="shared" si="10"/>
        <v>100.721252596067</v>
      </c>
      <c r="AC97" s="198">
        <f t="shared" si="10"/>
        <v>84.344736712754099</v>
      </c>
      <c r="AD97" s="198">
        <f t="shared" si="10"/>
        <v>69.195203472704705</v>
      </c>
      <c r="AE97" s="198">
        <f t="shared" si="10"/>
        <v>58.258856146033303</v>
      </c>
      <c r="AF97" s="198">
        <f t="shared" si="10"/>
        <v>49.066486060390297</v>
      </c>
      <c r="AG97" s="198">
        <f t="shared" si="10"/>
        <v>37.5831617907942</v>
      </c>
      <c r="AH97" s="198">
        <f t="shared" si="10"/>
        <v>27.303921157658799</v>
      </c>
      <c r="AI97" s="198">
        <f t="shared" si="10"/>
        <v>17.720097596511501</v>
      </c>
      <c r="AJ97" s="198">
        <f t="shared" si="10"/>
        <v>9.2219726764893508</v>
      </c>
      <c r="AK97" s="198">
        <f t="shared" si="10"/>
        <v>4.349351173269099</v>
      </c>
      <c r="AL97" s="198">
        <f t="shared" si="10"/>
        <v>0.41300000000000026</v>
      </c>
      <c r="AM97" s="198">
        <f t="shared" si="10"/>
        <v>0.39400000000000013</v>
      </c>
      <c r="AN97" s="198">
        <f t="shared" si="10"/>
        <v>0.26770866786002578</v>
      </c>
      <c r="AO97" s="198">
        <f t="shared" si="10"/>
        <v>0.25640170594196121</v>
      </c>
      <c r="AP97" s="198">
        <f t="shared" si="10"/>
        <v>6.0890698625949646E-2</v>
      </c>
      <c r="AQ97" s="198">
        <f t="shared" si="10"/>
        <v>0</v>
      </c>
      <c r="AR97" s="198">
        <f t="shared" si="10"/>
        <v>0</v>
      </c>
      <c r="AS97" s="198">
        <f t="shared" si="10"/>
        <v>0</v>
      </c>
      <c r="AT97" s="198">
        <f t="shared" si="10"/>
        <v>0</v>
      </c>
      <c r="AU97" s="198">
        <f t="shared" si="10"/>
        <v>0</v>
      </c>
      <c r="AV97" s="198">
        <f t="shared" si="10"/>
        <v>0</v>
      </c>
      <c r="AW97" s="198"/>
      <c r="AX97" s="198"/>
      <c r="AY97" s="198"/>
      <c r="AZ97" s="198"/>
      <c r="BA97" s="198"/>
      <c r="BB97" s="198"/>
      <c r="BC97" s="198"/>
      <c r="BD97" s="198"/>
      <c r="BE97" s="198"/>
      <c r="BF97" s="198"/>
    </row>
    <row r="98" spans="1:58" s="196" customFormat="1" ht="15" customHeight="1" x14ac:dyDescent="0.15">
      <c r="A98" s="195" t="s">
        <v>386</v>
      </c>
      <c r="B98" s="197" t="s">
        <v>52</v>
      </c>
      <c r="C98" s="196" t="s">
        <v>234</v>
      </c>
      <c r="D98" s="195" t="s">
        <v>387</v>
      </c>
      <c r="E98" s="195" t="s">
        <v>264</v>
      </c>
      <c r="F98" s="199" t="s">
        <v>388</v>
      </c>
      <c r="G98" s="195" t="s">
        <v>236</v>
      </c>
      <c r="T98" s="198">
        <f t="shared" si="11"/>
        <v>262.70383230681375</v>
      </c>
      <c r="U98" s="198">
        <f t="shared" si="10"/>
        <v>259.49607266484298</v>
      </c>
      <c r="V98" s="198">
        <f t="shared" si="10"/>
        <v>254.28765934476584</v>
      </c>
      <c r="W98" s="198">
        <f t="shared" si="10"/>
        <v>210.56127117782299</v>
      </c>
      <c r="X98" s="198">
        <f t="shared" si="10"/>
        <v>185.22564467497</v>
      </c>
      <c r="Y98" s="198">
        <f t="shared" si="10"/>
        <v>158.238665838061</v>
      </c>
      <c r="Z98" s="198">
        <f t="shared" si="10"/>
        <v>125.00748141506701</v>
      </c>
      <c r="AA98" s="198">
        <f t="shared" si="10"/>
        <v>96.512350178052102</v>
      </c>
      <c r="AB98" s="198">
        <f t="shared" si="10"/>
        <v>72.3146929204527</v>
      </c>
      <c r="AC98" s="198">
        <f t="shared" si="10"/>
        <v>49.01527427534549</v>
      </c>
      <c r="AD98" s="198">
        <f t="shared" si="10"/>
        <v>27.228113619345699</v>
      </c>
      <c r="AE98" s="198">
        <f t="shared" si="10"/>
        <v>17.905610171218704</v>
      </c>
      <c r="AF98" s="198">
        <f t="shared" si="10"/>
        <v>8.8070593454112291</v>
      </c>
      <c r="AG98" s="198">
        <f t="shared" si="10"/>
        <v>6.2299662143160592</v>
      </c>
      <c r="AH98" s="198">
        <f t="shared" si="10"/>
        <v>4.4289538136467002</v>
      </c>
      <c r="AI98" s="198">
        <f t="shared" si="10"/>
        <v>2.8491583227486394</v>
      </c>
      <c r="AJ98" s="198">
        <f t="shared" si="10"/>
        <v>1.5203376855669308</v>
      </c>
      <c r="AK98" s="198">
        <f t="shared" si="10"/>
        <v>0.67951422764811564</v>
      </c>
      <c r="AL98" s="198">
        <f t="shared" si="10"/>
        <v>6.450682006827968E-2</v>
      </c>
      <c r="AM98" s="198">
        <f t="shared" si="10"/>
        <v>5.7591974993691508E-2</v>
      </c>
      <c r="AN98" s="198">
        <f t="shared" si="10"/>
        <v>3.8779157016021415E-2</v>
      </c>
      <c r="AO98" s="198">
        <f t="shared" si="10"/>
        <v>3.699742321027788E-2</v>
      </c>
      <c r="AP98" s="198">
        <f t="shared" si="10"/>
        <v>8.7468837252826503E-3</v>
      </c>
      <c r="AQ98" s="198">
        <f t="shared" si="10"/>
        <v>0</v>
      </c>
      <c r="AR98" s="198">
        <f t="shared" si="10"/>
        <v>0</v>
      </c>
      <c r="AS98" s="198">
        <f t="shared" si="10"/>
        <v>0</v>
      </c>
      <c r="AT98" s="198">
        <f t="shared" si="10"/>
        <v>0</v>
      </c>
      <c r="AU98" s="198">
        <f t="shared" si="10"/>
        <v>0</v>
      </c>
      <c r="AV98" s="198">
        <f t="shared" si="10"/>
        <v>0</v>
      </c>
      <c r="AW98" s="198"/>
      <c r="AX98" s="198"/>
      <c r="AY98" s="198"/>
      <c r="AZ98" s="198"/>
      <c r="BA98" s="198"/>
      <c r="BB98" s="198"/>
      <c r="BC98" s="198"/>
      <c r="BD98" s="198"/>
      <c r="BE98" s="198"/>
      <c r="BF98" s="198"/>
    </row>
    <row r="99" spans="1:58" x14ac:dyDescent="0.15">
      <c r="C99" s="5"/>
      <c r="F99" s="200"/>
    </row>
    <row r="101" spans="1:58" x14ac:dyDescent="0.15">
      <c r="V101" s="194"/>
    </row>
  </sheetData>
  <sheetProtection algorithmName="SHA-512" hashValue="xJu8bpoX7BqPhtQ3pIGJI5hEWx221FHmUsfXuLCvYBWGbv4LvwNdISntJi0mJBc576MVzCqV6TJtRBvG4hrgnQ==" saltValue="A9TYCiwpR9MeiROJBwsNSw==" spinCount="100000" sheet="1" objects="1" scenarios="1"/>
  <phoneticPr fontId="45" type="noConversion"/>
  <pageMargins left="0.7" right="0.7" top="0.75" bottom="0.75" header="0.3" footer="0.3"/>
  <tableParts count="1">
    <tablePart r:id="rId1"/>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EECC5C-EBDB-4BD0-A432-385C9A3045BC}">
  <sheetPr codeName="Sheet3">
    <tabColor theme="0" tint="-0.249977111117893"/>
  </sheetPr>
  <dimension ref="A1:BG52"/>
  <sheetViews>
    <sheetView workbookViewId="0">
      <selection activeCell="D23" sqref="D23"/>
    </sheetView>
  </sheetViews>
  <sheetFormatPr baseColWidth="10" defaultColWidth="8.83203125" defaultRowHeight="13" x14ac:dyDescent="0.15"/>
  <cols>
    <col min="1" max="1" width="13.6640625" style="63" customWidth="1"/>
    <col min="2" max="2" width="9.83203125" style="63" customWidth="1"/>
    <col min="3" max="3" width="14.6640625" style="63" customWidth="1"/>
    <col min="4" max="4" width="16.5" style="63" customWidth="1"/>
    <col min="5" max="5" width="15.5" style="63" bestFit="1" customWidth="1"/>
    <col min="6" max="6" width="10.5" style="63" bestFit="1" customWidth="1"/>
    <col min="7" max="7" width="54.5" customWidth="1"/>
    <col min="8" max="8" width="18.1640625" style="92" bestFit="1" customWidth="1"/>
    <col min="9" max="19" width="0" hidden="1" customWidth="1"/>
    <col min="20" max="20" width="4.5" customWidth="1"/>
  </cols>
  <sheetData>
    <row r="1" spans="1:59" x14ac:dyDescent="0.15">
      <c r="A1" s="63" t="s">
        <v>14</v>
      </c>
      <c r="B1" t="s">
        <v>2</v>
      </c>
      <c r="C1" s="63" t="s">
        <v>257</v>
      </c>
      <c r="D1" t="s">
        <v>3</v>
      </c>
      <c r="E1" t="s">
        <v>250</v>
      </c>
      <c r="F1" t="s">
        <v>4</v>
      </c>
      <c r="G1" t="s">
        <v>22</v>
      </c>
      <c r="H1" s="92" t="s">
        <v>251</v>
      </c>
      <c r="I1" t="s">
        <v>255</v>
      </c>
      <c r="J1" t="s">
        <v>252</v>
      </c>
      <c r="K1" t="s">
        <v>253</v>
      </c>
      <c r="L1" t="s">
        <v>254</v>
      </c>
      <c r="M1" t="s">
        <v>53</v>
      </c>
      <c r="N1" t="s">
        <v>54</v>
      </c>
      <c r="O1" t="s">
        <v>55</v>
      </c>
      <c r="P1" t="s">
        <v>56</v>
      </c>
      <c r="Q1" t="s">
        <v>57</v>
      </c>
      <c r="R1" t="s">
        <v>58</v>
      </c>
      <c r="S1" t="s">
        <v>59</v>
      </c>
      <c r="T1" t="s">
        <v>60</v>
      </c>
      <c r="U1" t="s">
        <v>61</v>
      </c>
      <c r="V1" t="s">
        <v>62</v>
      </c>
      <c r="W1" t="s">
        <v>63</v>
      </c>
      <c r="X1" t="s">
        <v>64</v>
      </c>
      <c r="Y1" t="s">
        <v>65</v>
      </c>
      <c r="Z1" t="s">
        <v>66</v>
      </c>
      <c r="AA1" t="s">
        <v>67</v>
      </c>
      <c r="AB1" t="s">
        <v>68</v>
      </c>
      <c r="AC1" t="s">
        <v>69</v>
      </c>
      <c r="AD1" t="s">
        <v>70</v>
      </c>
      <c r="AE1" t="s">
        <v>71</v>
      </c>
      <c r="AF1" t="s">
        <v>72</v>
      </c>
      <c r="AG1" t="s">
        <v>73</v>
      </c>
      <c r="AH1" t="s">
        <v>74</v>
      </c>
      <c r="AI1" t="s">
        <v>75</v>
      </c>
      <c r="AJ1" t="s">
        <v>76</v>
      </c>
      <c r="AK1" t="s">
        <v>77</v>
      </c>
      <c r="AL1" t="s">
        <v>78</v>
      </c>
      <c r="AM1" t="s">
        <v>79</v>
      </c>
      <c r="AN1" t="s">
        <v>80</v>
      </c>
      <c r="AO1" t="s">
        <v>81</v>
      </c>
      <c r="AP1" t="s">
        <v>82</v>
      </c>
      <c r="AQ1" t="s">
        <v>83</v>
      </c>
      <c r="AR1" t="s">
        <v>84</v>
      </c>
      <c r="AS1" t="s">
        <v>85</v>
      </c>
      <c r="AT1" t="s">
        <v>86</v>
      </c>
      <c r="AU1" t="s">
        <v>87</v>
      </c>
      <c r="AV1" t="s">
        <v>88</v>
      </c>
      <c r="AW1" t="s">
        <v>89</v>
      </c>
      <c r="AX1" t="s">
        <v>364</v>
      </c>
      <c r="AY1" t="s">
        <v>365</v>
      </c>
      <c r="AZ1" t="s">
        <v>366</v>
      </c>
      <c r="BA1" t="s">
        <v>367</v>
      </c>
      <c r="BB1" t="s">
        <v>368</v>
      </c>
      <c r="BC1" t="s">
        <v>369</v>
      </c>
      <c r="BD1" t="s">
        <v>370</v>
      </c>
      <c r="BE1" t="s">
        <v>371</v>
      </c>
      <c r="BF1" t="s">
        <v>372</v>
      </c>
      <c r="BG1" t="s">
        <v>373</v>
      </c>
    </row>
    <row r="2" spans="1:59" ht="14" x14ac:dyDescent="0.15">
      <c r="A2" s="63" t="s">
        <v>363</v>
      </c>
      <c r="B2" s="63" t="s">
        <v>52</v>
      </c>
      <c r="C2" s="63" t="e">
        <v>#N/A</v>
      </c>
      <c r="D2" t="s">
        <v>335</v>
      </c>
      <c r="E2" s="63" t="s">
        <v>346</v>
      </c>
      <c r="F2" s="63" t="s">
        <v>264</v>
      </c>
      <c r="G2" s="67" t="s">
        <v>347</v>
      </c>
      <c r="H2" s="92" t="s">
        <v>340</v>
      </c>
      <c r="U2">
        <v>3.2728788807035332</v>
      </c>
      <c r="V2">
        <v>3.2592117569230785</v>
      </c>
      <c r="W2">
        <v>3.0837640681512997</v>
      </c>
      <c r="X2">
        <v>3.0647562945123275</v>
      </c>
      <c r="Y2">
        <v>3.0053797493014476</v>
      </c>
      <c r="Z2">
        <v>2.9120594715512045</v>
      </c>
      <c r="AA2">
        <v>2.8059745683606772</v>
      </c>
      <c r="AB2">
        <v>2.6823314735866748</v>
      </c>
      <c r="AC2">
        <v>2.5401447661684777</v>
      </c>
      <c r="AD2">
        <v>2.3675048299030612</v>
      </c>
      <c r="AE2">
        <v>2.1705609757389484</v>
      </c>
      <c r="AF2">
        <v>1.9999260754969184</v>
      </c>
      <c r="AG2">
        <v>1.8213773844287044</v>
      </c>
      <c r="AH2">
        <v>1.662116207235641</v>
      </c>
      <c r="AI2">
        <v>1.5341353777253872</v>
      </c>
      <c r="AJ2">
        <v>1.3934124995856436</v>
      </c>
      <c r="AK2">
        <v>1.2601265015543925</v>
      </c>
      <c r="AL2">
        <v>1.1265321628787583</v>
      </c>
      <c r="AM2">
        <v>0.99501664672417789</v>
      </c>
      <c r="AN2">
        <v>0.90933865000925496</v>
      </c>
      <c r="AO2">
        <v>0.82502587354256463</v>
      </c>
      <c r="AP2">
        <v>0.74156117781731734</v>
      </c>
      <c r="AQ2">
        <v>0.65881910136003186</v>
      </c>
      <c r="AR2">
        <v>0.57619703353701501</v>
      </c>
      <c r="AS2">
        <v>0.49375595809874129</v>
      </c>
      <c r="AT2">
        <v>0.41182554316803971</v>
      </c>
      <c r="AU2">
        <v>0.33038601349078567</v>
      </c>
      <c r="AV2">
        <v>0.24928477620213224</v>
      </c>
      <c r="AW2">
        <v>0.16899166313165032</v>
      </c>
    </row>
    <row r="3" spans="1:59" ht="14" x14ac:dyDescent="0.15">
      <c r="A3" s="63" t="s">
        <v>363</v>
      </c>
      <c r="B3" s="63" t="s">
        <v>52</v>
      </c>
      <c r="C3" s="63" t="e">
        <v>#N/A</v>
      </c>
      <c r="D3" t="s">
        <v>232</v>
      </c>
      <c r="E3" s="63" t="s">
        <v>346</v>
      </c>
      <c r="F3" s="63" t="s">
        <v>264</v>
      </c>
      <c r="G3" s="67" t="s">
        <v>347</v>
      </c>
      <c r="H3" s="92" t="s">
        <v>340</v>
      </c>
      <c r="U3">
        <v>4.6198350885486841</v>
      </c>
      <c r="V3">
        <v>4.4310333637067565</v>
      </c>
      <c r="W3">
        <v>4.2601576452523187</v>
      </c>
      <c r="X3">
        <v>4.1477646646529411</v>
      </c>
      <c r="Y3">
        <v>3.983165121249411</v>
      </c>
      <c r="Z3">
        <v>3.7695228727174728</v>
      </c>
      <c r="AA3">
        <v>3.5294090786410575</v>
      </c>
      <c r="AB3">
        <v>3.2564449828099788</v>
      </c>
      <c r="AC3">
        <v>3.0356214806243544</v>
      </c>
      <c r="AD3">
        <v>2.7663328670583387</v>
      </c>
      <c r="AE3">
        <v>2.4693620573453714</v>
      </c>
      <c r="AF3">
        <v>2.2076137041018695</v>
      </c>
      <c r="AG3">
        <v>1.9611360531270821</v>
      </c>
      <c r="AH3">
        <v>1.7617393606948943</v>
      </c>
      <c r="AI3">
        <v>1.614438836820973</v>
      </c>
      <c r="AJ3">
        <v>1.4586439245596394</v>
      </c>
      <c r="AK3">
        <v>1.3122686908614136</v>
      </c>
      <c r="AL3">
        <v>1.1610378042299254</v>
      </c>
      <c r="AM3">
        <v>1.0215928669903009</v>
      </c>
      <c r="AN3">
        <v>0.93323889538082738</v>
      </c>
      <c r="AO3">
        <v>0.84630909117352671</v>
      </c>
      <c r="AP3">
        <v>0.76026080983416067</v>
      </c>
      <c r="AQ3">
        <v>0.67496038731823904</v>
      </c>
      <c r="AR3">
        <v>0.58978372081113417</v>
      </c>
      <c r="AS3">
        <v>0.50479712168277646</v>
      </c>
      <c r="AT3">
        <v>0.42034041240351172</v>
      </c>
      <c r="AU3">
        <v>0.33639274742994107</v>
      </c>
      <c r="AV3">
        <v>0.25280167259247838</v>
      </c>
      <c r="AW3">
        <v>0.17003502121168787</v>
      </c>
    </row>
    <row r="4" spans="1:59" ht="14" x14ac:dyDescent="0.15">
      <c r="A4" s="63" t="s">
        <v>363</v>
      </c>
      <c r="B4" s="63" t="s">
        <v>52</v>
      </c>
      <c r="C4" s="63" t="e">
        <v>#N/A</v>
      </c>
      <c r="D4" t="s">
        <v>336</v>
      </c>
      <c r="E4" s="63" t="s">
        <v>346</v>
      </c>
      <c r="F4" s="63" t="s">
        <v>264</v>
      </c>
      <c r="G4" s="67" t="s">
        <v>347</v>
      </c>
      <c r="H4" s="92" t="s">
        <v>340</v>
      </c>
      <c r="U4">
        <v>3.8080629553186114</v>
      </c>
      <c r="V4">
        <v>3.8338501497700697</v>
      </c>
      <c r="W4">
        <v>3.6858877011720241</v>
      </c>
      <c r="X4">
        <v>3.6807354607434282</v>
      </c>
      <c r="Y4">
        <v>3.6376679399389329</v>
      </c>
      <c r="Z4">
        <v>3.5529277717075063</v>
      </c>
      <c r="AA4">
        <v>3.4167070362628231</v>
      </c>
      <c r="AB4">
        <v>3.2717358364537814</v>
      </c>
      <c r="AC4">
        <v>3.091656986636528</v>
      </c>
      <c r="AD4">
        <v>2.8522685850915046</v>
      </c>
      <c r="AE4">
        <v>2.6178372888053643</v>
      </c>
      <c r="AF4">
        <v>2.3815369103447952</v>
      </c>
      <c r="AG4">
        <v>2.1448380180879729</v>
      </c>
      <c r="AH4">
        <v>1.923327401782531</v>
      </c>
      <c r="AI4">
        <v>1.7563509372926251</v>
      </c>
      <c r="AJ4">
        <v>1.5914383127305485</v>
      </c>
      <c r="AK4">
        <v>1.4374790216666775</v>
      </c>
      <c r="AL4">
        <v>1.2851148054801667</v>
      </c>
      <c r="AM4">
        <v>1.1336007707460194</v>
      </c>
      <c r="AN4">
        <v>1.0402929477684197</v>
      </c>
      <c r="AO4">
        <v>0.94704958784123661</v>
      </c>
      <c r="AP4">
        <v>0.85402467913401425</v>
      </c>
      <c r="AQ4">
        <v>0.76096112829309204</v>
      </c>
      <c r="AR4">
        <v>0.66797894447463335</v>
      </c>
      <c r="AS4">
        <v>0.57515809083705405</v>
      </c>
      <c r="AT4">
        <v>0.48260344996531124</v>
      </c>
      <c r="AU4">
        <v>0.39020425119655866</v>
      </c>
      <c r="AV4">
        <v>0.29806856874028825</v>
      </c>
      <c r="AW4">
        <v>0.2063014799599317</v>
      </c>
    </row>
    <row r="5" spans="1:59" ht="14" x14ac:dyDescent="0.15">
      <c r="A5" s="63" t="s">
        <v>363</v>
      </c>
      <c r="B5" s="63" t="s">
        <v>52</v>
      </c>
      <c r="C5" s="63" t="e">
        <v>#N/A</v>
      </c>
      <c r="D5" t="s">
        <v>234</v>
      </c>
      <c r="E5" s="63" t="s">
        <v>346</v>
      </c>
      <c r="F5" s="63" t="s">
        <v>264</v>
      </c>
      <c r="G5" s="67" t="s">
        <v>347</v>
      </c>
      <c r="H5" s="92" t="s">
        <v>340</v>
      </c>
      <c r="U5">
        <v>4.2116038222662153</v>
      </c>
      <c r="V5">
        <v>4.109623671328305</v>
      </c>
      <c r="W5">
        <v>3.7730409511969993</v>
      </c>
      <c r="X5">
        <v>3.7391617658942842</v>
      </c>
      <c r="Y5">
        <v>3.7046573615641418</v>
      </c>
      <c r="Z5">
        <v>3.5929235394957733</v>
      </c>
      <c r="AA5">
        <v>3.4340663256875121</v>
      </c>
      <c r="AB5">
        <v>3.2574197821459672</v>
      </c>
      <c r="AC5">
        <v>3.0665006823135945</v>
      </c>
      <c r="AD5">
        <v>2.8118104818887955</v>
      </c>
      <c r="AE5">
        <v>2.5605241032575901</v>
      </c>
      <c r="AF5">
        <v>2.3221087350574496</v>
      </c>
      <c r="AG5">
        <v>2.0894580400931799</v>
      </c>
      <c r="AH5">
        <v>1.878917237655126</v>
      </c>
      <c r="AI5">
        <v>1.7218243634888488</v>
      </c>
      <c r="AJ5">
        <v>1.559674784188585</v>
      </c>
      <c r="AK5">
        <v>1.4073759256329934</v>
      </c>
      <c r="AL5">
        <v>1.2552713092364343</v>
      </c>
      <c r="AM5">
        <v>1.1066964434460873</v>
      </c>
      <c r="AN5">
        <v>1.0124501361570737</v>
      </c>
      <c r="AO5">
        <v>0.92192129934081346</v>
      </c>
      <c r="AP5">
        <v>0.83193392206202443</v>
      </c>
      <c r="AQ5">
        <v>0.74189247295847904</v>
      </c>
      <c r="AR5">
        <v>0.65146496616389005</v>
      </c>
      <c r="AS5">
        <v>0.56082154548143148</v>
      </c>
      <c r="AT5">
        <v>0.46996730059880437</v>
      </c>
      <c r="AU5">
        <v>0.37925921414842251</v>
      </c>
      <c r="AV5">
        <v>0.28886213796286525</v>
      </c>
      <c r="AW5">
        <v>0.1990326464173191</v>
      </c>
    </row>
    <row r="6" spans="1:59" ht="14" x14ac:dyDescent="0.15">
      <c r="A6" s="63" t="s">
        <v>363</v>
      </c>
      <c r="B6" s="63" t="s">
        <v>52</v>
      </c>
      <c r="C6" s="63" t="e">
        <v>#N/A</v>
      </c>
      <c r="D6" t="s">
        <v>335</v>
      </c>
      <c r="E6" s="63" t="s">
        <v>346</v>
      </c>
      <c r="F6" s="63" t="s">
        <v>264</v>
      </c>
      <c r="G6" s="67" t="s">
        <v>347</v>
      </c>
      <c r="H6" s="92" t="s">
        <v>377</v>
      </c>
      <c r="U6">
        <v>100.12871011322092</v>
      </c>
      <c r="V6">
        <v>100.45297990234675</v>
      </c>
      <c r="W6">
        <v>95.578341829027679</v>
      </c>
      <c r="X6">
        <v>94.96320565434786</v>
      </c>
      <c r="Y6">
        <v>91.965210893002819</v>
      </c>
      <c r="Z6">
        <v>88.35532316124025</v>
      </c>
      <c r="AA6">
        <v>83.099346891990592</v>
      </c>
      <c r="AB6">
        <v>77.458085428807763</v>
      </c>
      <c r="AC6">
        <v>72.06866853448858</v>
      </c>
      <c r="AD6">
        <v>66.784069722064515</v>
      </c>
      <c r="AE6">
        <v>61.081239469877083</v>
      </c>
      <c r="AF6">
        <v>56.202990970096415</v>
      </c>
      <c r="AG6">
        <v>51.260138052061961</v>
      </c>
      <c r="AH6">
        <v>46.936265268185679</v>
      </c>
      <c r="AI6">
        <v>42.784569597489998</v>
      </c>
      <c r="AJ6">
        <v>38.862114515093204</v>
      </c>
      <c r="AK6">
        <v>35.076050758592608</v>
      </c>
      <c r="AL6">
        <v>31.331534817487043</v>
      </c>
      <c r="AM6">
        <v>27.586323182044342</v>
      </c>
      <c r="AN6">
        <v>25.223724783922354</v>
      </c>
      <c r="AO6">
        <v>22.87172969175338</v>
      </c>
      <c r="AP6">
        <v>20.527721450550278</v>
      </c>
      <c r="AQ6">
        <v>18.191299166860929</v>
      </c>
      <c r="AR6">
        <v>15.859016113909389</v>
      </c>
      <c r="AS6">
        <v>13.530620374497994</v>
      </c>
      <c r="AT6">
        <v>11.208127982971215</v>
      </c>
      <c r="AU6">
        <v>8.8914354172879317</v>
      </c>
      <c r="AV6">
        <v>6.5787524064724714</v>
      </c>
      <c r="AW6">
        <v>4.275639900125638</v>
      </c>
    </row>
    <row r="7" spans="1:59" ht="14" x14ac:dyDescent="0.15">
      <c r="A7" s="63" t="s">
        <v>363</v>
      </c>
      <c r="B7" s="63" t="s">
        <v>52</v>
      </c>
      <c r="C7" s="63" t="e">
        <v>#N/A</v>
      </c>
      <c r="D7" t="s">
        <v>232</v>
      </c>
      <c r="E7" s="63" t="s">
        <v>346</v>
      </c>
      <c r="F7" s="63" t="s">
        <v>264</v>
      </c>
      <c r="G7" s="67" t="s">
        <v>347</v>
      </c>
      <c r="H7" s="92" t="s">
        <v>377</v>
      </c>
      <c r="U7">
        <v>147.7517613835868</v>
      </c>
      <c r="V7">
        <v>137.91315547741232</v>
      </c>
      <c r="W7">
        <v>133.22539639368651</v>
      </c>
      <c r="X7">
        <v>139.79819584585715</v>
      </c>
      <c r="Y7">
        <v>142.35709079997969</v>
      </c>
      <c r="Z7">
        <v>140.34344913090143</v>
      </c>
      <c r="AA7">
        <v>128.95506817431425</v>
      </c>
      <c r="AB7">
        <v>115.5701027032447</v>
      </c>
      <c r="AC7">
        <v>103.96180390509986</v>
      </c>
      <c r="AD7">
        <v>92.71079170903424</v>
      </c>
      <c r="AE7">
        <v>81.367422785466985</v>
      </c>
      <c r="AF7">
        <v>71.545815787637864</v>
      </c>
      <c r="AG7">
        <v>64.452350900263454</v>
      </c>
      <c r="AH7">
        <v>57.874937824466407</v>
      </c>
      <c r="AI7">
        <v>51.487415804795155</v>
      </c>
      <c r="AJ7">
        <v>45.952055165720161</v>
      </c>
      <c r="AK7">
        <v>40.748246376771682</v>
      </c>
      <c r="AL7">
        <v>35.083887312478851</v>
      </c>
      <c r="AM7">
        <v>30.517850424653091</v>
      </c>
      <c r="AN7">
        <v>27.86007486343723</v>
      </c>
      <c r="AO7">
        <v>25.219404856647657</v>
      </c>
      <c r="AP7">
        <v>22.590410581480342</v>
      </c>
      <c r="AQ7">
        <v>19.971786348386157</v>
      </c>
      <c r="AR7">
        <v>17.357714705433992</v>
      </c>
      <c r="AS7">
        <v>14.748531405960897</v>
      </c>
      <c r="AT7">
        <v>12.147372573852945</v>
      </c>
      <c r="AU7">
        <v>9.554016627309851</v>
      </c>
      <c r="AV7">
        <v>6.9666885943311367</v>
      </c>
      <c r="AW7">
        <v>4.3907289761792754</v>
      </c>
    </row>
    <row r="8" spans="1:59" ht="14" x14ac:dyDescent="0.15">
      <c r="A8" s="63" t="s">
        <v>363</v>
      </c>
      <c r="B8" s="63" t="s">
        <v>52</v>
      </c>
      <c r="C8" s="63" t="e">
        <v>#N/A</v>
      </c>
      <c r="D8" t="s">
        <v>336</v>
      </c>
      <c r="E8" s="63" t="s">
        <v>346</v>
      </c>
      <c r="F8" s="63" t="s">
        <v>264</v>
      </c>
      <c r="G8" s="67" t="s">
        <v>347</v>
      </c>
      <c r="H8" s="92" t="s">
        <v>377</v>
      </c>
      <c r="U8">
        <v>113.45390392766606</v>
      </c>
      <c r="V8">
        <v>113.78426763570289</v>
      </c>
      <c r="W8">
        <v>109.54014957098876</v>
      </c>
      <c r="X8">
        <v>121.4496986475644</v>
      </c>
      <c r="Y8">
        <v>126.88412202602811</v>
      </c>
      <c r="Z8">
        <v>127.9181261528843</v>
      </c>
      <c r="AA8">
        <v>119.9009478914456</v>
      </c>
      <c r="AB8">
        <v>111.96236089749473</v>
      </c>
      <c r="AC8">
        <v>103.17216884356398</v>
      </c>
      <c r="AD8">
        <v>90.862101584020309</v>
      </c>
      <c r="AE8">
        <v>81.209392520085814</v>
      </c>
      <c r="AF8">
        <v>70.804833748799098</v>
      </c>
      <c r="AG8">
        <v>61.254465477332403</v>
      </c>
      <c r="AH8">
        <v>52.50173094104013</v>
      </c>
      <c r="AI8">
        <v>46.53626032863307</v>
      </c>
      <c r="AJ8">
        <v>41.632341278607456</v>
      </c>
      <c r="AK8">
        <v>37.261045152711176</v>
      </c>
      <c r="AL8">
        <v>32.884465679231617</v>
      </c>
      <c r="AM8">
        <v>28.482587546101932</v>
      </c>
      <c r="AN8">
        <v>26.150221860307202</v>
      </c>
      <c r="AO8">
        <v>23.816612082948133</v>
      </c>
      <c r="AP8">
        <v>21.476283389159413</v>
      </c>
      <c r="AQ8">
        <v>19.132594955323508</v>
      </c>
      <c r="AR8">
        <v>16.782505829285704</v>
      </c>
      <c r="AS8">
        <v>14.415935048147601</v>
      </c>
      <c r="AT8">
        <v>12.0424360053272</v>
      </c>
      <c r="AU8">
        <v>9.6624948722645172</v>
      </c>
      <c r="AV8">
        <v>7.2744480587637614</v>
      </c>
      <c r="AW8">
        <v>4.8778250925732003</v>
      </c>
    </row>
    <row r="9" spans="1:59" ht="14" x14ac:dyDescent="0.15">
      <c r="A9" s="63" t="s">
        <v>363</v>
      </c>
      <c r="B9" s="63" t="s">
        <v>52</v>
      </c>
      <c r="C9" s="63" t="e">
        <v>#N/A</v>
      </c>
      <c r="D9" t="s">
        <v>234</v>
      </c>
      <c r="E9" s="63" t="s">
        <v>346</v>
      </c>
      <c r="F9" s="63" t="s">
        <v>264</v>
      </c>
      <c r="G9" s="67" t="s">
        <v>347</v>
      </c>
      <c r="H9" s="92" t="s">
        <v>377</v>
      </c>
      <c r="U9">
        <v>115.39340574933163</v>
      </c>
      <c r="V9">
        <v>113.97238867458844</v>
      </c>
      <c r="W9">
        <v>112.05039478754219</v>
      </c>
      <c r="X9">
        <v>118.71739858272755</v>
      </c>
      <c r="Y9">
        <v>117.21103202741912</v>
      </c>
      <c r="Z9">
        <v>115.62305732322484</v>
      </c>
      <c r="AA9">
        <v>107.77260125219092</v>
      </c>
      <c r="AB9">
        <v>99.42230830062968</v>
      </c>
      <c r="AC9">
        <v>91.229825418578287</v>
      </c>
      <c r="AD9">
        <v>81.31193787831107</v>
      </c>
      <c r="AE9">
        <v>72.822313411153729</v>
      </c>
      <c r="AF9">
        <v>64.710310165419628</v>
      </c>
      <c r="AG9">
        <v>57.482245590553802</v>
      </c>
      <c r="AH9">
        <v>50.993562597385036</v>
      </c>
      <c r="AI9">
        <v>45.583275683942354</v>
      </c>
      <c r="AJ9">
        <v>41.039061716638273</v>
      </c>
      <c r="AK9">
        <v>36.807452061907156</v>
      </c>
      <c r="AL9">
        <v>32.514429193840137</v>
      </c>
      <c r="AM9">
        <v>28.378637904030668</v>
      </c>
      <c r="AN9">
        <v>26.08266693231154</v>
      </c>
      <c r="AO9">
        <v>23.670758308775994</v>
      </c>
      <c r="AP9">
        <v>21.267596513190174</v>
      </c>
      <c r="AQ9">
        <v>18.874241166054297</v>
      </c>
      <c r="AR9">
        <v>16.487685909307267</v>
      </c>
      <c r="AS9">
        <v>14.12515390188778</v>
      </c>
      <c r="AT9">
        <v>11.740071858637544</v>
      </c>
      <c r="AU9">
        <v>9.3560192174390338</v>
      </c>
      <c r="AV9">
        <v>6.968918530080189</v>
      </c>
      <c r="AW9">
        <v>4.5811261306903885</v>
      </c>
    </row>
    <row r="10" spans="1:59" ht="14" x14ac:dyDescent="0.15">
      <c r="A10" s="63" t="s">
        <v>363</v>
      </c>
      <c r="B10" s="63" t="s">
        <v>52</v>
      </c>
      <c r="C10" s="63" t="e">
        <v>#N/A</v>
      </c>
      <c r="D10" t="s">
        <v>335</v>
      </c>
      <c r="E10" s="63" t="s">
        <v>346</v>
      </c>
      <c r="F10" s="63" t="s">
        <v>264</v>
      </c>
      <c r="G10" s="67" t="s">
        <v>347</v>
      </c>
      <c r="H10" s="92" t="s">
        <v>338</v>
      </c>
      <c r="U10">
        <v>44.73111888152313</v>
      </c>
      <c r="V10">
        <v>45.000196526653667</v>
      </c>
      <c r="W10">
        <v>42.842581622003621</v>
      </c>
      <c r="X10">
        <v>42.219475733544357</v>
      </c>
      <c r="Y10">
        <v>41.210876119467748</v>
      </c>
      <c r="Z10">
        <v>39.732934442756708</v>
      </c>
      <c r="AA10">
        <v>38.103695618801964</v>
      </c>
      <c r="AB10">
        <v>36.279960612210211</v>
      </c>
      <c r="AC10">
        <v>34.470778208416853</v>
      </c>
      <c r="AD10">
        <v>33.507684081410957</v>
      </c>
      <c r="AE10">
        <v>32.248501168591702</v>
      </c>
      <c r="AF10">
        <v>31.01220091828699</v>
      </c>
      <c r="AG10">
        <v>29.641272924826652</v>
      </c>
      <c r="AH10">
        <v>28.255709103652254</v>
      </c>
      <c r="AI10">
        <v>25.792131106962028</v>
      </c>
      <c r="AJ10">
        <v>23.429278683798266</v>
      </c>
      <c r="AK10">
        <v>21.157607752820432</v>
      </c>
      <c r="AL10">
        <v>18.895008069901571</v>
      </c>
      <c r="AM10">
        <v>16.653910210098147</v>
      </c>
      <c r="AN10">
        <v>15.226402982381478</v>
      </c>
      <c r="AO10">
        <v>13.811723514222448</v>
      </c>
      <c r="AP10">
        <v>12.404955664209112</v>
      </c>
      <c r="AQ10">
        <v>11.004905149673789</v>
      </c>
      <c r="AR10">
        <v>9.6061687578408872</v>
      </c>
      <c r="AS10">
        <v>8.2092435480697858</v>
      </c>
      <c r="AT10">
        <v>6.8170789292060725</v>
      </c>
      <c r="AU10">
        <v>5.429498852395982</v>
      </c>
      <c r="AV10">
        <v>4.0450790386211759</v>
      </c>
      <c r="AW10">
        <v>2.6682080334660725</v>
      </c>
    </row>
    <row r="11" spans="1:59" ht="14" x14ac:dyDescent="0.15">
      <c r="A11" s="63" t="s">
        <v>363</v>
      </c>
      <c r="B11" s="63" t="s">
        <v>52</v>
      </c>
      <c r="C11" s="63" t="e">
        <v>#N/A</v>
      </c>
      <c r="D11" t="s">
        <v>232</v>
      </c>
      <c r="E11" s="63" t="s">
        <v>346</v>
      </c>
      <c r="F11" s="63" t="s">
        <v>264</v>
      </c>
      <c r="G11" s="67" t="s">
        <v>347</v>
      </c>
      <c r="H11" s="92" t="s">
        <v>338</v>
      </c>
      <c r="U11">
        <v>52.468480173328146</v>
      </c>
      <c r="V11">
        <v>51.834273247294412</v>
      </c>
      <c r="W11">
        <v>49.886930841590711</v>
      </c>
      <c r="X11">
        <v>49.600008778557786</v>
      </c>
      <c r="Y11">
        <v>48.621451677039367</v>
      </c>
      <c r="Z11">
        <v>46.997017282914449</v>
      </c>
      <c r="AA11">
        <v>44.91912218701053</v>
      </c>
      <c r="AB11">
        <v>42.297298551801205</v>
      </c>
      <c r="AC11">
        <v>39.750255167297283</v>
      </c>
      <c r="AD11">
        <v>37.980260507976524</v>
      </c>
      <c r="AE11">
        <v>35.793315193497058</v>
      </c>
      <c r="AF11">
        <v>33.638027762498844</v>
      </c>
      <c r="AG11">
        <v>31.663946323897822</v>
      </c>
      <c r="AH11">
        <v>29.884312116424898</v>
      </c>
      <c r="AI11">
        <v>27.085995893612427</v>
      </c>
      <c r="AJ11">
        <v>24.483085804889583</v>
      </c>
      <c r="AK11">
        <v>22.001655366973093</v>
      </c>
      <c r="AL11">
        <v>19.456208606155759</v>
      </c>
      <c r="AM11">
        <v>17.090141208912151</v>
      </c>
      <c r="AN11">
        <v>15.618848911253133</v>
      </c>
      <c r="AO11">
        <v>14.161338249454486</v>
      </c>
      <c r="AP11">
        <v>12.712280791411615</v>
      </c>
      <c r="AQ11">
        <v>11.270349870016386</v>
      </c>
      <c r="AR11">
        <v>9.8297940012451193</v>
      </c>
      <c r="AS11">
        <v>8.3911961142119083</v>
      </c>
      <c r="AT11">
        <v>6.9576703933771133</v>
      </c>
      <c r="AU11">
        <v>5.5290234975426342</v>
      </c>
      <c r="AV11">
        <v>4.1038325822458326</v>
      </c>
      <c r="AW11">
        <v>2.6864565320363587</v>
      </c>
    </row>
    <row r="12" spans="1:59" ht="14" x14ac:dyDescent="0.15">
      <c r="A12" s="63" t="s">
        <v>363</v>
      </c>
      <c r="B12" s="63" t="s">
        <v>52</v>
      </c>
      <c r="C12" s="63" t="e">
        <v>#N/A</v>
      </c>
      <c r="D12" t="s">
        <v>336</v>
      </c>
      <c r="E12" s="63" t="s">
        <v>346</v>
      </c>
      <c r="F12" s="63" t="s">
        <v>264</v>
      </c>
      <c r="G12" s="67" t="s">
        <v>347</v>
      </c>
      <c r="H12" s="92" t="s">
        <v>338</v>
      </c>
      <c r="U12">
        <v>50.459706895243997</v>
      </c>
      <c r="V12">
        <v>50.556166012618981</v>
      </c>
      <c r="W12">
        <v>48.485924798294157</v>
      </c>
      <c r="X12">
        <v>46.246895614907402</v>
      </c>
      <c r="Y12">
        <v>43.719958323337451</v>
      </c>
      <c r="Z12">
        <v>41.102880199203817</v>
      </c>
      <c r="AA12">
        <v>38.266039148619399</v>
      </c>
      <c r="AB12">
        <v>35.561317294938647</v>
      </c>
      <c r="AC12">
        <v>32.939610624822578</v>
      </c>
      <c r="AD12">
        <v>31.170279186033095</v>
      </c>
      <c r="AE12">
        <v>29.473772160971986</v>
      </c>
      <c r="AF12">
        <v>27.60054941654279</v>
      </c>
      <c r="AG12">
        <v>25.698691615869592</v>
      </c>
      <c r="AH12">
        <v>24.687548843752467</v>
      </c>
      <c r="AI12">
        <v>23.811149651235329</v>
      </c>
      <c r="AJ12">
        <v>22.842655036994422</v>
      </c>
      <c r="AK12">
        <v>21.111303255168938</v>
      </c>
      <c r="AL12">
        <v>19.276681169066975</v>
      </c>
      <c r="AM12">
        <v>17.342208966712004</v>
      </c>
      <c r="AN12">
        <v>16.000931051201224</v>
      </c>
      <c r="AO12">
        <v>14.643459547436931</v>
      </c>
      <c r="AP12">
        <v>13.268249174315297</v>
      </c>
      <c r="AQ12">
        <v>11.872891450297741</v>
      </c>
      <c r="AR12">
        <v>10.458192915228926</v>
      </c>
      <c r="AS12">
        <v>8.9692593869147874</v>
      </c>
      <c r="AT12">
        <v>7.4821263632599928</v>
      </c>
      <c r="AU12">
        <v>5.9958809959232831</v>
      </c>
      <c r="AV12">
        <v>4.5113324934803263</v>
      </c>
      <c r="AW12">
        <v>3.0293459231212592</v>
      </c>
    </row>
    <row r="13" spans="1:59" ht="14" x14ac:dyDescent="0.15">
      <c r="A13" s="63" t="s">
        <v>363</v>
      </c>
      <c r="B13" s="63" t="s">
        <v>52</v>
      </c>
      <c r="C13" s="63" t="e">
        <v>#N/A</v>
      </c>
      <c r="D13" t="s">
        <v>234</v>
      </c>
      <c r="E13" s="63" t="s">
        <v>346</v>
      </c>
      <c r="F13" s="63" t="s">
        <v>264</v>
      </c>
      <c r="G13" s="67" t="s">
        <v>347</v>
      </c>
      <c r="H13" s="92" t="s">
        <v>338</v>
      </c>
      <c r="U13">
        <v>49.787161887125556</v>
      </c>
      <c r="V13">
        <v>49.635790572686332</v>
      </c>
      <c r="W13">
        <v>47.494755992368084</v>
      </c>
      <c r="X13">
        <v>46.477785146486291</v>
      </c>
      <c r="Y13">
        <v>45.072649395466165</v>
      </c>
      <c r="Z13">
        <v>43.100372035832542</v>
      </c>
      <c r="AA13">
        <v>40.839865595195882</v>
      </c>
      <c r="AB13">
        <v>38.366349267553119</v>
      </c>
      <c r="AC13">
        <v>35.957993283263932</v>
      </c>
      <c r="AD13">
        <v>34.09112767051883</v>
      </c>
      <c r="AE13">
        <v>32.298361487498674</v>
      </c>
      <c r="AF13">
        <v>30.454549581407527</v>
      </c>
      <c r="AG13">
        <v>28.630099872806028</v>
      </c>
      <c r="AH13">
        <v>27.260849647041255</v>
      </c>
      <c r="AI13">
        <v>25.359079658457745</v>
      </c>
      <c r="AJ13">
        <v>23.50944523039351</v>
      </c>
      <c r="AK13">
        <v>21.400500886052281</v>
      </c>
      <c r="AL13">
        <v>19.232853428123899</v>
      </c>
      <c r="AM13">
        <v>17.085635308743289</v>
      </c>
      <c r="AN13">
        <v>15.687944171317348</v>
      </c>
      <c r="AO13">
        <v>14.285856678824954</v>
      </c>
      <c r="AP13">
        <v>12.880263995763809</v>
      </c>
      <c r="AQ13">
        <v>11.468449233226684</v>
      </c>
      <c r="AR13">
        <v>10.048513708446679</v>
      </c>
      <c r="AS13">
        <v>8.5977416164411284</v>
      </c>
      <c r="AT13">
        <v>7.1517241587177081</v>
      </c>
      <c r="AU13">
        <v>5.7090753967861989</v>
      </c>
      <c r="AV13">
        <v>4.2692843440337223</v>
      </c>
      <c r="AW13">
        <v>2.83462241028462</v>
      </c>
    </row>
    <row r="14" spans="1:59" ht="14" x14ac:dyDescent="0.15">
      <c r="A14" s="63" t="s">
        <v>363</v>
      </c>
      <c r="B14" s="63" t="s">
        <v>52</v>
      </c>
      <c r="C14" s="63" t="e">
        <v>#N/A</v>
      </c>
      <c r="D14" t="s">
        <v>335</v>
      </c>
      <c r="E14" s="63" t="s">
        <v>346</v>
      </c>
      <c r="F14" s="63" t="s">
        <v>264</v>
      </c>
      <c r="G14" s="67" t="s">
        <v>347</v>
      </c>
      <c r="H14" s="92" t="s">
        <v>339</v>
      </c>
      <c r="U14">
        <v>62.795901412348918</v>
      </c>
      <c r="V14">
        <v>62.804640365942745</v>
      </c>
      <c r="W14">
        <v>59.500614343593405</v>
      </c>
      <c r="X14">
        <v>57.540036211095938</v>
      </c>
      <c r="Y14">
        <v>55.129639845049894</v>
      </c>
      <c r="Z14">
        <v>52.222581987324794</v>
      </c>
      <c r="AA14">
        <v>49.23733271678941</v>
      </c>
      <c r="AB14">
        <v>46.108732292295656</v>
      </c>
      <c r="AC14">
        <v>43.114472940320965</v>
      </c>
      <c r="AD14">
        <v>40.911421084565987</v>
      </c>
      <c r="AE14">
        <v>38.481228058096576</v>
      </c>
      <c r="AF14">
        <v>36.262125975788216</v>
      </c>
      <c r="AG14">
        <v>34.003175323526598</v>
      </c>
      <c r="AH14">
        <v>31.870760486390282</v>
      </c>
      <c r="AI14">
        <v>29.081186770040524</v>
      </c>
      <c r="AJ14">
        <v>26.407293498037308</v>
      </c>
      <c r="AK14">
        <v>23.86493858795502</v>
      </c>
      <c r="AL14">
        <v>21.321707230827609</v>
      </c>
      <c r="AM14">
        <v>18.812890515779426</v>
      </c>
      <c r="AN14">
        <v>17.192863288627219</v>
      </c>
      <c r="AO14">
        <v>15.595590145893858</v>
      </c>
      <c r="AP14">
        <v>14.012499313045378</v>
      </c>
      <c r="AQ14">
        <v>12.441504961195854</v>
      </c>
      <c r="AR14">
        <v>10.872673434684051</v>
      </c>
      <c r="AS14">
        <v>9.3069770729229422</v>
      </c>
      <c r="AT14">
        <v>7.749857697412244</v>
      </c>
      <c r="AU14">
        <v>6.200989731594519</v>
      </c>
      <c r="AV14">
        <v>4.6578088670857829</v>
      </c>
      <c r="AW14">
        <v>3.1282131338264292</v>
      </c>
    </row>
    <row r="15" spans="1:59" ht="14" x14ac:dyDescent="0.15">
      <c r="A15" s="63" t="s">
        <v>363</v>
      </c>
      <c r="B15" s="63" t="s">
        <v>52</v>
      </c>
      <c r="C15" s="63" t="e">
        <v>#N/A</v>
      </c>
      <c r="D15" t="s">
        <v>232</v>
      </c>
      <c r="E15" s="63" t="s">
        <v>346</v>
      </c>
      <c r="F15" s="63" t="s">
        <v>264</v>
      </c>
      <c r="G15" s="67" t="s">
        <v>347</v>
      </c>
      <c r="H15" s="92" t="s">
        <v>339</v>
      </c>
      <c r="U15">
        <v>74.908843588516874</v>
      </c>
      <c r="V15">
        <v>74.908103177248137</v>
      </c>
      <c r="W15">
        <v>72.072461006473759</v>
      </c>
      <c r="X15">
        <v>70.034655430746142</v>
      </c>
      <c r="Y15">
        <v>67.198242723598796</v>
      </c>
      <c r="Z15">
        <v>63.615792835072497</v>
      </c>
      <c r="AA15">
        <v>59.606582461448966</v>
      </c>
      <c r="AB15">
        <v>55.090852923622073</v>
      </c>
      <c r="AC15">
        <v>50.789094672968247</v>
      </c>
      <c r="AD15">
        <v>47.466363190057557</v>
      </c>
      <c r="AE15">
        <v>43.677245374296248</v>
      </c>
      <c r="AF15">
        <v>40.076327334561583</v>
      </c>
      <c r="AG15">
        <v>36.821449710335884</v>
      </c>
      <c r="AH15">
        <v>34.091693094730985</v>
      </c>
      <c r="AI15">
        <v>30.8411010389685</v>
      </c>
      <c r="AJ15">
        <v>27.83797927033547</v>
      </c>
      <c r="AK15">
        <v>25.008806667947962</v>
      </c>
      <c r="AL15">
        <v>22.078601221985206</v>
      </c>
      <c r="AM15">
        <v>19.398043566157753</v>
      </c>
      <c r="AN15">
        <v>17.719097312928117</v>
      </c>
      <c r="AO15">
        <v>16.064202736335702</v>
      </c>
      <c r="AP15">
        <v>14.424220463631809</v>
      </c>
      <c r="AQ15">
        <v>12.796897453447663</v>
      </c>
      <c r="AR15">
        <v>11.17181977682168</v>
      </c>
      <c r="AS15">
        <v>9.5500770745987715</v>
      </c>
      <c r="AT15">
        <v>7.93733474271259</v>
      </c>
      <c r="AU15">
        <v>6.3332436393969855</v>
      </c>
      <c r="AV15">
        <v>4.7352425100057252</v>
      </c>
      <c r="AW15">
        <v>3.1511853820931206</v>
      </c>
    </row>
    <row r="16" spans="1:59" ht="14" x14ac:dyDescent="0.15">
      <c r="A16" s="63" t="s">
        <v>363</v>
      </c>
      <c r="B16" s="63" t="s">
        <v>52</v>
      </c>
      <c r="C16" s="63" t="e">
        <v>#N/A</v>
      </c>
      <c r="D16" t="s">
        <v>336</v>
      </c>
      <c r="E16" s="63" t="s">
        <v>346</v>
      </c>
      <c r="F16" s="63" t="s">
        <v>264</v>
      </c>
      <c r="G16" s="67" t="s">
        <v>347</v>
      </c>
      <c r="H16" s="92" t="s">
        <v>339</v>
      </c>
      <c r="U16">
        <v>71.561032254488225</v>
      </c>
      <c r="V16">
        <v>71.725075485889349</v>
      </c>
      <c r="W16">
        <v>68.751031623793011</v>
      </c>
      <c r="X16">
        <v>65.439400378873188</v>
      </c>
      <c r="Y16">
        <v>61.738586504384728</v>
      </c>
      <c r="Z16">
        <v>57.909577295950712</v>
      </c>
      <c r="AA16">
        <v>53.780835243211875</v>
      </c>
      <c r="AB16">
        <v>49.867443853489306</v>
      </c>
      <c r="AC16">
        <v>46.090829456648216</v>
      </c>
      <c r="AD16">
        <v>42.684610799519461</v>
      </c>
      <c r="AE16">
        <v>39.49472788401706</v>
      </c>
      <c r="AF16">
        <v>36.250506476910012</v>
      </c>
      <c r="AG16">
        <v>33.134480310627993</v>
      </c>
      <c r="AH16">
        <v>30.115946751173293</v>
      </c>
      <c r="AI16">
        <v>27.688013960208117</v>
      </c>
      <c r="AJ16">
        <v>25.426460463697786</v>
      </c>
      <c r="AK16">
        <v>23.48602286185697</v>
      </c>
      <c r="AL16">
        <v>21.448300437402771</v>
      </c>
      <c r="AM16">
        <v>19.299893626764643</v>
      </c>
      <c r="AN16">
        <v>18.036385468004053</v>
      </c>
      <c r="AO16">
        <v>16.721210923898653</v>
      </c>
      <c r="AP16">
        <v>15.344797172444729</v>
      </c>
      <c r="AQ16">
        <v>13.905372961947762</v>
      </c>
      <c r="AR16">
        <v>12.4069467000669</v>
      </c>
      <c r="AS16">
        <v>10.671240817470713</v>
      </c>
      <c r="AT16">
        <v>8.9394771183180683</v>
      </c>
      <c r="AU16">
        <v>7.2098885014360263</v>
      </c>
      <c r="AV16">
        <v>5.4841361047766473</v>
      </c>
      <c r="AW16">
        <v>3.7638956649348358</v>
      </c>
    </row>
    <row r="17" spans="1:49" ht="14" x14ac:dyDescent="0.15">
      <c r="A17" s="63" t="s">
        <v>363</v>
      </c>
      <c r="B17" s="63" t="s">
        <v>52</v>
      </c>
      <c r="C17" s="63" t="e">
        <v>#N/A</v>
      </c>
      <c r="D17" t="s">
        <v>234</v>
      </c>
      <c r="E17" s="63" t="s">
        <v>346</v>
      </c>
      <c r="F17" s="63" t="s">
        <v>264</v>
      </c>
      <c r="G17" s="67" t="s">
        <v>347</v>
      </c>
      <c r="H17" s="92" t="s">
        <v>339</v>
      </c>
      <c r="U17">
        <v>69.62688093899456</v>
      </c>
      <c r="V17">
        <v>69.807318539515819</v>
      </c>
      <c r="W17">
        <v>67.379957891467541</v>
      </c>
      <c r="X17">
        <v>65.008418755230991</v>
      </c>
      <c r="Y17">
        <v>61.772925709745344</v>
      </c>
      <c r="Z17">
        <v>58.358048765187412</v>
      </c>
      <c r="AA17">
        <v>54.673797351605486</v>
      </c>
      <c r="AB17">
        <v>50.823272737343629</v>
      </c>
      <c r="AC17">
        <v>47.127854099353229</v>
      </c>
      <c r="AD17">
        <v>44.26112243439146</v>
      </c>
      <c r="AE17">
        <v>41.045755700772773</v>
      </c>
      <c r="AF17">
        <v>37.914480472861811</v>
      </c>
      <c r="AG17">
        <v>34.94462636091346</v>
      </c>
      <c r="AH17">
        <v>32.259813763900915</v>
      </c>
      <c r="AI17">
        <v>29.385911442348601</v>
      </c>
      <c r="AJ17">
        <v>26.700075605260221</v>
      </c>
      <c r="AK17">
        <v>24.226121109135104</v>
      </c>
      <c r="AL17">
        <v>21.681093009405046</v>
      </c>
      <c r="AM17">
        <v>19.217771231888161</v>
      </c>
      <c r="AN17">
        <v>17.693659970751799</v>
      </c>
      <c r="AO17">
        <v>16.175439881518695</v>
      </c>
      <c r="AP17">
        <v>14.646779386464663</v>
      </c>
      <c r="AQ17">
        <v>13.103973013580994</v>
      </c>
      <c r="AR17">
        <v>11.540940805292109</v>
      </c>
      <c r="AS17">
        <v>9.8938217193206874</v>
      </c>
      <c r="AT17">
        <v>8.2537208740874455</v>
      </c>
      <c r="AU17">
        <v>6.6195367608549445</v>
      </c>
      <c r="AV17">
        <v>4.9902993878909259</v>
      </c>
      <c r="AW17">
        <v>3.3713456736161413</v>
      </c>
    </row>
    <row r="18" spans="1:49" ht="14" x14ac:dyDescent="0.15">
      <c r="A18" s="63" t="s">
        <v>363</v>
      </c>
      <c r="B18" s="63" t="s">
        <v>52</v>
      </c>
      <c r="C18" s="63" t="e">
        <v>#N/A</v>
      </c>
      <c r="D18" t="s">
        <v>335</v>
      </c>
      <c r="E18" s="63" t="s">
        <v>346</v>
      </c>
      <c r="F18" s="63" t="s">
        <v>264</v>
      </c>
      <c r="G18" s="67" t="s">
        <v>347</v>
      </c>
      <c r="H18" s="92" t="s">
        <v>376</v>
      </c>
      <c r="U18">
        <v>32.719622548300592</v>
      </c>
      <c r="V18">
        <v>32.799458699072275</v>
      </c>
      <c r="W18">
        <v>30.895703993435454</v>
      </c>
      <c r="X18">
        <v>32.464157595067405</v>
      </c>
      <c r="Y18">
        <v>32.151170825207132</v>
      </c>
      <c r="Z18">
        <v>31.401544197149661</v>
      </c>
      <c r="AA18">
        <v>30.493234916729904</v>
      </c>
      <c r="AB18">
        <v>29.329126928001084</v>
      </c>
      <c r="AC18">
        <v>28.120945960789452</v>
      </c>
      <c r="AD18">
        <v>25.3795449422262</v>
      </c>
      <c r="AE18">
        <v>22.767751797084408</v>
      </c>
      <c r="AF18">
        <v>20.554498205504551</v>
      </c>
      <c r="AG18">
        <v>18.500564325862399</v>
      </c>
      <c r="AH18">
        <v>16.691364687139075</v>
      </c>
      <c r="AI18">
        <v>15.233107272477572</v>
      </c>
      <c r="AJ18">
        <v>13.837272127588674</v>
      </c>
      <c r="AK18">
        <v>12.502557475136197</v>
      </c>
      <c r="AL18">
        <v>11.171010843210103</v>
      </c>
      <c r="AM18">
        <v>9.8531201616499775</v>
      </c>
      <c r="AN18">
        <v>9.0069602765590613</v>
      </c>
      <c r="AO18">
        <v>8.1702799197616116</v>
      </c>
      <c r="AP18">
        <v>7.3395733407333337</v>
      </c>
      <c r="AQ18">
        <v>6.5140057517230057</v>
      </c>
      <c r="AR18">
        <v>5.6895271446334723</v>
      </c>
      <c r="AS18">
        <v>4.8664966435682651</v>
      </c>
      <c r="AT18">
        <v>4.0471375682652617</v>
      </c>
      <c r="AU18">
        <v>3.2313179133204781</v>
      </c>
      <c r="AV18">
        <v>2.4179384672031845</v>
      </c>
      <c r="AW18">
        <v>1.6103876465787832</v>
      </c>
    </row>
    <row r="19" spans="1:49" ht="14" x14ac:dyDescent="0.15">
      <c r="A19" s="63" t="s">
        <v>363</v>
      </c>
      <c r="B19" s="63" t="s">
        <v>52</v>
      </c>
      <c r="C19" s="63" t="e">
        <v>#N/A</v>
      </c>
      <c r="D19" t="s">
        <v>232</v>
      </c>
      <c r="E19" s="63" t="s">
        <v>346</v>
      </c>
      <c r="F19" s="63" t="s">
        <v>264</v>
      </c>
      <c r="G19" s="67" t="s">
        <v>347</v>
      </c>
      <c r="H19" s="92" t="s">
        <v>376</v>
      </c>
      <c r="U19">
        <v>41.093208195411691</v>
      </c>
      <c r="V19">
        <v>41.813075873606273</v>
      </c>
      <c r="W19">
        <v>39.978375735978801</v>
      </c>
      <c r="X19">
        <v>43.219753786618455</v>
      </c>
      <c r="Y19">
        <v>42.314571326905245</v>
      </c>
      <c r="Z19">
        <v>40.693178823369792</v>
      </c>
      <c r="AA19">
        <v>38.614279435249252</v>
      </c>
      <c r="AB19">
        <v>35.960405882207397</v>
      </c>
      <c r="AC19">
        <v>33.489235382608214</v>
      </c>
      <c r="AD19">
        <v>29.409707658799501</v>
      </c>
      <c r="AE19">
        <v>25.688932642965625</v>
      </c>
      <c r="AF19">
        <v>22.557411602039185</v>
      </c>
      <c r="AG19">
        <v>20.012689094960496</v>
      </c>
      <c r="AH19">
        <v>17.835980066777797</v>
      </c>
      <c r="AI19">
        <v>16.148894849486684</v>
      </c>
      <c r="AJ19">
        <v>14.583071508833861</v>
      </c>
      <c r="AK19">
        <v>13.088810796584651</v>
      </c>
      <c r="AL19">
        <v>11.52289959025445</v>
      </c>
      <c r="AM19">
        <v>10.111223203116145</v>
      </c>
      <c r="AN19">
        <v>9.2377304652800571</v>
      </c>
      <c r="AO19">
        <v>8.3737854014295827</v>
      </c>
      <c r="AP19">
        <v>7.5159709256629386</v>
      </c>
      <c r="AQ19">
        <v>6.6634672821163061</v>
      </c>
      <c r="AR19">
        <v>5.8120612872913462</v>
      </c>
      <c r="AS19">
        <v>4.9621878273558497</v>
      </c>
      <c r="AT19">
        <v>4.116154118475702</v>
      </c>
      <c r="AU19">
        <v>3.2738167100813693</v>
      </c>
      <c r="AV19">
        <v>2.4341124796920006</v>
      </c>
      <c r="AW19">
        <v>1.6002956529359043</v>
      </c>
    </row>
    <row r="20" spans="1:49" ht="14" x14ac:dyDescent="0.15">
      <c r="A20" s="63" t="s">
        <v>363</v>
      </c>
      <c r="B20" s="63" t="s">
        <v>52</v>
      </c>
      <c r="C20" s="63" t="e">
        <v>#N/A</v>
      </c>
      <c r="D20" t="s">
        <v>336</v>
      </c>
      <c r="E20" s="63" t="s">
        <v>346</v>
      </c>
      <c r="F20" s="63" t="s">
        <v>264</v>
      </c>
      <c r="G20" s="67" t="s">
        <v>347</v>
      </c>
      <c r="H20" s="92" t="s">
        <v>376</v>
      </c>
      <c r="U20">
        <v>34.240131594132762</v>
      </c>
      <c r="V20">
        <v>34.679143226535942</v>
      </c>
      <c r="W20">
        <v>33.272057306094162</v>
      </c>
      <c r="X20">
        <v>32.70048996098668</v>
      </c>
      <c r="Y20">
        <v>35.693287416264226</v>
      </c>
      <c r="Z20">
        <v>37.713064117150346</v>
      </c>
      <c r="AA20">
        <v>35.332286061234164</v>
      </c>
      <c r="AB20">
        <v>33.109636194533074</v>
      </c>
      <c r="AC20">
        <v>30.823056812926879</v>
      </c>
      <c r="AD20">
        <v>27.776586321480387</v>
      </c>
      <c r="AE20">
        <v>25.280267896459605</v>
      </c>
      <c r="AF20">
        <v>22.733308906143996</v>
      </c>
      <c r="AG20">
        <v>20.386090089452036</v>
      </c>
      <c r="AH20">
        <v>18.144128154433993</v>
      </c>
      <c r="AI20">
        <v>16.440510136028195</v>
      </c>
      <c r="AJ20">
        <v>14.903269778521739</v>
      </c>
      <c r="AK20">
        <v>13.476425062737817</v>
      </c>
      <c r="AL20">
        <v>12.046416180010205</v>
      </c>
      <c r="AM20">
        <v>10.609792797668984</v>
      </c>
      <c r="AN20">
        <v>9.7322577369043994</v>
      </c>
      <c r="AO20">
        <v>8.8547873753783115</v>
      </c>
      <c r="AP20">
        <v>7.9781547761260567</v>
      </c>
      <c r="AQ20">
        <v>7.101187841948092</v>
      </c>
      <c r="AR20">
        <v>6.2244007209730539</v>
      </c>
      <c r="AS20">
        <v>5.3481512267224014</v>
      </c>
      <c r="AT20">
        <v>4.4729711788710178</v>
      </c>
      <c r="AU20">
        <v>3.5982301810646695</v>
      </c>
      <c r="AV20">
        <v>2.7244515242532317</v>
      </c>
      <c r="AW20">
        <v>1.8522327466329538</v>
      </c>
    </row>
    <row r="21" spans="1:49" ht="14" x14ac:dyDescent="0.15">
      <c r="A21" s="63" t="s">
        <v>363</v>
      </c>
      <c r="B21" s="63" t="s">
        <v>52</v>
      </c>
      <c r="C21" s="63" t="e">
        <v>#N/A</v>
      </c>
      <c r="D21" t="s">
        <v>234</v>
      </c>
      <c r="E21" s="63" t="s">
        <v>346</v>
      </c>
      <c r="F21" s="63" t="s">
        <v>264</v>
      </c>
      <c r="G21" s="67" t="s">
        <v>347</v>
      </c>
      <c r="H21" s="92" t="s">
        <v>376</v>
      </c>
      <c r="U21">
        <v>35.952009441613491</v>
      </c>
      <c r="V21">
        <v>36.437405362357495</v>
      </c>
      <c r="W21">
        <v>34.433837952009398</v>
      </c>
      <c r="X21">
        <v>36.246522041724837</v>
      </c>
      <c r="Y21">
        <v>36.04785675913385</v>
      </c>
      <c r="Z21">
        <v>35.795153696030148</v>
      </c>
      <c r="AA21">
        <v>34.277145936987928</v>
      </c>
      <c r="AB21">
        <v>32.450122129211202</v>
      </c>
      <c r="AC21">
        <v>30.616479651037967</v>
      </c>
      <c r="AD21">
        <v>27.231612343510875</v>
      </c>
      <c r="AE21">
        <v>24.29533977123555</v>
      </c>
      <c r="AF21">
        <v>21.712618895112762</v>
      </c>
      <c r="AG21">
        <v>19.437001843227065</v>
      </c>
      <c r="AH21">
        <v>17.412145094424822</v>
      </c>
      <c r="AI21">
        <v>15.79438768463997</v>
      </c>
      <c r="AJ21">
        <v>14.317964503941077</v>
      </c>
      <c r="AK21">
        <v>12.916745404824182</v>
      </c>
      <c r="AL21">
        <v>11.49392874960953</v>
      </c>
      <c r="AM21">
        <v>10.120770194838411</v>
      </c>
      <c r="AN21">
        <v>9.2769832197665565</v>
      </c>
      <c r="AO21">
        <v>8.423794852235611</v>
      </c>
      <c r="AP21">
        <v>7.5737867505500613</v>
      </c>
      <c r="AQ21">
        <v>6.7268925417355208</v>
      </c>
      <c r="AR21">
        <v>5.879770205593271</v>
      </c>
      <c r="AS21">
        <v>5.045206943444259</v>
      </c>
      <c r="AT21">
        <v>4.2019523425861598</v>
      </c>
      <c r="AU21">
        <v>3.3607714828779232</v>
      </c>
      <c r="AV21">
        <v>2.5213262790560584</v>
      </c>
      <c r="AW21">
        <v>1.6862964099628364</v>
      </c>
    </row>
    <row r="22" spans="1:49" ht="14" x14ac:dyDescent="0.15">
      <c r="A22" s="63" t="s">
        <v>363</v>
      </c>
      <c r="B22" s="63" t="s">
        <v>52</v>
      </c>
      <c r="C22" s="63" t="e">
        <v>#N/A</v>
      </c>
      <c r="D22" t="s">
        <v>335</v>
      </c>
      <c r="E22" s="63" t="s">
        <v>346</v>
      </c>
      <c r="F22" s="63" t="s">
        <v>264</v>
      </c>
      <c r="G22" s="67" t="s">
        <v>347</v>
      </c>
      <c r="H22" s="92" t="s">
        <v>236</v>
      </c>
      <c r="U22">
        <v>18.583423181703317</v>
      </c>
      <c r="V22">
        <v>18.64550435834812</v>
      </c>
      <c r="W22">
        <v>17.721505116369411</v>
      </c>
      <c r="X22">
        <v>18.75496213852432</v>
      </c>
      <c r="Y22">
        <v>18.279705135501892</v>
      </c>
      <c r="Z22">
        <v>17.666790967125863</v>
      </c>
      <c r="AA22">
        <v>17.293098239986797</v>
      </c>
      <c r="AB22">
        <v>16.648255330762943</v>
      </c>
      <c r="AC22">
        <v>15.879802105546428</v>
      </c>
      <c r="AD22">
        <v>14.939435750972811</v>
      </c>
      <c r="AE22">
        <v>13.950561205956772</v>
      </c>
      <c r="AF22">
        <v>12.797128967735583</v>
      </c>
      <c r="AG22">
        <v>11.701061968334152</v>
      </c>
      <c r="AH22">
        <v>10.562615294210669</v>
      </c>
      <c r="AI22">
        <v>9.6413560475495874</v>
      </c>
      <c r="AJ22">
        <v>8.7578136936203759</v>
      </c>
      <c r="AK22">
        <v>7.9118117416499762</v>
      </c>
      <c r="AL22">
        <v>7.0675948061496312</v>
      </c>
      <c r="AM22">
        <v>6.2321864358127117</v>
      </c>
      <c r="AN22">
        <v>5.6969295186816016</v>
      </c>
      <c r="AO22">
        <v>5.167545069590914</v>
      </c>
      <c r="AP22">
        <v>4.6418368338461518</v>
      </c>
      <c r="AQ22">
        <v>4.1192779818646601</v>
      </c>
      <c r="AR22">
        <v>3.5973512853952507</v>
      </c>
      <c r="AS22">
        <v>3.0762873738418541</v>
      </c>
      <c r="AT22">
        <v>2.5574657739946409</v>
      </c>
      <c r="AU22">
        <v>2.040804341212195</v>
      </c>
      <c r="AV22">
        <v>1.5256320552138913</v>
      </c>
      <c r="AW22">
        <v>1.0140168019848332</v>
      </c>
    </row>
    <row r="23" spans="1:49" ht="14" x14ac:dyDescent="0.15">
      <c r="A23" s="63" t="s">
        <v>363</v>
      </c>
      <c r="B23" s="63" t="s">
        <v>52</v>
      </c>
      <c r="C23" s="63" t="e">
        <v>#N/A</v>
      </c>
      <c r="D23" t="s">
        <v>232</v>
      </c>
      <c r="E23" s="63" t="s">
        <v>346</v>
      </c>
      <c r="F23" s="63" t="s">
        <v>264</v>
      </c>
      <c r="G23" s="67" t="s">
        <v>347</v>
      </c>
      <c r="H23" s="92" t="s">
        <v>236</v>
      </c>
      <c r="U23">
        <v>22.993905393150889</v>
      </c>
      <c r="V23">
        <v>23.218818092819355</v>
      </c>
      <c r="W23">
        <v>22.333055244869964</v>
      </c>
      <c r="X23">
        <v>22.9411614845937</v>
      </c>
      <c r="Y23">
        <v>22.505829783628418</v>
      </c>
      <c r="Z23">
        <v>21.829591599820979</v>
      </c>
      <c r="AA23">
        <v>21.342105571009448</v>
      </c>
      <c r="AB23">
        <v>20.275992090559164</v>
      </c>
      <c r="AC23">
        <v>19.05717932000892</v>
      </c>
      <c r="AD23">
        <v>17.539507643321549</v>
      </c>
      <c r="AE23">
        <v>15.971055939332253</v>
      </c>
      <c r="AF23">
        <v>14.240091540366103</v>
      </c>
      <c r="AG23">
        <v>12.793833329952861</v>
      </c>
      <c r="AH23">
        <v>11.377124774828046</v>
      </c>
      <c r="AI23">
        <v>10.287654875530349</v>
      </c>
      <c r="AJ23">
        <v>9.2835838924829552</v>
      </c>
      <c r="AK23">
        <v>8.3322666115907271</v>
      </c>
      <c r="AL23">
        <v>7.3457862982452546</v>
      </c>
      <c r="AM23">
        <v>6.4480153926385926</v>
      </c>
      <c r="AN23">
        <v>5.8910265337866621</v>
      </c>
      <c r="AO23">
        <v>5.3403888605134409</v>
      </c>
      <c r="AP23">
        <v>4.7936989884644214</v>
      </c>
      <c r="AQ23">
        <v>4.2503634739061651</v>
      </c>
      <c r="AR23">
        <v>3.7076905477782685</v>
      </c>
      <c r="AS23">
        <v>3.1659541057782943</v>
      </c>
      <c r="AT23">
        <v>2.6266161394792067</v>
      </c>
      <c r="AU23">
        <v>2.0895858122805664</v>
      </c>
      <c r="AV23">
        <v>1.55419323026408</v>
      </c>
      <c r="AW23">
        <v>1.0224900492621145</v>
      </c>
    </row>
    <row r="24" spans="1:49" ht="14" x14ac:dyDescent="0.15">
      <c r="A24" s="63" t="s">
        <v>363</v>
      </c>
      <c r="B24" s="63" t="s">
        <v>52</v>
      </c>
      <c r="C24" s="63" t="e">
        <v>#N/A</v>
      </c>
      <c r="D24" t="s">
        <v>336</v>
      </c>
      <c r="E24" s="63" t="s">
        <v>346</v>
      </c>
      <c r="F24" s="63" t="s">
        <v>264</v>
      </c>
      <c r="G24" s="67" t="s">
        <v>347</v>
      </c>
      <c r="H24" s="92" t="s">
        <v>236</v>
      </c>
      <c r="U24">
        <v>20.880271734199241</v>
      </c>
      <c r="V24">
        <v>20.928894945254243</v>
      </c>
      <c r="W24">
        <v>20.071973689068809</v>
      </c>
      <c r="X24">
        <v>19.897229578906561</v>
      </c>
      <c r="Y24">
        <v>19.191934737832259</v>
      </c>
      <c r="Z24">
        <v>18.43952376480091</v>
      </c>
      <c r="AA24">
        <v>17.72597005884608</v>
      </c>
      <c r="AB24">
        <v>16.943958790358018</v>
      </c>
      <c r="AC24">
        <v>16.074039056032518</v>
      </c>
      <c r="AD24">
        <v>14.849565125161185</v>
      </c>
      <c r="AE24">
        <v>13.783762965105348</v>
      </c>
      <c r="AF24">
        <v>12.627736217903028</v>
      </c>
      <c r="AG24">
        <v>11.525639131155534</v>
      </c>
      <c r="AH24">
        <v>10.560751888317514</v>
      </c>
      <c r="AI24">
        <v>9.8312850245860819</v>
      </c>
      <c r="AJ24">
        <v>9.1465070358577645</v>
      </c>
      <c r="AK24">
        <v>8.4714530783390067</v>
      </c>
      <c r="AL24">
        <v>7.656572448928177</v>
      </c>
      <c r="AM24">
        <v>6.8170048077722587</v>
      </c>
      <c r="AN24">
        <v>6.2519452418836323</v>
      </c>
      <c r="AO24">
        <v>5.687261773951529</v>
      </c>
      <c r="AP24">
        <v>5.1232903850726412</v>
      </c>
      <c r="AQ24">
        <v>4.5591388553956103</v>
      </c>
      <c r="AR24">
        <v>3.9951625204338099</v>
      </c>
      <c r="AS24">
        <v>3.4316126118341228</v>
      </c>
      <c r="AT24">
        <v>2.8688536909763203</v>
      </c>
      <c r="AU24">
        <v>2.3064660736936586</v>
      </c>
      <c r="AV24">
        <v>1.7448142595717924</v>
      </c>
      <c r="AW24">
        <v>1.1842959741781378</v>
      </c>
    </row>
    <row r="25" spans="1:49" ht="14" x14ac:dyDescent="0.15">
      <c r="A25" s="63" t="s">
        <v>363</v>
      </c>
      <c r="B25" s="63" t="s">
        <v>52</v>
      </c>
      <c r="C25" s="63" t="e">
        <v>#N/A</v>
      </c>
      <c r="D25" t="s">
        <v>234</v>
      </c>
      <c r="E25" s="63" t="s">
        <v>346</v>
      </c>
      <c r="F25" s="63" t="s">
        <v>264</v>
      </c>
      <c r="G25" s="67" t="s">
        <v>347</v>
      </c>
      <c r="H25" s="92" t="s">
        <v>236</v>
      </c>
      <c r="U25">
        <v>19.587830858061793</v>
      </c>
      <c r="V25">
        <v>19.68073675732704</v>
      </c>
      <c r="W25">
        <v>18.900168124422329</v>
      </c>
      <c r="X25">
        <v>19.659102731981505</v>
      </c>
      <c r="Y25">
        <v>19.274107154794621</v>
      </c>
      <c r="Z25">
        <v>18.661429426269414</v>
      </c>
      <c r="AA25">
        <v>18.253920679284406</v>
      </c>
      <c r="AB25">
        <v>17.499389813342983</v>
      </c>
      <c r="AC25">
        <v>16.592074903157311</v>
      </c>
      <c r="AD25">
        <v>15.401229941900649</v>
      </c>
      <c r="AE25">
        <v>14.283884673160744</v>
      </c>
      <c r="AF25">
        <v>13.022441956546631</v>
      </c>
      <c r="AG25">
        <v>11.860661591102527</v>
      </c>
      <c r="AH25">
        <v>10.714534795590842</v>
      </c>
      <c r="AI25">
        <v>9.8107910740056301</v>
      </c>
      <c r="AJ25">
        <v>8.9549295930081687</v>
      </c>
      <c r="AK25">
        <v>8.1316080186584987</v>
      </c>
      <c r="AL25">
        <v>7.266955984235425</v>
      </c>
      <c r="AM25">
        <v>6.4183613418901979</v>
      </c>
      <c r="AN25">
        <v>5.8697781397355895</v>
      </c>
      <c r="AO25">
        <v>5.3274318601518473</v>
      </c>
      <c r="AP25">
        <v>4.7881804570908608</v>
      </c>
      <c r="AQ25">
        <v>4.2512859070170563</v>
      </c>
      <c r="AR25">
        <v>3.7150349400688061</v>
      </c>
      <c r="AS25">
        <v>3.1795567252363717</v>
      </c>
      <c r="AT25">
        <v>2.6460287290583171</v>
      </c>
      <c r="AU25">
        <v>2.1142588643588307</v>
      </c>
      <c r="AV25">
        <v>1.5840073038448896</v>
      </c>
      <c r="AW25">
        <v>1.0567577190844655</v>
      </c>
    </row>
    <row r="26" spans="1:49" x14ac:dyDescent="0.15">
      <c r="D26"/>
      <c r="G26" s="67"/>
    </row>
    <row r="27" spans="1:49" x14ac:dyDescent="0.15">
      <c r="A27" s="155" t="s">
        <v>427</v>
      </c>
      <c r="D27"/>
      <c r="G27" s="67"/>
    </row>
    <row r="28" spans="1:49" x14ac:dyDescent="0.15">
      <c r="D28"/>
      <c r="G28" s="67"/>
    </row>
    <row r="29" spans="1:49" ht="14" x14ac:dyDescent="0.15">
      <c r="A29" s="145" t="s">
        <v>363</v>
      </c>
      <c r="B29" s="146" t="s">
        <v>52</v>
      </c>
      <c r="C29" s="146" t="e">
        <v>#N/A</v>
      </c>
      <c r="D29" s="147" t="s">
        <v>335</v>
      </c>
      <c r="E29" s="146" t="s">
        <v>346</v>
      </c>
      <c r="F29" s="146" t="s">
        <v>264</v>
      </c>
      <c r="G29" s="148" t="s">
        <v>347</v>
      </c>
      <c r="H29" s="149" t="s">
        <v>340</v>
      </c>
      <c r="U29" s="147">
        <f t="shared" ref="U29:U52" si="0">+IF(U2&gt;MAX($V29:$Y29),U2,MAX($V29:$Y29))</f>
        <v>3.2728788807035332</v>
      </c>
      <c r="V29" s="147">
        <f t="shared" ref="V29:V52" si="1">+IF(V2&gt;MAX($W29:$Y29),V2,MAX($W29:$Y29))</f>
        <v>3.2592117569230785</v>
      </c>
      <c r="W29" s="147">
        <f t="shared" ref="W29:W52" si="2">+IF(W2&gt;MAX($X29:$Y29),W2,MAX($X29:$Y29))</f>
        <v>3.0837640681512997</v>
      </c>
      <c r="X29" s="147">
        <f t="shared" ref="X29:X52" si="3">+IF(X2&gt;$Y29,X2,$Y29)</f>
        <v>3.0647562945123275</v>
      </c>
      <c r="Y29" s="147">
        <f>+IF(Y2&gt;Z2,Y2,Z2)</f>
        <v>3.0053797493014476</v>
      </c>
      <c r="Z29" s="147">
        <f t="shared" ref="Z29:AW29" si="4">+IF(Z2&gt;AA2,Z2,AA2)</f>
        <v>2.9120594715512045</v>
      </c>
      <c r="AA29" s="147">
        <f t="shared" si="4"/>
        <v>2.8059745683606772</v>
      </c>
      <c r="AB29" s="147">
        <f t="shared" si="4"/>
        <v>2.6823314735866748</v>
      </c>
      <c r="AC29" s="147">
        <f t="shared" si="4"/>
        <v>2.5401447661684777</v>
      </c>
      <c r="AD29" s="147">
        <f t="shared" si="4"/>
        <v>2.3675048299030612</v>
      </c>
      <c r="AE29" s="147">
        <f t="shared" si="4"/>
        <v>2.1705609757389484</v>
      </c>
      <c r="AF29" s="147">
        <f t="shared" si="4"/>
        <v>1.9999260754969184</v>
      </c>
      <c r="AG29" s="147">
        <f t="shared" si="4"/>
        <v>1.8213773844287044</v>
      </c>
      <c r="AH29" s="147">
        <f t="shared" si="4"/>
        <v>1.662116207235641</v>
      </c>
      <c r="AI29" s="147">
        <f t="shared" si="4"/>
        <v>1.5341353777253872</v>
      </c>
      <c r="AJ29" s="147">
        <f t="shared" si="4"/>
        <v>1.3934124995856436</v>
      </c>
      <c r="AK29" s="147">
        <f t="shared" si="4"/>
        <v>1.2601265015543925</v>
      </c>
      <c r="AL29" s="147">
        <f t="shared" si="4"/>
        <v>1.1265321628787583</v>
      </c>
      <c r="AM29" s="147">
        <f t="shared" si="4"/>
        <v>0.99501664672417789</v>
      </c>
      <c r="AN29" s="147">
        <f t="shared" si="4"/>
        <v>0.90933865000925496</v>
      </c>
      <c r="AO29" s="147">
        <f t="shared" si="4"/>
        <v>0.82502587354256463</v>
      </c>
      <c r="AP29" s="147">
        <f t="shared" si="4"/>
        <v>0.74156117781731734</v>
      </c>
      <c r="AQ29" s="147">
        <f t="shared" si="4"/>
        <v>0.65881910136003186</v>
      </c>
      <c r="AR29" s="147">
        <f t="shared" si="4"/>
        <v>0.57619703353701501</v>
      </c>
      <c r="AS29" s="147">
        <f t="shared" si="4"/>
        <v>0.49375595809874129</v>
      </c>
      <c r="AT29" s="147">
        <f t="shared" si="4"/>
        <v>0.41182554316803971</v>
      </c>
      <c r="AU29" s="147">
        <f t="shared" si="4"/>
        <v>0.33038601349078567</v>
      </c>
      <c r="AV29" s="147">
        <f t="shared" si="4"/>
        <v>0.24928477620213224</v>
      </c>
      <c r="AW29" s="147">
        <f t="shared" si="4"/>
        <v>0.16899166313165032</v>
      </c>
    </row>
    <row r="30" spans="1:49" ht="14" x14ac:dyDescent="0.15">
      <c r="A30" s="150" t="s">
        <v>363</v>
      </c>
      <c r="B30" s="151" t="s">
        <v>52</v>
      </c>
      <c r="C30" s="151" t="e">
        <v>#N/A</v>
      </c>
      <c r="D30" s="152" t="s">
        <v>232</v>
      </c>
      <c r="E30" s="151" t="s">
        <v>346</v>
      </c>
      <c r="F30" s="151" t="s">
        <v>264</v>
      </c>
      <c r="G30" s="153" t="s">
        <v>347</v>
      </c>
      <c r="H30" s="149" t="s">
        <v>340</v>
      </c>
      <c r="U30" s="147">
        <f t="shared" si="0"/>
        <v>4.6198350885486841</v>
      </c>
      <c r="V30" s="147">
        <f t="shared" si="1"/>
        <v>4.4310333637067565</v>
      </c>
      <c r="W30" s="147">
        <f t="shared" si="2"/>
        <v>4.2601576452523187</v>
      </c>
      <c r="X30" s="147">
        <f t="shared" si="3"/>
        <v>4.1477646646529411</v>
      </c>
      <c r="Y30" s="147">
        <f t="shared" ref="Y30:AW40" si="5">+IF(Y3&gt;Z3,Y3,Z3)</f>
        <v>3.983165121249411</v>
      </c>
      <c r="Z30" s="147">
        <f t="shared" si="5"/>
        <v>3.7695228727174728</v>
      </c>
      <c r="AA30" s="147">
        <f t="shared" si="5"/>
        <v>3.5294090786410575</v>
      </c>
      <c r="AB30" s="147">
        <f t="shared" si="5"/>
        <v>3.2564449828099788</v>
      </c>
      <c r="AC30" s="147">
        <f t="shared" si="5"/>
        <v>3.0356214806243544</v>
      </c>
      <c r="AD30" s="147">
        <f t="shared" si="5"/>
        <v>2.7663328670583387</v>
      </c>
      <c r="AE30" s="147">
        <f t="shared" si="5"/>
        <v>2.4693620573453714</v>
      </c>
      <c r="AF30" s="147">
        <f t="shared" si="5"/>
        <v>2.2076137041018695</v>
      </c>
      <c r="AG30" s="147">
        <f t="shared" si="5"/>
        <v>1.9611360531270821</v>
      </c>
      <c r="AH30" s="147">
        <f t="shared" si="5"/>
        <v>1.7617393606948943</v>
      </c>
      <c r="AI30" s="147">
        <f t="shared" si="5"/>
        <v>1.614438836820973</v>
      </c>
      <c r="AJ30" s="147">
        <f t="shared" si="5"/>
        <v>1.4586439245596394</v>
      </c>
      <c r="AK30" s="147">
        <f t="shared" si="5"/>
        <v>1.3122686908614136</v>
      </c>
      <c r="AL30" s="147">
        <f t="shared" si="5"/>
        <v>1.1610378042299254</v>
      </c>
      <c r="AM30" s="147">
        <f t="shared" si="5"/>
        <v>1.0215928669903009</v>
      </c>
      <c r="AN30" s="147">
        <f t="shared" si="5"/>
        <v>0.93323889538082738</v>
      </c>
      <c r="AO30" s="147">
        <f t="shared" si="5"/>
        <v>0.84630909117352671</v>
      </c>
      <c r="AP30" s="147">
        <f t="shared" si="5"/>
        <v>0.76026080983416067</v>
      </c>
      <c r="AQ30" s="147">
        <f t="shared" si="5"/>
        <v>0.67496038731823904</v>
      </c>
      <c r="AR30" s="147">
        <f t="shared" si="5"/>
        <v>0.58978372081113417</v>
      </c>
      <c r="AS30" s="147">
        <f t="shared" si="5"/>
        <v>0.50479712168277646</v>
      </c>
      <c r="AT30" s="147">
        <f t="shared" si="5"/>
        <v>0.42034041240351172</v>
      </c>
      <c r="AU30" s="147">
        <f t="shared" si="5"/>
        <v>0.33639274742994107</v>
      </c>
      <c r="AV30" s="147">
        <f t="shared" si="5"/>
        <v>0.25280167259247838</v>
      </c>
      <c r="AW30" s="147">
        <f t="shared" si="5"/>
        <v>0.17003502121168787</v>
      </c>
    </row>
    <row r="31" spans="1:49" ht="14" x14ac:dyDescent="0.15">
      <c r="A31" s="145" t="s">
        <v>363</v>
      </c>
      <c r="B31" s="146" t="s">
        <v>52</v>
      </c>
      <c r="C31" s="146" t="e">
        <v>#N/A</v>
      </c>
      <c r="D31" s="147" t="s">
        <v>336</v>
      </c>
      <c r="E31" s="146" t="s">
        <v>346</v>
      </c>
      <c r="F31" s="146" t="s">
        <v>264</v>
      </c>
      <c r="G31" s="148" t="s">
        <v>347</v>
      </c>
      <c r="H31" s="149" t="s">
        <v>340</v>
      </c>
      <c r="U31" s="147">
        <f t="shared" si="0"/>
        <v>3.8338501497700697</v>
      </c>
      <c r="V31" s="147">
        <f t="shared" si="1"/>
        <v>3.8338501497700697</v>
      </c>
      <c r="W31" s="147">
        <f t="shared" si="2"/>
        <v>3.6858877011720241</v>
      </c>
      <c r="X31" s="147">
        <f t="shared" si="3"/>
        <v>3.6807354607434282</v>
      </c>
      <c r="Y31" s="147">
        <f t="shared" si="5"/>
        <v>3.6376679399389329</v>
      </c>
      <c r="Z31" s="147">
        <f t="shared" si="5"/>
        <v>3.5529277717075063</v>
      </c>
      <c r="AA31" s="147">
        <f t="shared" si="5"/>
        <v>3.4167070362628231</v>
      </c>
      <c r="AB31" s="147">
        <f t="shared" si="5"/>
        <v>3.2717358364537814</v>
      </c>
      <c r="AC31" s="147">
        <f t="shared" si="5"/>
        <v>3.091656986636528</v>
      </c>
      <c r="AD31" s="147">
        <f t="shared" si="5"/>
        <v>2.8522685850915046</v>
      </c>
      <c r="AE31" s="147">
        <f t="shared" si="5"/>
        <v>2.6178372888053643</v>
      </c>
      <c r="AF31" s="147">
        <f t="shared" si="5"/>
        <v>2.3815369103447952</v>
      </c>
      <c r="AG31" s="147">
        <f t="shared" si="5"/>
        <v>2.1448380180879729</v>
      </c>
      <c r="AH31" s="147">
        <f t="shared" si="5"/>
        <v>1.923327401782531</v>
      </c>
      <c r="AI31" s="147">
        <f t="shared" si="5"/>
        <v>1.7563509372926251</v>
      </c>
      <c r="AJ31" s="147">
        <f t="shared" si="5"/>
        <v>1.5914383127305485</v>
      </c>
      <c r="AK31" s="147">
        <f t="shared" si="5"/>
        <v>1.4374790216666775</v>
      </c>
      <c r="AL31" s="147">
        <f t="shared" si="5"/>
        <v>1.2851148054801667</v>
      </c>
      <c r="AM31" s="147">
        <f t="shared" si="5"/>
        <v>1.1336007707460194</v>
      </c>
      <c r="AN31" s="147">
        <f t="shared" si="5"/>
        <v>1.0402929477684197</v>
      </c>
      <c r="AO31" s="147">
        <f t="shared" si="5"/>
        <v>0.94704958784123661</v>
      </c>
      <c r="AP31" s="147">
        <f t="shared" si="5"/>
        <v>0.85402467913401425</v>
      </c>
      <c r="AQ31" s="147">
        <f t="shared" si="5"/>
        <v>0.76096112829309204</v>
      </c>
      <c r="AR31" s="147">
        <f t="shared" si="5"/>
        <v>0.66797894447463335</v>
      </c>
      <c r="AS31" s="147">
        <f t="shared" si="5"/>
        <v>0.57515809083705405</v>
      </c>
      <c r="AT31" s="147">
        <f t="shared" si="5"/>
        <v>0.48260344996531124</v>
      </c>
      <c r="AU31" s="147">
        <f t="shared" si="5"/>
        <v>0.39020425119655866</v>
      </c>
      <c r="AV31" s="147">
        <f t="shared" si="5"/>
        <v>0.29806856874028825</v>
      </c>
      <c r="AW31" s="147">
        <f t="shared" si="5"/>
        <v>0.2063014799599317</v>
      </c>
    </row>
    <row r="32" spans="1:49" ht="14" x14ac:dyDescent="0.15">
      <c r="A32" s="150" t="s">
        <v>363</v>
      </c>
      <c r="B32" s="151" t="s">
        <v>52</v>
      </c>
      <c r="C32" s="151" t="e">
        <v>#N/A</v>
      </c>
      <c r="D32" s="152" t="s">
        <v>234</v>
      </c>
      <c r="E32" s="151" t="s">
        <v>346</v>
      </c>
      <c r="F32" s="151" t="s">
        <v>264</v>
      </c>
      <c r="G32" s="153" t="s">
        <v>347</v>
      </c>
      <c r="H32" s="149" t="s">
        <v>340</v>
      </c>
      <c r="U32" s="147">
        <f t="shared" si="0"/>
        <v>4.2116038222662153</v>
      </c>
      <c r="V32" s="147">
        <f t="shared" si="1"/>
        <v>4.109623671328305</v>
      </c>
      <c r="W32" s="147">
        <f t="shared" si="2"/>
        <v>3.7730409511969993</v>
      </c>
      <c r="X32" s="147">
        <f t="shared" si="3"/>
        <v>3.7391617658942842</v>
      </c>
      <c r="Y32" s="147">
        <f t="shared" si="5"/>
        <v>3.7046573615641418</v>
      </c>
      <c r="Z32" s="147">
        <f t="shared" si="5"/>
        <v>3.5929235394957733</v>
      </c>
      <c r="AA32" s="147">
        <f t="shared" si="5"/>
        <v>3.4340663256875121</v>
      </c>
      <c r="AB32" s="147">
        <f t="shared" si="5"/>
        <v>3.2574197821459672</v>
      </c>
      <c r="AC32" s="147">
        <f t="shared" si="5"/>
        <v>3.0665006823135945</v>
      </c>
      <c r="AD32" s="147">
        <f t="shared" si="5"/>
        <v>2.8118104818887955</v>
      </c>
      <c r="AE32" s="147">
        <f t="shared" si="5"/>
        <v>2.5605241032575901</v>
      </c>
      <c r="AF32" s="147">
        <f t="shared" si="5"/>
        <v>2.3221087350574496</v>
      </c>
      <c r="AG32" s="147">
        <f t="shared" si="5"/>
        <v>2.0894580400931799</v>
      </c>
      <c r="AH32" s="147">
        <f t="shared" si="5"/>
        <v>1.878917237655126</v>
      </c>
      <c r="AI32" s="147">
        <f t="shared" si="5"/>
        <v>1.7218243634888488</v>
      </c>
      <c r="AJ32" s="147">
        <f t="shared" si="5"/>
        <v>1.559674784188585</v>
      </c>
      <c r="AK32" s="147">
        <f t="shared" si="5"/>
        <v>1.4073759256329934</v>
      </c>
      <c r="AL32" s="147">
        <f t="shared" si="5"/>
        <v>1.2552713092364343</v>
      </c>
      <c r="AM32" s="147">
        <f t="shared" si="5"/>
        <v>1.1066964434460873</v>
      </c>
      <c r="AN32" s="147">
        <f t="shared" si="5"/>
        <v>1.0124501361570737</v>
      </c>
      <c r="AO32" s="147">
        <f t="shared" si="5"/>
        <v>0.92192129934081346</v>
      </c>
      <c r="AP32" s="147">
        <f t="shared" si="5"/>
        <v>0.83193392206202443</v>
      </c>
      <c r="AQ32" s="147">
        <f t="shared" si="5"/>
        <v>0.74189247295847904</v>
      </c>
      <c r="AR32" s="147">
        <f t="shared" si="5"/>
        <v>0.65146496616389005</v>
      </c>
      <c r="AS32" s="147">
        <f t="shared" si="5"/>
        <v>0.56082154548143148</v>
      </c>
      <c r="AT32" s="147">
        <f t="shared" si="5"/>
        <v>0.46996730059880437</v>
      </c>
      <c r="AU32" s="147">
        <f t="shared" si="5"/>
        <v>0.37925921414842251</v>
      </c>
      <c r="AV32" s="147">
        <f t="shared" si="5"/>
        <v>0.28886213796286525</v>
      </c>
      <c r="AW32" s="147">
        <f t="shared" si="5"/>
        <v>0.1990326464173191</v>
      </c>
    </row>
    <row r="33" spans="1:49" ht="14" x14ac:dyDescent="0.15">
      <c r="A33" s="145" t="s">
        <v>363</v>
      </c>
      <c r="B33" s="146" t="s">
        <v>52</v>
      </c>
      <c r="C33" s="146" t="e">
        <v>#N/A</v>
      </c>
      <c r="D33" s="147" t="s">
        <v>335</v>
      </c>
      <c r="E33" s="146" t="s">
        <v>346</v>
      </c>
      <c r="F33" s="146" t="s">
        <v>264</v>
      </c>
      <c r="G33" s="148" t="s">
        <v>347</v>
      </c>
      <c r="H33" s="149" t="s">
        <v>377</v>
      </c>
      <c r="U33" s="147">
        <f t="shared" si="0"/>
        <v>100.45297990234675</v>
      </c>
      <c r="V33" s="147">
        <f t="shared" si="1"/>
        <v>100.45297990234675</v>
      </c>
      <c r="W33" s="147">
        <f t="shared" si="2"/>
        <v>95.578341829027679</v>
      </c>
      <c r="X33" s="147">
        <f t="shared" si="3"/>
        <v>94.96320565434786</v>
      </c>
      <c r="Y33" s="147">
        <f t="shared" si="5"/>
        <v>91.965210893002819</v>
      </c>
      <c r="Z33" s="147">
        <f t="shared" si="5"/>
        <v>88.35532316124025</v>
      </c>
      <c r="AA33" s="147">
        <f t="shared" si="5"/>
        <v>83.099346891990592</v>
      </c>
      <c r="AB33" s="147">
        <f t="shared" si="5"/>
        <v>77.458085428807763</v>
      </c>
      <c r="AC33" s="147">
        <f t="shared" si="5"/>
        <v>72.06866853448858</v>
      </c>
      <c r="AD33" s="147">
        <f t="shared" si="5"/>
        <v>66.784069722064515</v>
      </c>
      <c r="AE33" s="147">
        <f t="shared" si="5"/>
        <v>61.081239469877083</v>
      </c>
      <c r="AF33" s="147">
        <f t="shared" si="5"/>
        <v>56.202990970096415</v>
      </c>
      <c r="AG33" s="147">
        <f t="shared" si="5"/>
        <v>51.260138052061961</v>
      </c>
      <c r="AH33" s="147">
        <f t="shared" si="5"/>
        <v>46.936265268185679</v>
      </c>
      <c r="AI33" s="147">
        <f t="shared" si="5"/>
        <v>42.784569597489998</v>
      </c>
      <c r="AJ33" s="147">
        <f t="shared" si="5"/>
        <v>38.862114515093204</v>
      </c>
      <c r="AK33" s="147">
        <f t="shared" si="5"/>
        <v>35.076050758592608</v>
      </c>
      <c r="AL33" s="147">
        <f t="shared" si="5"/>
        <v>31.331534817487043</v>
      </c>
      <c r="AM33" s="147">
        <f t="shared" si="5"/>
        <v>27.586323182044342</v>
      </c>
      <c r="AN33" s="147">
        <f t="shared" si="5"/>
        <v>25.223724783922354</v>
      </c>
      <c r="AO33" s="147">
        <f t="shared" si="5"/>
        <v>22.87172969175338</v>
      </c>
      <c r="AP33" s="147">
        <f t="shared" si="5"/>
        <v>20.527721450550278</v>
      </c>
      <c r="AQ33" s="147">
        <f t="shared" si="5"/>
        <v>18.191299166860929</v>
      </c>
      <c r="AR33" s="147">
        <f t="shared" si="5"/>
        <v>15.859016113909389</v>
      </c>
      <c r="AS33" s="147">
        <f t="shared" si="5"/>
        <v>13.530620374497994</v>
      </c>
      <c r="AT33" s="147">
        <f t="shared" si="5"/>
        <v>11.208127982971215</v>
      </c>
      <c r="AU33" s="147">
        <f t="shared" si="5"/>
        <v>8.8914354172879317</v>
      </c>
      <c r="AV33" s="147">
        <f t="shared" si="5"/>
        <v>6.5787524064724714</v>
      </c>
      <c r="AW33" s="147">
        <f t="shared" si="5"/>
        <v>4.275639900125638</v>
      </c>
    </row>
    <row r="34" spans="1:49" ht="14" x14ac:dyDescent="0.15">
      <c r="A34" s="150" t="s">
        <v>363</v>
      </c>
      <c r="B34" s="151" t="s">
        <v>52</v>
      </c>
      <c r="C34" s="151" t="e">
        <v>#N/A</v>
      </c>
      <c r="D34" s="152" t="s">
        <v>232</v>
      </c>
      <c r="E34" s="151" t="s">
        <v>346</v>
      </c>
      <c r="F34" s="151" t="s">
        <v>264</v>
      </c>
      <c r="G34" s="153" t="s">
        <v>347</v>
      </c>
      <c r="H34" s="154" t="s">
        <v>377</v>
      </c>
      <c r="U34" s="147">
        <f t="shared" si="0"/>
        <v>147.7517613835868</v>
      </c>
      <c r="V34" s="147">
        <f t="shared" si="1"/>
        <v>142.35709079997969</v>
      </c>
      <c r="W34" s="147">
        <f t="shared" si="2"/>
        <v>142.35709079997969</v>
      </c>
      <c r="X34" s="147">
        <f t="shared" si="3"/>
        <v>142.35709079997969</v>
      </c>
      <c r="Y34" s="147">
        <f t="shared" si="5"/>
        <v>142.35709079997969</v>
      </c>
      <c r="Z34" s="147">
        <f t="shared" si="5"/>
        <v>140.34344913090143</v>
      </c>
      <c r="AA34" s="147">
        <f t="shared" si="5"/>
        <v>128.95506817431425</v>
      </c>
      <c r="AB34" s="147">
        <f t="shared" si="5"/>
        <v>115.5701027032447</v>
      </c>
      <c r="AC34" s="147">
        <f t="shared" si="5"/>
        <v>103.96180390509986</v>
      </c>
      <c r="AD34" s="147">
        <f t="shared" si="5"/>
        <v>92.71079170903424</v>
      </c>
      <c r="AE34" s="147">
        <f t="shared" si="5"/>
        <v>81.367422785466985</v>
      </c>
      <c r="AF34" s="147">
        <f t="shared" si="5"/>
        <v>71.545815787637864</v>
      </c>
      <c r="AG34" s="147">
        <f t="shared" si="5"/>
        <v>64.452350900263454</v>
      </c>
      <c r="AH34" s="147">
        <f t="shared" si="5"/>
        <v>57.874937824466407</v>
      </c>
      <c r="AI34" s="147">
        <f t="shared" si="5"/>
        <v>51.487415804795155</v>
      </c>
      <c r="AJ34" s="147">
        <f t="shared" si="5"/>
        <v>45.952055165720161</v>
      </c>
      <c r="AK34" s="147">
        <f t="shared" si="5"/>
        <v>40.748246376771682</v>
      </c>
      <c r="AL34" s="147">
        <f t="shared" si="5"/>
        <v>35.083887312478851</v>
      </c>
      <c r="AM34" s="147">
        <f t="shared" si="5"/>
        <v>30.517850424653091</v>
      </c>
      <c r="AN34" s="147">
        <f t="shared" si="5"/>
        <v>27.86007486343723</v>
      </c>
      <c r="AO34" s="147">
        <f t="shared" si="5"/>
        <v>25.219404856647657</v>
      </c>
      <c r="AP34" s="147">
        <f t="shared" si="5"/>
        <v>22.590410581480342</v>
      </c>
      <c r="AQ34" s="147">
        <f t="shared" si="5"/>
        <v>19.971786348386157</v>
      </c>
      <c r="AR34" s="147">
        <f t="shared" si="5"/>
        <v>17.357714705433992</v>
      </c>
      <c r="AS34" s="147">
        <f t="shared" si="5"/>
        <v>14.748531405960897</v>
      </c>
      <c r="AT34" s="147">
        <f t="shared" si="5"/>
        <v>12.147372573852945</v>
      </c>
      <c r="AU34" s="147">
        <f t="shared" si="5"/>
        <v>9.554016627309851</v>
      </c>
      <c r="AV34" s="147">
        <f t="shared" si="5"/>
        <v>6.9666885943311367</v>
      </c>
      <c r="AW34" s="147">
        <f t="shared" si="5"/>
        <v>4.3907289761792754</v>
      </c>
    </row>
    <row r="35" spans="1:49" ht="14" x14ac:dyDescent="0.15">
      <c r="A35" s="145" t="s">
        <v>363</v>
      </c>
      <c r="B35" s="146" t="s">
        <v>52</v>
      </c>
      <c r="C35" s="146" t="e">
        <v>#N/A</v>
      </c>
      <c r="D35" s="147" t="s">
        <v>336</v>
      </c>
      <c r="E35" s="146" t="s">
        <v>346</v>
      </c>
      <c r="F35" s="146" t="s">
        <v>264</v>
      </c>
      <c r="G35" s="148" t="s">
        <v>347</v>
      </c>
      <c r="H35" s="149" t="s">
        <v>377</v>
      </c>
      <c r="U35" s="147">
        <f t="shared" si="0"/>
        <v>127.9181261528843</v>
      </c>
      <c r="V35" s="147">
        <f t="shared" si="1"/>
        <v>127.9181261528843</v>
      </c>
      <c r="W35" s="147">
        <f t="shared" si="2"/>
        <v>127.9181261528843</v>
      </c>
      <c r="X35" s="147">
        <f t="shared" si="3"/>
        <v>127.9181261528843</v>
      </c>
      <c r="Y35" s="147">
        <f t="shared" si="5"/>
        <v>127.9181261528843</v>
      </c>
      <c r="Z35" s="147">
        <f t="shared" si="5"/>
        <v>127.9181261528843</v>
      </c>
      <c r="AA35" s="147">
        <f t="shared" si="5"/>
        <v>119.9009478914456</v>
      </c>
      <c r="AB35" s="147">
        <f t="shared" si="5"/>
        <v>111.96236089749473</v>
      </c>
      <c r="AC35" s="147">
        <f t="shared" si="5"/>
        <v>103.17216884356398</v>
      </c>
      <c r="AD35" s="147">
        <f t="shared" si="5"/>
        <v>90.862101584020309</v>
      </c>
      <c r="AE35" s="147">
        <f t="shared" si="5"/>
        <v>81.209392520085814</v>
      </c>
      <c r="AF35" s="147">
        <f t="shared" si="5"/>
        <v>70.804833748799098</v>
      </c>
      <c r="AG35" s="147">
        <f t="shared" si="5"/>
        <v>61.254465477332403</v>
      </c>
      <c r="AH35" s="147">
        <f t="shared" si="5"/>
        <v>52.50173094104013</v>
      </c>
      <c r="AI35" s="147">
        <f t="shared" si="5"/>
        <v>46.53626032863307</v>
      </c>
      <c r="AJ35" s="147">
        <f t="shared" si="5"/>
        <v>41.632341278607456</v>
      </c>
      <c r="AK35" s="147">
        <f t="shared" si="5"/>
        <v>37.261045152711176</v>
      </c>
      <c r="AL35" s="147">
        <f t="shared" si="5"/>
        <v>32.884465679231617</v>
      </c>
      <c r="AM35" s="147">
        <f t="shared" si="5"/>
        <v>28.482587546101932</v>
      </c>
      <c r="AN35" s="147">
        <f t="shared" si="5"/>
        <v>26.150221860307202</v>
      </c>
      <c r="AO35" s="147">
        <f t="shared" si="5"/>
        <v>23.816612082948133</v>
      </c>
      <c r="AP35" s="147">
        <f t="shared" si="5"/>
        <v>21.476283389159413</v>
      </c>
      <c r="AQ35" s="147">
        <f t="shared" si="5"/>
        <v>19.132594955323508</v>
      </c>
      <c r="AR35" s="147">
        <f t="shared" si="5"/>
        <v>16.782505829285704</v>
      </c>
      <c r="AS35" s="147">
        <f t="shared" si="5"/>
        <v>14.415935048147601</v>
      </c>
      <c r="AT35" s="147">
        <f t="shared" si="5"/>
        <v>12.0424360053272</v>
      </c>
      <c r="AU35" s="147">
        <f t="shared" si="5"/>
        <v>9.6624948722645172</v>
      </c>
      <c r="AV35" s="147">
        <f t="shared" si="5"/>
        <v>7.2744480587637614</v>
      </c>
      <c r="AW35" s="147">
        <f t="shared" si="5"/>
        <v>4.8778250925732003</v>
      </c>
    </row>
    <row r="36" spans="1:49" ht="14" x14ac:dyDescent="0.15">
      <c r="A36" s="150" t="s">
        <v>363</v>
      </c>
      <c r="B36" s="151" t="s">
        <v>52</v>
      </c>
      <c r="C36" s="151" t="e">
        <v>#N/A</v>
      </c>
      <c r="D36" s="152" t="s">
        <v>234</v>
      </c>
      <c r="E36" s="151" t="s">
        <v>346</v>
      </c>
      <c r="F36" s="151" t="s">
        <v>264</v>
      </c>
      <c r="G36" s="153" t="s">
        <v>347</v>
      </c>
      <c r="H36" s="154" t="s">
        <v>377</v>
      </c>
      <c r="U36" s="147">
        <f t="shared" si="0"/>
        <v>118.71739858272755</v>
      </c>
      <c r="V36" s="147">
        <f t="shared" si="1"/>
        <v>118.71739858272755</v>
      </c>
      <c r="W36" s="147">
        <f t="shared" si="2"/>
        <v>118.71739858272755</v>
      </c>
      <c r="X36" s="147">
        <f t="shared" si="3"/>
        <v>118.71739858272755</v>
      </c>
      <c r="Y36" s="147">
        <f t="shared" si="5"/>
        <v>117.21103202741912</v>
      </c>
      <c r="Z36" s="147">
        <f t="shared" si="5"/>
        <v>115.62305732322484</v>
      </c>
      <c r="AA36" s="147">
        <f t="shared" si="5"/>
        <v>107.77260125219092</v>
      </c>
      <c r="AB36" s="147">
        <f t="shared" si="5"/>
        <v>99.42230830062968</v>
      </c>
      <c r="AC36" s="147">
        <f t="shared" si="5"/>
        <v>91.229825418578287</v>
      </c>
      <c r="AD36" s="147">
        <f t="shared" si="5"/>
        <v>81.31193787831107</v>
      </c>
      <c r="AE36" s="147">
        <f t="shared" si="5"/>
        <v>72.822313411153729</v>
      </c>
      <c r="AF36" s="147">
        <f t="shared" si="5"/>
        <v>64.710310165419628</v>
      </c>
      <c r="AG36" s="147">
        <f t="shared" si="5"/>
        <v>57.482245590553802</v>
      </c>
      <c r="AH36" s="147">
        <f t="shared" si="5"/>
        <v>50.993562597385036</v>
      </c>
      <c r="AI36" s="147">
        <f t="shared" si="5"/>
        <v>45.583275683942354</v>
      </c>
      <c r="AJ36" s="147">
        <f t="shared" si="5"/>
        <v>41.039061716638273</v>
      </c>
      <c r="AK36" s="147">
        <f t="shared" si="5"/>
        <v>36.807452061907156</v>
      </c>
      <c r="AL36" s="147">
        <f t="shared" si="5"/>
        <v>32.514429193840137</v>
      </c>
      <c r="AM36" s="147">
        <f t="shared" si="5"/>
        <v>28.378637904030668</v>
      </c>
      <c r="AN36" s="147">
        <f t="shared" si="5"/>
        <v>26.08266693231154</v>
      </c>
      <c r="AO36" s="147">
        <f t="shared" si="5"/>
        <v>23.670758308775994</v>
      </c>
      <c r="AP36" s="147">
        <f t="shared" si="5"/>
        <v>21.267596513190174</v>
      </c>
      <c r="AQ36" s="147">
        <f t="shared" si="5"/>
        <v>18.874241166054297</v>
      </c>
      <c r="AR36" s="147">
        <f t="shared" si="5"/>
        <v>16.487685909307267</v>
      </c>
      <c r="AS36" s="147">
        <f t="shared" si="5"/>
        <v>14.12515390188778</v>
      </c>
      <c r="AT36" s="147">
        <f t="shared" si="5"/>
        <v>11.740071858637544</v>
      </c>
      <c r="AU36" s="147">
        <f t="shared" si="5"/>
        <v>9.3560192174390338</v>
      </c>
      <c r="AV36" s="147">
        <f t="shared" si="5"/>
        <v>6.968918530080189</v>
      </c>
      <c r="AW36" s="147">
        <f t="shared" si="5"/>
        <v>4.5811261306903885</v>
      </c>
    </row>
    <row r="37" spans="1:49" ht="14" x14ac:dyDescent="0.15">
      <c r="A37" s="145" t="s">
        <v>363</v>
      </c>
      <c r="B37" s="146" t="s">
        <v>52</v>
      </c>
      <c r="C37" s="146" t="e">
        <v>#N/A</v>
      </c>
      <c r="D37" s="147" t="s">
        <v>335</v>
      </c>
      <c r="E37" s="146" t="s">
        <v>346</v>
      </c>
      <c r="F37" s="146" t="s">
        <v>264</v>
      </c>
      <c r="G37" s="148" t="s">
        <v>347</v>
      </c>
      <c r="H37" s="149" t="s">
        <v>338</v>
      </c>
      <c r="U37" s="147">
        <f t="shared" si="0"/>
        <v>45.000196526653667</v>
      </c>
      <c r="V37" s="147">
        <f t="shared" si="1"/>
        <v>45.000196526653667</v>
      </c>
      <c r="W37" s="147">
        <f t="shared" si="2"/>
        <v>42.842581622003621</v>
      </c>
      <c r="X37" s="147">
        <f t="shared" si="3"/>
        <v>42.219475733544357</v>
      </c>
      <c r="Y37" s="147">
        <f t="shared" si="5"/>
        <v>41.210876119467748</v>
      </c>
      <c r="Z37" s="147">
        <f t="shared" si="5"/>
        <v>39.732934442756708</v>
      </c>
      <c r="AA37" s="147">
        <f t="shared" si="5"/>
        <v>38.103695618801964</v>
      </c>
      <c r="AB37" s="147">
        <f t="shared" si="5"/>
        <v>36.279960612210211</v>
      </c>
      <c r="AC37" s="147">
        <f t="shared" si="5"/>
        <v>34.470778208416853</v>
      </c>
      <c r="AD37" s="147">
        <f t="shared" si="5"/>
        <v>33.507684081410957</v>
      </c>
      <c r="AE37" s="147">
        <f t="shared" si="5"/>
        <v>32.248501168591702</v>
      </c>
      <c r="AF37" s="147">
        <f t="shared" si="5"/>
        <v>31.01220091828699</v>
      </c>
      <c r="AG37" s="147">
        <f t="shared" si="5"/>
        <v>29.641272924826652</v>
      </c>
      <c r="AH37" s="147">
        <f t="shared" si="5"/>
        <v>28.255709103652254</v>
      </c>
      <c r="AI37" s="147">
        <f t="shared" si="5"/>
        <v>25.792131106962028</v>
      </c>
      <c r="AJ37" s="147">
        <f t="shared" si="5"/>
        <v>23.429278683798266</v>
      </c>
      <c r="AK37" s="147">
        <f t="shared" si="5"/>
        <v>21.157607752820432</v>
      </c>
      <c r="AL37" s="147">
        <f t="shared" si="5"/>
        <v>18.895008069901571</v>
      </c>
      <c r="AM37" s="147">
        <f t="shared" si="5"/>
        <v>16.653910210098147</v>
      </c>
      <c r="AN37" s="147">
        <f t="shared" si="5"/>
        <v>15.226402982381478</v>
      </c>
      <c r="AO37" s="147">
        <f t="shared" si="5"/>
        <v>13.811723514222448</v>
      </c>
      <c r="AP37" s="147">
        <f t="shared" si="5"/>
        <v>12.404955664209112</v>
      </c>
      <c r="AQ37" s="147">
        <f t="shared" si="5"/>
        <v>11.004905149673789</v>
      </c>
      <c r="AR37" s="147">
        <f t="shared" si="5"/>
        <v>9.6061687578408872</v>
      </c>
      <c r="AS37" s="147">
        <f t="shared" si="5"/>
        <v>8.2092435480697858</v>
      </c>
      <c r="AT37" s="147">
        <f t="shared" si="5"/>
        <v>6.8170789292060725</v>
      </c>
      <c r="AU37" s="147">
        <f t="shared" si="5"/>
        <v>5.429498852395982</v>
      </c>
      <c r="AV37" s="147">
        <f t="shared" si="5"/>
        <v>4.0450790386211759</v>
      </c>
      <c r="AW37" s="147">
        <f t="shared" si="5"/>
        <v>2.6682080334660725</v>
      </c>
    </row>
    <row r="38" spans="1:49" ht="14" x14ac:dyDescent="0.15">
      <c r="A38" s="150" t="s">
        <v>363</v>
      </c>
      <c r="B38" s="151" t="s">
        <v>52</v>
      </c>
      <c r="C38" s="151" t="e">
        <v>#N/A</v>
      </c>
      <c r="D38" s="152" t="s">
        <v>232</v>
      </c>
      <c r="E38" s="151" t="s">
        <v>346</v>
      </c>
      <c r="F38" s="151" t="s">
        <v>264</v>
      </c>
      <c r="G38" s="153" t="s">
        <v>347</v>
      </c>
      <c r="H38" s="154" t="s">
        <v>338</v>
      </c>
      <c r="U38" s="147">
        <f t="shared" si="0"/>
        <v>52.468480173328146</v>
      </c>
      <c r="V38" s="147">
        <f t="shared" si="1"/>
        <v>51.834273247294412</v>
      </c>
      <c r="W38" s="147">
        <f t="shared" si="2"/>
        <v>49.886930841590711</v>
      </c>
      <c r="X38" s="147">
        <f t="shared" si="3"/>
        <v>49.600008778557786</v>
      </c>
      <c r="Y38" s="147">
        <f t="shared" si="5"/>
        <v>48.621451677039367</v>
      </c>
      <c r="Z38" s="147">
        <f t="shared" si="5"/>
        <v>46.997017282914449</v>
      </c>
      <c r="AA38" s="147">
        <f t="shared" si="5"/>
        <v>44.91912218701053</v>
      </c>
      <c r="AB38" s="147">
        <f t="shared" si="5"/>
        <v>42.297298551801205</v>
      </c>
      <c r="AC38" s="147">
        <f t="shared" si="5"/>
        <v>39.750255167297283</v>
      </c>
      <c r="AD38" s="147">
        <f t="shared" si="5"/>
        <v>37.980260507976524</v>
      </c>
      <c r="AE38" s="147">
        <f t="shared" si="5"/>
        <v>35.793315193497058</v>
      </c>
      <c r="AF38" s="147">
        <f t="shared" si="5"/>
        <v>33.638027762498844</v>
      </c>
      <c r="AG38" s="147">
        <f t="shared" si="5"/>
        <v>31.663946323897822</v>
      </c>
      <c r="AH38" s="147">
        <f t="shared" si="5"/>
        <v>29.884312116424898</v>
      </c>
      <c r="AI38" s="147">
        <f t="shared" si="5"/>
        <v>27.085995893612427</v>
      </c>
      <c r="AJ38" s="147">
        <f t="shared" si="5"/>
        <v>24.483085804889583</v>
      </c>
      <c r="AK38" s="147">
        <f t="shared" si="5"/>
        <v>22.001655366973093</v>
      </c>
      <c r="AL38" s="147">
        <f t="shared" si="5"/>
        <v>19.456208606155759</v>
      </c>
      <c r="AM38" s="147">
        <f t="shared" si="5"/>
        <v>17.090141208912151</v>
      </c>
      <c r="AN38" s="147">
        <f t="shared" si="5"/>
        <v>15.618848911253133</v>
      </c>
      <c r="AO38" s="147">
        <f t="shared" si="5"/>
        <v>14.161338249454486</v>
      </c>
      <c r="AP38" s="147">
        <f t="shared" si="5"/>
        <v>12.712280791411615</v>
      </c>
      <c r="AQ38" s="147">
        <f t="shared" si="5"/>
        <v>11.270349870016386</v>
      </c>
      <c r="AR38" s="147">
        <f t="shared" si="5"/>
        <v>9.8297940012451193</v>
      </c>
      <c r="AS38" s="147">
        <f t="shared" si="5"/>
        <v>8.3911961142119083</v>
      </c>
      <c r="AT38" s="147">
        <f t="shared" si="5"/>
        <v>6.9576703933771133</v>
      </c>
      <c r="AU38" s="147">
        <f t="shared" si="5"/>
        <v>5.5290234975426342</v>
      </c>
      <c r="AV38" s="147">
        <f t="shared" si="5"/>
        <v>4.1038325822458326</v>
      </c>
      <c r="AW38" s="147">
        <f t="shared" si="5"/>
        <v>2.6864565320363587</v>
      </c>
    </row>
    <row r="39" spans="1:49" ht="14" x14ac:dyDescent="0.15">
      <c r="A39" s="145" t="s">
        <v>363</v>
      </c>
      <c r="B39" s="146" t="s">
        <v>52</v>
      </c>
      <c r="C39" s="146" t="e">
        <v>#N/A</v>
      </c>
      <c r="D39" s="147" t="s">
        <v>336</v>
      </c>
      <c r="E39" s="146" t="s">
        <v>346</v>
      </c>
      <c r="F39" s="146" t="s">
        <v>264</v>
      </c>
      <c r="G39" s="148" t="s">
        <v>347</v>
      </c>
      <c r="H39" s="149" t="s">
        <v>338</v>
      </c>
      <c r="U39" s="147">
        <f t="shared" si="0"/>
        <v>50.556166012618981</v>
      </c>
      <c r="V39" s="147">
        <f t="shared" si="1"/>
        <v>50.556166012618981</v>
      </c>
      <c r="W39" s="147">
        <f t="shared" si="2"/>
        <v>48.485924798294157</v>
      </c>
      <c r="X39" s="147">
        <f t="shared" si="3"/>
        <v>46.246895614907402</v>
      </c>
      <c r="Y39" s="147">
        <f t="shared" si="5"/>
        <v>43.719958323337451</v>
      </c>
      <c r="Z39" s="147">
        <f t="shared" si="5"/>
        <v>41.102880199203817</v>
      </c>
      <c r="AA39" s="147">
        <f t="shared" si="5"/>
        <v>38.266039148619399</v>
      </c>
      <c r="AB39" s="147">
        <f t="shared" si="5"/>
        <v>35.561317294938647</v>
      </c>
      <c r="AC39" s="147">
        <f t="shared" si="5"/>
        <v>32.939610624822578</v>
      </c>
      <c r="AD39" s="147">
        <f t="shared" si="5"/>
        <v>31.170279186033095</v>
      </c>
      <c r="AE39" s="147">
        <f t="shared" si="5"/>
        <v>29.473772160971986</v>
      </c>
      <c r="AF39" s="147">
        <f t="shared" si="5"/>
        <v>27.60054941654279</v>
      </c>
      <c r="AG39" s="147">
        <f t="shared" si="5"/>
        <v>25.698691615869592</v>
      </c>
      <c r="AH39" s="147">
        <f t="shared" si="5"/>
        <v>24.687548843752467</v>
      </c>
      <c r="AI39" s="147">
        <f t="shared" si="5"/>
        <v>23.811149651235329</v>
      </c>
      <c r="AJ39" s="147">
        <f t="shared" si="5"/>
        <v>22.842655036994422</v>
      </c>
      <c r="AK39" s="147">
        <f t="shared" si="5"/>
        <v>21.111303255168938</v>
      </c>
      <c r="AL39" s="147">
        <f t="shared" si="5"/>
        <v>19.276681169066975</v>
      </c>
      <c r="AM39" s="147">
        <f t="shared" si="5"/>
        <v>17.342208966712004</v>
      </c>
      <c r="AN39" s="147">
        <f t="shared" si="5"/>
        <v>16.000931051201224</v>
      </c>
      <c r="AO39" s="147">
        <f t="shared" si="5"/>
        <v>14.643459547436931</v>
      </c>
      <c r="AP39" s="147">
        <f t="shared" si="5"/>
        <v>13.268249174315297</v>
      </c>
      <c r="AQ39" s="147">
        <f t="shared" si="5"/>
        <v>11.872891450297741</v>
      </c>
      <c r="AR39" s="147">
        <f t="shared" si="5"/>
        <v>10.458192915228926</v>
      </c>
      <c r="AS39" s="147">
        <f t="shared" si="5"/>
        <v>8.9692593869147874</v>
      </c>
      <c r="AT39" s="147">
        <f t="shared" si="5"/>
        <v>7.4821263632599928</v>
      </c>
      <c r="AU39" s="147">
        <f t="shared" si="5"/>
        <v>5.9958809959232831</v>
      </c>
      <c r="AV39" s="147">
        <f t="shared" si="5"/>
        <v>4.5113324934803263</v>
      </c>
      <c r="AW39" s="147">
        <f t="shared" si="5"/>
        <v>3.0293459231212592</v>
      </c>
    </row>
    <row r="40" spans="1:49" ht="14" x14ac:dyDescent="0.15">
      <c r="A40" s="150" t="s">
        <v>363</v>
      </c>
      <c r="B40" s="151" t="s">
        <v>52</v>
      </c>
      <c r="C40" s="151" t="e">
        <v>#N/A</v>
      </c>
      <c r="D40" s="152" t="s">
        <v>234</v>
      </c>
      <c r="E40" s="151" t="s">
        <v>346</v>
      </c>
      <c r="F40" s="151" t="s">
        <v>264</v>
      </c>
      <c r="G40" s="153" t="s">
        <v>347</v>
      </c>
      <c r="H40" s="154" t="s">
        <v>338</v>
      </c>
      <c r="U40" s="147">
        <f t="shared" si="0"/>
        <v>49.787161887125556</v>
      </c>
      <c r="V40" s="147">
        <f t="shared" si="1"/>
        <v>49.635790572686332</v>
      </c>
      <c r="W40" s="147">
        <f t="shared" si="2"/>
        <v>47.494755992368084</v>
      </c>
      <c r="X40" s="147">
        <f t="shared" si="3"/>
        <v>46.477785146486291</v>
      </c>
      <c r="Y40" s="147">
        <f t="shared" si="5"/>
        <v>45.072649395466165</v>
      </c>
      <c r="Z40" s="147">
        <f t="shared" si="5"/>
        <v>43.100372035832542</v>
      </c>
      <c r="AA40" s="147">
        <f t="shared" si="5"/>
        <v>40.839865595195882</v>
      </c>
      <c r="AB40" s="147">
        <f t="shared" si="5"/>
        <v>38.366349267553119</v>
      </c>
      <c r="AC40" s="147">
        <f t="shared" si="5"/>
        <v>35.957993283263932</v>
      </c>
      <c r="AD40" s="147">
        <f t="shared" ref="AD40:AW40" si="6">+IF(AD13&gt;AE13,AD13,AE13)</f>
        <v>34.09112767051883</v>
      </c>
      <c r="AE40" s="147">
        <f t="shared" si="6"/>
        <v>32.298361487498674</v>
      </c>
      <c r="AF40" s="147">
        <f t="shared" si="6"/>
        <v>30.454549581407527</v>
      </c>
      <c r="AG40" s="147">
        <f t="shared" si="6"/>
        <v>28.630099872806028</v>
      </c>
      <c r="AH40" s="147">
        <f t="shared" si="6"/>
        <v>27.260849647041255</v>
      </c>
      <c r="AI40" s="147">
        <f t="shared" si="6"/>
        <v>25.359079658457745</v>
      </c>
      <c r="AJ40" s="147">
        <f t="shared" si="6"/>
        <v>23.50944523039351</v>
      </c>
      <c r="AK40" s="147">
        <f t="shared" si="6"/>
        <v>21.400500886052281</v>
      </c>
      <c r="AL40" s="147">
        <f t="shared" si="6"/>
        <v>19.232853428123899</v>
      </c>
      <c r="AM40" s="147">
        <f t="shared" si="6"/>
        <v>17.085635308743289</v>
      </c>
      <c r="AN40" s="147">
        <f t="shared" si="6"/>
        <v>15.687944171317348</v>
      </c>
      <c r="AO40" s="147">
        <f t="shared" si="6"/>
        <v>14.285856678824954</v>
      </c>
      <c r="AP40" s="147">
        <f t="shared" si="6"/>
        <v>12.880263995763809</v>
      </c>
      <c r="AQ40" s="147">
        <f t="shared" si="6"/>
        <v>11.468449233226684</v>
      </c>
      <c r="AR40" s="147">
        <f t="shared" si="6"/>
        <v>10.048513708446679</v>
      </c>
      <c r="AS40" s="147">
        <f t="shared" si="6"/>
        <v>8.5977416164411284</v>
      </c>
      <c r="AT40" s="147">
        <f t="shared" si="6"/>
        <v>7.1517241587177081</v>
      </c>
      <c r="AU40" s="147">
        <f t="shared" si="6"/>
        <v>5.7090753967861989</v>
      </c>
      <c r="AV40" s="147">
        <f t="shared" si="6"/>
        <v>4.2692843440337223</v>
      </c>
      <c r="AW40" s="147">
        <f t="shared" si="6"/>
        <v>2.83462241028462</v>
      </c>
    </row>
    <row r="41" spans="1:49" ht="14" x14ac:dyDescent="0.15">
      <c r="A41" s="145" t="s">
        <v>363</v>
      </c>
      <c r="B41" s="146" t="s">
        <v>52</v>
      </c>
      <c r="C41" s="146" t="e">
        <v>#N/A</v>
      </c>
      <c r="D41" s="147" t="s">
        <v>335</v>
      </c>
      <c r="E41" s="146" t="s">
        <v>346</v>
      </c>
      <c r="F41" s="146" t="s">
        <v>264</v>
      </c>
      <c r="G41" s="148" t="s">
        <v>347</v>
      </c>
      <c r="H41" s="149" t="s">
        <v>339</v>
      </c>
      <c r="U41" s="147">
        <f t="shared" si="0"/>
        <v>62.804640365942745</v>
      </c>
      <c r="V41" s="147">
        <f t="shared" si="1"/>
        <v>62.804640365942745</v>
      </c>
      <c r="W41" s="147">
        <f t="shared" si="2"/>
        <v>59.500614343593405</v>
      </c>
      <c r="X41" s="147">
        <f t="shared" si="3"/>
        <v>57.540036211095938</v>
      </c>
      <c r="Y41" s="147">
        <f t="shared" ref="Y41:AW51" si="7">+IF(Y14&gt;Z14,Y14,Z14)</f>
        <v>55.129639845049894</v>
      </c>
      <c r="Z41" s="147">
        <f t="shared" si="7"/>
        <v>52.222581987324794</v>
      </c>
      <c r="AA41" s="147">
        <f t="shared" si="7"/>
        <v>49.23733271678941</v>
      </c>
      <c r="AB41" s="147">
        <f t="shared" si="7"/>
        <v>46.108732292295656</v>
      </c>
      <c r="AC41" s="147">
        <f t="shared" si="7"/>
        <v>43.114472940320965</v>
      </c>
      <c r="AD41" s="147">
        <f t="shared" si="7"/>
        <v>40.911421084565987</v>
      </c>
      <c r="AE41" s="147">
        <f t="shared" si="7"/>
        <v>38.481228058096576</v>
      </c>
      <c r="AF41" s="147">
        <f t="shared" si="7"/>
        <v>36.262125975788216</v>
      </c>
      <c r="AG41" s="147">
        <f t="shared" si="7"/>
        <v>34.003175323526598</v>
      </c>
      <c r="AH41" s="147">
        <f t="shared" si="7"/>
        <v>31.870760486390282</v>
      </c>
      <c r="AI41" s="147">
        <f t="shared" si="7"/>
        <v>29.081186770040524</v>
      </c>
      <c r="AJ41" s="147">
        <f t="shared" si="7"/>
        <v>26.407293498037308</v>
      </c>
      <c r="AK41" s="147">
        <f t="shared" si="7"/>
        <v>23.86493858795502</v>
      </c>
      <c r="AL41" s="147">
        <f t="shared" si="7"/>
        <v>21.321707230827609</v>
      </c>
      <c r="AM41" s="147">
        <f t="shared" si="7"/>
        <v>18.812890515779426</v>
      </c>
      <c r="AN41" s="147">
        <f t="shared" si="7"/>
        <v>17.192863288627219</v>
      </c>
      <c r="AO41" s="147">
        <f t="shared" si="7"/>
        <v>15.595590145893858</v>
      </c>
      <c r="AP41" s="147">
        <f t="shared" si="7"/>
        <v>14.012499313045378</v>
      </c>
      <c r="AQ41" s="147">
        <f t="shared" si="7"/>
        <v>12.441504961195854</v>
      </c>
      <c r="AR41" s="147">
        <f t="shared" si="7"/>
        <v>10.872673434684051</v>
      </c>
      <c r="AS41" s="147">
        <f t="shared" si="7"/>
        <v>9.3069770729229422</v>
      </c>
      <c r="AT41" s="147">
        <f t="shared" si="7"/>
        <v>7.749857697412244</v>
      </c>
      <c r="AU41" s="147">
        <f t="shared" si="7"/>
        <v>6.200989731594519</v>
      </c>
      <c r="AV41" s="147">
        <f t="shared" si="7"/>
        <v>4.6578088670857829</v>
      </c>
      <c r="AW41" s="147">
        <f t="shared" si="7"/>
        <v>3.1282131338264292</v>
      </c>
    </row>
    <row r="42" spans="1:49" ht="14" x14ac:dyDescent="0.15">
      <c r="A42" s="150" t="s">
        <v>363</v>
      </c>
      <c r="B42" s="151" t="s">
        <v>52</v>
      </c>
      <c r="C42" s="151" t="e">
        <v>#N/A</v>
      </c>
      <c r="D42" s="152" t="s">
        <v>232</v>
      </c>
      <c r="E42" s="151" t="s">
        <v>346</v>
      </c>
      <c r="F42" s="151" t="s">
        <v>264</v>
      </c>
      <c r="G42" s="153" t="s">
        <v>347</v>
      </c>
      <c r="H42" s="154" t="s">
        <v>339</v>
      </c>
      <c r="U42" s="147">
        <f t="shared" si="0"/>
        <v>74.908843588516874</v>
      </c>
      <c r="V42" s="147">
        <f t="shared" si="1"/>
        <v>74.908103177248137</v>
      </c>
      <c r="W42" s="147">
        <f t="shared" si="2"/>
        <v>72.072461006473759</v>
      </c>
      <c r="X42" s="147">
        <f t="shared" si="3"/>
        <v>70.034655430746142</v>
      </c>
      <c r="Y42" s="147">
        <f t="shared" si="7"/>
        <v>67.198242723598796</v>
      </c>
      <c r="Z42" s="147">
        <f t="shared" si="7"/>
        <v>63.615792835072497</v>
      </c>
      <c r="AA42" s="147">
        <f t="shared" si="7"/>
        <v>59.606582461448966</v>
      </c>
      <c r="AB42" s="147">
        <f t="shared" si="7"/>
        <v>55.090852923622073</v>
      </c>
      <c r="AC42" s="147">
        <f t="shared" si="7"/>
        <v>50.789094672968247</v>
      </c>
      <c r="AD42" s="147">
        <f t="shared" si="7"/>
        <v>47.466363190057557</v>
      </c>
      <c r="AE42" s="147">
        <f t="shared" si="7"/>
        <v>43.677245374296248</v>
      </c>
      <c r="AF42" s="147">
        <f t="shared" si="7"/>
        <v>40.076327334561583</v>
      </c>
      <c r="AG42" s="147">
        <f t="shared" si="7"/>
        <v>36.821449710335884</v>
      </c>
      <c r="AH42" s="147">
        <f t="shared" si="7"/>
        <v>34.091693094730985</v>
      </c>
      <c r="AI42" s="147">
        <f t="shared" si="7"/>
        <v>30.8411010389685</v>
      </c>
      <c r="AJ42" s="147">
        <f t="shared" si="7"/>
        <v>27.83797927033547</v>
      </c>
      <c r="AK42" s="147">
        <f t="shared" si="7"/>
        <v>25.008806667947962</v>
      </c>
      <c r="AL42" s="147">
        <f t="shared" si="7"/>
        <v>22.078601221985206</v>
      </c>
      <c r="AM42" s="147">
        <f t="shared" si="7"/>
        <v>19.398043566157753</v>
      </c>
      <c r="AN42" s="147">
        <f t="shared" si="7"/>
        <v>17.719097312928117</v>
      </c>
      <c r="AO42" s="147">
        <f t="shared" si="7"/>
        <v>16.064202736335702</v>
      </c>
      <c r="AP42" s="147">
        <f t="shared" si="7"/>
        <v>14.424220463631809</v>
      </c>
      <c r="AQ42" s="147">
        <f t="shared" si="7"/>
        <v>12.796897453447663</v>
      </c>
      <c r="AR42" s="147">
        <f t="shared" si="7"/>
        <v>11.17181977682168</v>
      </c>
      <c r="AS42" s="147">
        <f t="shared" si="7"/>
        <v>9.5500770745987715</v>
      </c>
      <c r="AT42" s="147">
        <f t="shared" si="7"/>
        <v>7.93733474271259</v>
      </c>
      <c r="AU42" s="147">
        <f t="shared" si="7"/>
        <v>6.3332436393969855</v>
      </c>
      <c r="AV42" s="147">
        <f t="shared" si="7"/>
        <v>4.7352425100057252</v>
      </c>
      <c r="AW42" s="147">
        <f t="shared" si="7"/>
        <v>3.1511853820931206</v>
      </c>
    </row>
    <row r="43" spans="1:49" ht="14" x14ac:dyDescent="0.15">
      <c r="A43" s="145" t="s">
        <v>363</v>
      </c>
      <c r="B43" s="146" t="s">
        <v>52</v>
      </c>
      <c r="C43" s="146" t="e">
        <v>#N/A</v>
      </c>
      <c r="D43" s="147" t="s">
        <v>336</v>
      </c>
      <c r="E43" s="146" t="s">
        <v>346</v>
      </c>
      <c r="F43" s="146" t="s">
        <v>264</v>
      </c>
      <c r="G43" s="148" t="s">
        <v>347</v>
      </c>
      <c r="H43" s="149" t="s">
        <v>339</v>
      </c>
      <c r="U43" s="147">
        <f t="shared" si="0"/>
        <v>71.725075485889349</v>
      </c>
      <c r="V43" s="147">
        <f t="shared" si="1"/>
        <v>71.725075485889349</v>
      </c>
      <c r="W43" s="147">
        <f t="shared" si="2"/>
        <v>68.751031623793011</v>
      </c>
      <c r="X43" s="147">
        <f t="shared" si="3"/>
        <v>65.439400378873188</v>
      </c>
      <c r="Y43" s="147">
        <f t="shared" si="7"/>
        <v>61.738586504384728</v>
      </c>
      <c r="Z43" s="147">
        <f t="shared" si="7"/>
        <v>57.909577295950712</v>
      </c>
      <c r="AA43" s="147">
        <f t="shared" si="7"/>
        <v>53.780835243211875</v>
      </c>
      <c r="AB43" s="147">
        <f t="shared" si="7"/>
        <v>49.867443853489306</v>
      </c>
      <c r="AC43" s="147">
        <f t="shared" si="7"/>
        <v>46.090829456648216</v>
      </c>
      <c r="AD43" s="147">
        <f t="shared" si="7"/>
        <v>42.684610799519461</v>
      </c>
      <c r="AE43" s="147">
        <f t="shared" si="7"/>
        <v>39.49472788401706</v>
      </c>
      <c r="AF43" s="147">
        <f t="shared" si="7"/>
        <v>36.250506476910012</v>
      </c>
      <c r="AG43" s="147">
        <f t="shared" si="7"/>
        <v>33.134480310627993</v>
      </c>
      <c r="AH43" s="147">
        <f t="shared" si="7"/>
        <v>30.115946751173293</v>
      </c>
      <c r="AI43" s="147">
        <f t="shared" si="7"/>
        <v>27.688013960208117</v>
      </c>
      <c r="AJ43" s="147">
        <f t="shared" si="7"/>
        <v>25.426460463697786</v>
      </c>
      <c r="AK43" s="147">
        <f t="shared" si="7"/>
        <v>23.48602286185697</v>
      </c>
      <c r="AL43" s="147">
        <f t="shared" si="7"/>
        <v>21.448300437402771</v>
      </c>
      <c r="AM43" s="147">
        <f t="shared" si="7"/>
        <v>19.299893626764643</v>
      </c>
      <c r="AN43" s="147">
        <f t="shared" si="7"/>
        <v>18.036385468004053</v>
      </c>
      <c r="AO43" s="147">
        <f t="shared" si="7"/>
        <v>16.721210923898653</v>
      </c>
      <c r="AP43" s="147">
        <f t="shared" si="7"/>
        <v>15.344797172444729</v>
      </c>
      <c r="AQ43" s="147">
        <f t="shared" si="7"/>
        <v>13.905372961947762</v>
      </c>
      <c r="AR43" s="147">
        <f t="shared" si="7"/>
        <v>12.4069467000669</v>
      </c>
      <c r="AS43" s="147">
        <f t="shared" si="7"/>
        <v>10.671240817470713</v>
      </c>
      <c r="AT43" s="147">
        <f t="shared" si="7"/>
        <v>8.9394771183180683</v>
      </c>
      <c r="AU43" s="147">
        <f t="shared" si="7"/>
        <v>7.2098885014360263</v>
      </c>
      <c r="AV43" s="147">
        <f t="shared" si="7"/>
        <v>5.4841361047766473</v>
      </c>
      <c r="AW43" s="147">
        <f t="shared" si="7"/>
        <v>3.7638956649348358</v>
      </c>
    </row>
    <row r="44" spans="1:49" ht="14" x14ac:dyDescent="0.15">
      <c r="A44" s="150" t="s">
        <v>363</v>
      </c>
      <c r="B44" s="151" t="s">
        <v>52</v>
      </c>
      <c r="C44" s="151" t="e">
        <v>#N/A</v>
      </c>
      <c r="D44" s="152" t="s">
        <v>234</v>
      </c>
      <c r="E44" s="151" t="s">
        <v>346</v>
      </c>
      <c r="F44" s="151" t="s">
        <v>264</v>
      </c>
      <c r="G44" s="153" t="s">
        <v>347</v>
      </c>
      <c r="H44" s="154" t="s">
        <v>339</v>
      </c>
      <c r="U44" s="147">
        <f t="shared" si="0"/>
        <v>69.807318539515819</v>
      </c>
      <c r="V44" s="147">
        <f t="shared" si="1"/>
        <v>69.807318539515819</v>
      </c>
      <c r="W44" s="147">
        <f t="shared" si="2"/>
        <v>67.379957891467541</v>
      </c>
      <c r="X44" s="147">
        <f t="shared" si="3"/>
        <v>65.008418755230991</v>
      </c>
      <c r="Y44" s="147">
        <f t="shared" si="7"/>
        <v>61.772925709745344</v>
      </c>
      <c r="Z44" s="147">
        <f t="shared" si="7"/>
        <v>58.358048765187412</v>
      </c>
      <c r="AA44" s="147">
        <f t="shared" si="7"/>
        <v>54.673797351605486</v>
      </c>
      <c r="AB44" s="147">
        <f t="shared" si="7"/>
        <v>50.823272737343629</v>
      </c>
      <c r="AC44" s="147">
        <f t="shared" si="7"/>
        <v>47.127854099353229</v>
      </c>
      <c r="AD44" s="147">
        <f t="shared" si="7"/>
        <v>44.26112243439146</v>
      </c>
      <c r="AE44" s="147">
        <f t="shared" si="7"/>
        <v>41.045755700772773</v>
      </c>
      <c r="AF44" s="147">
        <f t="shared" si="7"/>
        <v>37.914480472861811</v>
      </c>
      <c r="AG44" s="147">
        <f t="shared" si="7"/>
        <v>34.94462636091346</v>
      </c>
      <c r="AH44" s="147">
        <f t="shared" si="7"/>
        <v>32.259813763900915</v>
      </c>
      <c r="AI44" s="147">
        <f t="shared" si="7"/>
        <v>29.385911442348601</v>
      </c>
      <c r="AJ44" s="147">
        <f t="shared" si="7"/>
        <v>26.700075605260221</v>
      </c>
      <c r="AK44" s="147">
        <f t="shared" si="7"/>
        <v>24.226121109135104</v>
      </c>
      <c r="AL44" s="147">
        <f t="shared" si="7"/>
        <v>21.681093009405046</v>
      </c>
      <c r="AM44" s="147">
        <f t="shared" si="7"/>
        <v>19.217771231888161</v>
      </c>
      <c r="AN44" s="147">
        <f t="shared" si="7"/>
        <v>17.693659970751799</v>
      </c>
      <c r="AO44" s="147">
        <f t="shared" si="7"/>
        <v>16.175439881518695</v>
      </c>
      <c r="AP44" s="147">
        <f t="shared" si="7"/>
        <v>14.646779386464663</v>
      </c>
      <c r="AQ44" s="147">
        <f t="shared" si="7"/>
        <v>13.103973013580994</v>
      </c>
      <c r="AR44" s="147">
        <f t="shared" si="7"/>
        <v>11.540940805292109</v>
      </c>
      <c r="AS44" s="147">
        <f t="shared" si="7"/>
        <v>9.8938217193206874</v>
      </c>
      <c r="AT44" s="147">
        <f t="shared" si="7"/>
        <v>8.2537208740874455</v>
      </c>
      <c r="AU44" s="147">
        <f t="shared" si="7"/>
        <v>6.6195367608549445</v>
      </c>
      <c r="AV44" s="147">
        <f t="shared" si="7"/>
        <v>4.9902993878909259</v>
      </c>
      <c r="AW44" s="147">
        <f t="shared" si="7"/>
        <v>3.3713456736161413</v>
      </c>
    </row>
    <row r="45" spans="1:49" ht="14" x14ac:dyDescent="0.15">
      <c r="A45" s="145" t="s">
        <v>363</v>
      </c>
      <c r="B45" s="146" t="s">
        <v>52</v>
      </c>
      <c r="C45" s="146" t="e">
        <v>#N/A</v>
      </c>
      <c r="D45" s="147" t="s">
        <v>335</v>
      </c>
      <c r="E45" s="146" t="s">
        <v>346</v>
      </c>
      <c r="F45" s="146" t="s">
        <v>264</v>
      </c>
      <c r="G45" s="148" t="s">
        <v>347</v>
      </c>
      <c r="H45" s="149" t="s">
        <v>376</v>
      </c>
      <c r="U45" s="147">
        <f t="shared" si="0"/>
        <v>32.799458699072275</v>
      </c>
      <c r="V45" s="147">
        <f t="shared" si="1"/>
        <v>32.799458699072275</v>
      </c>
      <c r="W45" s="147">
        <f t="shared" si="2"/>
        <v>32.464157595067405</v>
      </c>
      <c r="X45" s="147">
        <f t="shared" si="3"/>
        <v>32.464157595067405</v>
      </c>
      <c r="Y45" s="147">
        <f t="shared" si="7"/>
        <v>32.151170825207132</v>
      </c>
      <c r="Z45" s="147">
        <f t="shared" si="7"/>
        <v>31.401544197149661</v>
      </c>
      <c r="AA45" s="147">
        <f t="shared" si="7"/>
        <v>30.493234916729904</v>
      </c>
      <c r="AB45" s="147">
        <f t="shared" si="7"/>
        <v>29.329126928001084</v>
      </c>
      <c r="AC45" s="147">
        <f t="shared" si="7"/>
        <v>28.120945960789452</v>
      </c>
      <c r="AD45" s="147">
        <f t="shared" si="7"/>
        <v>25.3795449422262</v>
      </c>
      <c r="AE45" s="147">
        <f t="shared" si="7"/>
        <v>22.767751797084408</v>
      </c>
      <c r="AF45" s="147">
        <f t="shared" si="7"/>
        <v>20.554498205504551</v>
      </c>
      <c r="AG45" s="147">
        <f t="shared" si="7"/>
        <v>18.500564325862399</v>
      </c>
      <c r="AH45" s="147">
        <f t="shared" si="7"/>
        <v>16.691364687139075</v>
      </c>
      <c r="AI45" s="147">
        <f t="shared" si="7"/>
        <v>15.233107272477572</v>
      </c>
      <c r="AJ45" s="147">
        <f t="shared" si="7"/>
        <v>13.837272127588674</v>
      </c>
      <c r="AK45" s="147">
        <f t="shared" si="7"/>
        <v>12.502557475136197</v>
      </c>
      <c r="AL45" s="147">
        <f t="shared" si="7"/>
        <v>11.171010843210103</v>
      </c>
      <c r="AM45" s="147">
        <f t="shared" si="7"/>
        <v>9.8531201616499775</v>
      </c>
      <c r="AN45" s="147">
        <f t="shared" si="7"/>
        <v>9.0069602765590613</v>
      </c>
      <c r="AO45" s="147">
        <f t="shared" si="7"/>
        <v>8.1702799197616116</v>
      </c>
      <c r="AP45" s="147">
        <f t="shared" si="7"/>
        <v>7.3395733407333337</v>
      </c>
      <c r="AQ45" s="147">
        <f t="shared" si="7"/>
        <v>6.5140057517230057</v>
      </c>
      <c r="AR45" s="147">
        <f t="shared" si="7"/>
        <v>5.6895271446334723</v>
      </c>
      <c r="AS45" s="147">
        <f t="shared" si="7"/>
        <v>4.8664966435682651</v>
      </c>
      <c r="AT45" s="147">
        <f t="shared" si="7"/>
        <v>4.0471375682652617</v>
      </c>
      <c r="AU45" s="147">
        <f t="shared" si="7"/>
        <v>3.2313179133204781</v>
      </c>
      <c r="AV45" s="147">
        <f t="shared" si="7"/>
        <v>2.4179384672031845</v>
      </c>
      <c r="AW45" s="147">
        <f t="shared" si="7"/>
        <v>1.6103876465787832</v>
      </c>
    </row>
    <row r="46" spans="1:49" ht="14" x14ac:dyDescent="0.15">
      <c r="A46" s="150" t="s">
        <v>363</v>
      </c>
      <c r="B46" s="151" t="s">
        <v>52</v>
      </c>
      <c r="C46" s="151" t="e">
        <v>#N/A</v>
      </c>
      <c r="D46" s="152" t="s">
        <v>232</v>
      </c>
      <c r="E46" s="151" t="s">
        <v>346</v>
      </c>
      <c r="F46" s="151" t="s">
        <v>264</v>
      </c>
      <c r="G46" s="153" t="s">
        <v>347</v>
      </c>
      <c r="H46" s="154" t="s">
        <v>376</v>
      </c>
      <c r="U46" s="147">
        <f t="shared" si="0"/>
        <v>43.219753786618455</v>
      </c>
      <c r="V46" s="147">
        <f t="shared" si="1"/>
        <v>43.219753786618455</v>
      </c>
      <c r="W46" s="147">
        <f t="shared" si="2"/>
        <v>43.219753786618455</v>
      </c>
      <c r="X46" s="147">
        <f t="shared" si="3"/>
        <v>43.219753786618455</v>
      </c>
      <c r="Y46" s="147">
        <f t="shared" si="7"/>
        <v>42.314571326905245</v>
      </c>
      <c r="Z46" s="147">
        <f t="shared" si="7"/>
        <v>40.693178823369792</v>
      </c>
      <c r="AA46" s="147">
        <f t="shared" si="7"/>
        <v>38.614279435249252</v>
      </c>
      <c r="AB46" s="147">
        <f t="shared" si="7"/>
        <v>35.960405882207397</v>
      </c>
      <c r="AC46" s="147">
        <f t="shared" si="7"/>
        <v>33.489235382608214</v>
      </c>
      <c r="AD46" s="147">
        <f t="shared" si="7"/>
        <v>29.409707658799501</v>
      </c>
      <c r="AE46" s="147">
        <f t="shared" si="7"/>
        <v>25.688932642965625</v>
      </c>
      <c r="AF46" s="147">
        <f t="shared" si="7"/>
        <v>22.557411602039185</v>
      </c>
      <c r="AG46" s="147">
        <f t="shared" si="7"/>
        <v>20.012689094960496</v>
      </c>
      <c r="AH46" s="147">
        <f t="shared" si="7"/>
        <v>17.835980066777797</v>
      </c>
      <c r="AI46" s="147">
        <f t="shared" si="7"/>
        <v>16.148894849486684</v>
      </c>
      <c r="AJ46" s="147">
        <f t="shared" si="7"/>
        <v>14.583071508833861</v>
      </c>
      <c r="AK46" s="147">
        <f t="shared" si="7"/>
        <v>13.088810796584651</v>
      </c>
      <c r="AL46" s="147">
        <f t="shared" si="7"/>
        <v>11.52289959025445</v>
      </c>
      <c r="AM46" s="147">
        <f t="shared" si="7"/>
        <v>10.111223203116145</v>
      </c>
      <c r="AN46" s="147">
        <f t="shared" si="7"/>
        <v>9.2377304652800571</v>
      </c>
      <c r="AO46" s="147">
        <f t="shared" si="7"/>
        <v>8.3737854014295827</v>
      </c>
      <c r="AP46" s="147">
        <f t="shared" si="7"/>
        <v>7.5159709256629386</v>
      </c>
      <c r="AQ46" s="147">
        <f t="shared" si="7"/>
        <v>6.6634672821163061</v>
      </c>
      <c r="AR46" s="147">
        <f t="shared" si="7"/>
        <v>5.8120612872913462</v>
      </c>
      <c r="AS46" s="147">
        <f t="shared" si="7"/>
        <v>4.9621878273558497</v>
      </c>
      <c r="AT46" s="147">
        <f t="shared" si="7"/>
        <v>4.116154118475702</v>
      </c>
      <c r="AU46" s="147">
        <f t="shared" si="7"/>
        <v>3.2738167100813693</v>
      </c>
      <c r="AV46" s="147">
        <f t="shared" si="7"/>
        <v>2.4341124796920006</v>
      </c>
      <c r="AW46" s="147">
        <f t="shared" si="7"/>
        <v>1.6002956529359043</v>
      </c>
    </row>
    <row r="47" spans="1:49" ht="14" x14ac:dyDescent="0.15">
      <c r="A47" s="145" t="s">
        <v>363</v>
      </c>
      <c r="B47" s="146" t="s">
        <v>52</v>
      </c>
      <c r="C47" s="146" t="e">
        <v>#N/A</v>
      </c>
      <c r="D47" s="147" t="s">
        <v>336</v>
      </c>
      <c r="E47" s="146" t="s">
        <v>346</v>
      </c>
      <c r="F47" s="146" t="s">
        <v>264</v>
      </c>
      <c r="G47" s="148" t="s">
        <v>347</v>
      </c>
      <c r="H47" s="149" t="s">
        <v>376</v>
      </c>
      <c r="U47" s="147">
        <f t="shared" si="0"/>
        <v>37.713064117150346</v>
      </c>
      <c r="V47" s="147">
        <f t="shared" si="1"/>
        <v>37.713064117150346</v>
      </c>
      <c r="W47" s="147">
        <f t="shared" si="2"/>
        <v>37.713064117150346</v>
      </c>
      <c r="X47" s="147">
        <f t="shared" si="3"/>
        <v>37.713064117150346</v>
      </c>
      <c r="Y47" s="147">
        <f t="shared" si="7"/>
        <v>37.713064117150346</v>
      </c>
      <c r="Z47" s="147">
        <f t="shared" si="7"/>
        <v>37.713064117150346</v>
      </c>
      <c r="AA47" s="147">
        <f t="shared" si="7"/>
        <v>35.332286061234164</v>
      </c>
      <c r="AB47" s="147">
        <f t="shared" si="7"/>
        <v>33.109636194533074</v>
      </c>
      <c r="AC47" s="147">
        <f t="shared" si="7"/>
        <v>30.823056812926879</v>
      </c>
      <c r="AD47" s="147">
        <f t="shared" si="7"/>
        <v>27.776586321480387</v>
      </c>
      <c r="AE47" s="147">
        <f t="shared" si="7"/>
        <v>25.280267896459605</v>
      </c>
      <c r="AF47" s="147">
        <f t="shared" si="7"/>
        <v>22.733308906143996</v>
      </c>
      <c r="AG47" s="147">
        <f t="shared" si="7"/>
        <v>20.386090089452036</v>
      </c>
      <c r="AH47" s="147">
        <f t="shared" si="7"/>
        <v>18.144128154433993</v>
      </c>
      <c r="AI47" s="147">
        <f t="shared" si="7"/>
        <v>16.440510136028195</v>
      </c>
      <c r="AJ47" s="147">
        <f t="shared" si="7"/>
        <v>14.903269778521739</v>
      </c>
      <c r="AK47" s="147">
        <f t="shared" si="7"/>
        <v>13.476425062737817</v>
      </c>
      <c r="AL47" s="147">
        <f t="shared" si="7"/>
        <v>12.046416180010205</v>
      </c>
      <c r="AM47" s="147">
        <f t="shared" si="7"/>
        <v>10.609792797668984</v>
      </c>
      <c r="AN47" s="147">
        <f t="shared" si="7"/>
        <v>9.7322577369043994</v>
      </c>
      <c r="AO47" s="147">
        <f t="shared" si="7"/>
        <v>8.8547873753783115</v>
      </c>
      <c r="AP47" s="147">
        <f t="shared" si="7"/>
        <v>7.9781547761260567</v>
      </c>
      <c r="AQ47" s="147">
        <f t="shared" si="7"/>
        <v>7.101187841948092</v>
      </c>
      <c r="AR47" s="147">
        <f t="shared" si="7"/>
        <v>6.2244007209730539</v>
      </c>
      <c r="AS47" s="147">
        <f t="shared" si="7"/>
        <v>5.3481512267224014</v>
      </c>
      <c r="AT47" s="147">
        <f t="shared" si="7"/>
        <v>4.4729711788710178</v>
      </c>
      <c r="AU47" s="147">
        <f t="shared" si="7"/>
        <v>3.5982301810646695</v>
      </c>
      <c r="AV47" s="147">
        <f t="shared" si="7"/>
        <v>2.7244515242532317</v>
      </c>
      <c r="AW47" s="147">
        <f t="shared" si="7"/>
        <v>1.8522327466329538</v>
      </c>
    </row>
    <row r="48" spans="1:49" ht="14" x14ac:dyDescent="0.15">
      <c r="A48" s="150" t="s">
        <v>363</v>
      </c>
      <c r="B48" s="151" t="s">
        <v>52</v>
      </c>
      <c r="C48" s="151" t="e">
        <v>#N/A</v>
      </c>
      <c r="D48" s="152" t="s">
        <v>234</v>
      </c>
      <c r="E48" s="151" t="s">
        <v>346</v>
      </c>
      <c r="F48" s="151" t="s">
        <v>264</v>
      </c>
      <c r="G48" s="153" t="s">
        <v>347</v>
      </c>
      <c r="H48" s="154" t="s">
        <v>376</v>
      </c>
      <c r="U48" s="147">
        <f t="shared" si="0"/>
        <v>36.437405362357495</v>
      </c>
      <c r="V48" s="147">
        <f t="shared" si="1"/>
        <v>36.437405362357495</v>
      </c>
      <c r="W48" s="147">
        <f t="shared" si="2"/>
        <v>36.246522041724837</v>
      </c>
      <c r="X48" s="147">
        <f t="shared" si="3"/>
        <v>36.246522041724837</v>
      </c>
      <c r="Y48" s="147">
        <f t="shared" si="7"/>
        <v>36.04785675913385</v>
      </c>
      <c r="Z48" s="147">
        <f t="shared" si="7"/>
        <v>35.795153696030148</v>
      </c>
      <c r="AA48" s="147">
        <f t="shared" si="7"/>
        <v>34.277145936987928</v>
      </c>
      <c r="AB48" s="147">
        <f t="shared" si="7"/>
        <v>32.450122129211202</v>
      </c>
      <c r="AC48" s="147">
        <f t="shared" si="7"/>
        <v>30.616479651037967</v>
      </c>
      <c r="AD48" s="147">
        <f t="shared" si="7"/>
        <v>27.231612343510875</v>
      </c>
      <c r="AE48" s="147">
        <f t="shared" si="7"/>
        <v>24.29533977123555</v>
      </c>
      <c r="AF48" s="147">
        <f t="shared" si="7"/>
        <v>21.712618895112762</v>
      </c>
      <c r="AG48" s="147">
        <f t="shared" si="7"/>
        <v>19.437001843227065</v>
      </c>
      <c r="AH48" s="147">
        <f t="shared" si="7"/>
        <v>17.412145094424822</v>
      </c>
      <c r="AI48" s="147">
        <f t="shared" si="7"/>
        <v>15.79438768463997</v>
      </c>
      <c r="AJ48" s="147">
        <f t="shared" si="7"/>
        <v>14.317964503941077</v>
      </c>
      <c r="AK48" s="147">
        <f t="shared" si="7"/>
        <v>12.916745404824182</v>
      </c>
      <c r="AL48" s="147">
        <f t="shared" si="7"/>
        <v>11.49392874960953</v>
      </c>
      <c r="AM48" s="147">
        <f t="shared" si="7"/>
        <v>10.120770194838411</v>
      </c>
      <c r="AN48" s="147">
        <f t="shared" si="7"/>
        <v>9.2769832197665565</v>
      </c>
      <c r="AO48" s="147">
        <f t="shared" si="7"/>
        <v>8.423794852235611</v>
      </c>
      <c r="AP48" s="147">
        <f t="shared" si="7"/>
        <v>7.5737867505500613</v>
      </c>
      <c r="AQ48" s="147">
        <f t="shared" si="7"/>
        <v>6.7268925417355208</v>
      </c>
      <c r="AR48" s="147">
        <f t="shared" si="7"/>
        <v>5.879770205593271</v>
      </c>
      <c r="AS48" s="147">
        <f t="shared" si="7"/>
        <v>5.045206943444259</v>
      </c>
      <c r="AT48" s="147">
        <f t="shared" si="7"/>
        <v>4.2019523425861598</v>
      </c>
      <c r="AU48" s="147">
        <f t="shared" si="7"/>
        <v>3.3607714828779232</v>
      </c>
      <c r="AV48" s="147">
        <f t="shared" si="7"/>
        <v>2.5213262790560584</v>
      </c>
      <c r="AW48" s="147">
        <f t="shared" si="7"/>
        <v>1.6862964099628364</v>
      </c>
    </row>
    <row r="49" spans="1:49" ht="14" x14ac:dyDescent="0.15">
      <c r="A49" s="145" t="s">
        <v>363</v>
      </c>
      <c r="B49" s="146" t="s">
        <v>52</v>
      </c>
      <c r="C49" s="146" t="e">
        <v>#N/A</v>
      </c>
      <c r="D49" s="147" t="s">
        <v>335</v>
      </c>
      <c r="E49" s="146" t="s">
        <v>346</v>
      </c>
      <c r="F49" s="146" t="s">
        <v>264</v>
      </c>
      <c r="G49" s="148" t="s">
        <v>347</v>
      </c>
      <c r="H49" s="149" t="s">
        <v>236</v>
      </c>
      <c r="U49" s="147">
        <f t="shared" si="0"/>
        <v>18.75496213852432</v>
      </c>
      <c r="V49" s="147">
        <f t="shared" si="1"/>
        <v>18.75496213852432</v>
      </c>
      <c r="W49" s="147">
        <f t="shared" si="2"/>
        <v>18.75496213852432</v>
      </c>
      <c r="X49" s="147">
        <f t="shared" si="3"/>
        <v>18.75496213852432</v>
      </c>
      <c r="Y49" s="147">
        <f t="shared" si="7"/>
        <v>18.279705135501892</v>
      </c>
      <c r="Z49" s="147">
        <f t="shared" si="7"/>
        <v>17.666790967125863</v>
      </c>
      <c r="AA49" s="147">
        <f t="shared" si="7"/>
        <v>17.293098239986797</v>
      </c>
      <c r="AB49" s="147">
        <f t="shared" si="7"/>
        <v>16.648255330762943</v>
      </c>
      <c r="AC49" s="147">
        <f t="shared" si="7"/>
        <v>15.879802105546428</v>
      </c>
      <c r="AD49" s="147">
        <f t="shared" si="7"/>
        <v>14.939435750972811</v>
      </c>
      <c r="AE49" s="147">
        <f t="shared" si="7"/>
        <v>13.950561205956772</v>
      </c>
      <c r="AF49" s="147">
        <f t="shared" si="7"/>
        <v>12.797128967735583</v>
      </c>
      <c r="AG49" s="147">
        <f t="shared" si="7"/>
        <v>11.701061968334152</v>
      </c>
      <c r="AH49" s="147">
        <f t="shared" si="7"/>
        <v>10.562615294210669</v>
      </c>
      <c r="AI49" s="147">
        <f t="shared" si="7"/>
        <v>9.6413560475495874</v>
      </c>
      <c r="AJ49" s="147">
        <f t="shared" si="7"/>
        <v>8.7578136936203759</v>
      </c>
      <c r="AK49" s="147">
        <f t="shared" si="7"/>
        <v>7.9118117416499762</v>
      </c>
      <c r="AL49" s="147">
        <f t="shared" si="7"/>
        <v>7.0675948061496312</v>
      </c>
      <c r="AM49" s="147">
        <f t="shared" si="7"/>
        <v>6.2321864358127117</v>
      </c>
      <c r="AN49" s="147">
        <f t="shared" si="7"/>
        <v>5.6969295186816016</v>
      </c>
      <c r="AO49" s="147">
        <f t="shared" si="7"/>
        <v>5.167545069590914</v>
      </c>
      <c r="AP49" s="147">
        <f t="shared" si="7"/>
        <v>4.6418368338461518</v>
      </c>
      <c r="AQ49" s="147">
        <f t="shared" si="7"/>
        <v>4.1192779818646601</v>
      </c>
      <c r="AR49" s="147">
        <f t="shared" si="7"/>
        <v>3.5973512853952507</v>
      </c>
      <c r="AS49" s="147">
        <f t="shared" si="7"/>
        <v>3.0762873738418541</v>
      </c>
      <c r="AT49" s="147">
        <f t="shared" si="7"/>
        <v>2.5574657739946409</v>
      </c>
      <c r="AU49" s="147">
        <f t="shared" si="7"/>
        <v>2.040804341212195</v>
      </c>
      <c r="AV49" s="147">
        <f t="shared" si="7"/>
        <v>1.5256320552138913</v>
      </c>
      <c r="AW49" s="147">
        <f t="shared" si="7"/>
        <v>1.0140168019848332</v>
      </c>
    </row>
    <row r="50" spans="1:49" ht="14" x14ac:dyDescent="0.15">
      <c r="A50" s="150" t="s">
        <v>363</v>
      </c>
      <c r="B50" s="151" t="s">
        <v>52</v>
      </c>
      <c r="C50" s="151" t="e">
        <v>#N/A</v>
      </c>
      <c r="D50" s="152" t="s">
        <v>232</v>
      </c>
      <c r="E50" s="151" t="s">
        <v>346</v>
      </c>
      <c r="F50" s="151" t="s">
        <v>264</v>
      </c>
      <c r="G50" s="153" t="s">
        <v>347</v>
      </c>
      <c r="H50" s="154" t="s">
        <v>236</v>
      </c>
      <c r="U50" s="147">
        <f t="shared" si="0"/>
        <v>23.218818092819355</v>
      </c>
      <c r="V50" s="147">
        <f t="shared" si="1"/>
        <v>23.218818092819355</v>
      </c>
      <c r="W50" s="147">
        <f t="shared" si="2"/>
        <v>22.9411614845937</v>
      </c>
      <c r="X50" s="147">
        <f t="shared" si="3"/>
        <v>22.9411614845937</v>
      </c>
      <c r="Y50" s="147">
        <f t="shared" si="7"/>
        <v>22.505829783628418</v>
      </c>
      <c r="Z50" s="147">
        <f t="shared" si="7"/>
        <v>21.829591599820979</v>
      </c>
      <c r="AA50" s="147">
        <f t="shared" si="7"/>
        <v>21.342105571009448</v>
      </c>
      <c r="AB50" s="147">
        <f t="shared" si="7"/>
        <v>20.275992090559164</v>
      </c>
      <c r="AC50" s="147">
        <f t="shared" si="7"/>
        <v>19.05717932000892</v>
      </c>
      <c r="AD50" s="147">
        <f t="shared" si="7"/>
        <v>17.539507643321549</v>
      </c>
      <c r="AE50" s="147">
        <f t="shared" si="7"/>
        <v>15.971055939332253</v>
      </c>
      <c r="AF50" s="147">
        <f t="shared" si="7"/>
        <v>14.240091540366103</v>
      </c>
      <c r="AG50" s="147">
        <f t="shared" si="7"/>
        <v>12.793833329952861</v>
      </c>
      <c r="AH50" s="147">
        <f t="shared" si="7"/>
        <v>11.377124774828046</v>
      </c>
      <c r="AI50" s="147">
        <f t="shared" si="7"/>
        <v>10.287654875530349</v>
      </c>
      <c r="AJ50" s="147">
        <f t="shared" si="7"/>
        <v>9.2835838924829552</v>
      </c>
      <c r="AK50" s="147">
        <f t="shared" si="7"/>
        <v>8.3322666115907271</v>
      </c>
      <c r="AL50" s="147">
        <f t="shared" si="7"/>
        <v>7.3457862982452546</v>
      </c>
      <c r="AM50" s="147">
        <f t="shared" si="7"/>
        <v>6.4480153926385926</v>
      </c>
      <c r="AN50" s="147">
        <f t="shared" si="7"/>
        <v>5.8910265337866621</v>
      </c>
      <c r="AO50" s="147">
        <f t="shared" si="7"/>
        <v>5.3403888605134409</v>
      </c>
      <c r="AP50" s="147">
        <f t="shared" si="7"/>
        <v>4.7936989884644214</v>
      </c>
      <c r="AQ50" s="147">
        <f t="shared" si="7"/>
        <v>4.2503634739061651</v>
      </c>
      <c r="AR50" s="147">
        <f t="shared" si="7"/>
        <v>3.7076905477782685</v>
      </c>
      <c r="AS50" s="147">
        <f t="shared" si="7"/>
        <v>3.1659541057782943</v>
      </c>
      <c r="AT50" s="147">
        <f t="shared" si="7"/>
        <v>2.6266161394792067</v>
      </c>
      <c r="AU50" s="147">
        <f t="shared" si="7"/>
        <v>2.0895858122805664</v>
      </c>
      <c r="AV50" s="147">
        <f t="shared" si="7"/>
        <v>1.55419323026408</v>
      </c>
      <c r="AW50" s="147">
        <f t="shared" si="7"/>
        <v>1.0224900492621145</v>
      </c>
    </row>
    <row r="51" spans="1:49" ht="14" x14ac:dyDescent="0.15">
      <c r="A51" s="145" t="s">
        <v>363</v>
      </c>
      <c r="B51" s="146" t="s">
        <v>52</v>
      </c>
      <c r="C51" s="146" t="e">
        <v>#N/A</v>
      </c>
      <c r="D51" s="147" t="s">
        <v>336</v>
      </c>
      <c r="E51" s="146" t="s">
        <v>346</v>
      </c>
      <c r="F51" s="146" t="s">
        <v>264</v>
      </c>
      <c r="G51" s="148" t="s">
        <v>347</v>
      </c>
      <c r="H51" s="154" t="s">
        <v>236</v>
      </c>
      <c r="U51" s="147">
        <f t="shared" si="0"/>
        <v>20.928894945254243</v>
      </c>
      <c r="V51" s="147">
        <f t="shared" si="1"/>
        <v>20.928894945254243</v>
      </c>
      <c r="W51" s="147">
        <f t="shared" si="2"/>
        <v>20.071973689068809</v>
      </c>
      <c r="X51" s="147">
        <f t="shared" si="3"/>
        <v>19.897229578906561</v>
      </c>
      <c r="Y51" s="147">
        <f t="shared" si="7"/>
        <v>19.191934737832259</v>
      </c>
      <c r="Z51" s="147">
        <f t="shared" si="7"/>
        <v>18.43952376480091</v>
      </c>
      <c r="AA51" s="147">
        <f t="shared" si="7"/>
        <v>17.72597005884608</v>
      </c>
      <c r="AB51" s="147">
        <f t="shared" si="7"/>
        <v>16.943958790358018</v>
      </c>
      <c r="AC51" s="147">
        <f t="shared" si="7"/>
        <v>16.074039056032518</v>
      </c>
      <c r="AD51" s="147">
        <f t="shared" ref="AD51:AW51" si="8">+IF(AD24&gt;AE24,AD24,AE24)</f>
        <v>14.849565125161185</v>
      </c>
      <c r="AE51" s="147">
        <f t="shared" si="8"/>
        <v>13.783762965105348</v>
      </c>
      <c r="AF51" s="147">
        <f t="shared" si="8"/>
        <v>12.627736217903028</v>
      </c>
      <c r="AG51" s="147">
        <f t="shared" si="8"/>
        <v>11.525639131155534</v>
      </c>
      <c r="AH51" s="147">
        <f t="shared" si="8"/>
        <v>10.560751888317514</v>
      </c>
      <c r="AI51" s="147">
        <f t="shared" si="8"/>
        <v>9.8312850245860819</v>
      </c>
      <c r="AJ51" s="147">
        <f t="shared" si="8"/>
        <v>9.1465070358577645</v>
      </c>
      <c r="AK51" s="147">
        <f t="shared" si="8"/>
        <v>8.4714530783390067</v>
      </c>
      <c r="AL51" s="147">
        <f t="shared" si="8"/>
        <v>7.656572448928177</v>
      </c>
      <c r="AM51" s="147">
        <f t="shared" si="8"/>
        <v>6.8170048077722587</v>
      </c>
      <c r="AN51" s="147">
        <f t="shared" si="8"/>
        <v>6.2519452418836323</v>
      </c>
      <c r="AO51" s="147">
        <f t="shared" si="8"/>
        <v>5.687261773951529</v>
      </c>
      <c r="AP51" s="147">
        <f t="shared" si="8"/>
        <v>5.1232903850726412</v>
      </c>
      <c r="AQ51" s="147">
        <f t="shared" si="8"/>
        <v>4.5591388553956103</v>
      </c>
      <c r="AR51" s="147">
        <f t="shared" si="8"/>
        <v>3.9951625204338099</v>
      </c>
      <c r="AS51" s="147">
        <f t="shared" si="8"/>
        <v>3.4316126118341228</v>
      </c>
      <c r="AT51" s="147">
        <f t="shared" si="8"/>
        <v>2.8688536909763203</v>
      </c>
      <c r="AU51" s="147">
        <f t="shared" si="8"/>
        <v>2.3064660736936586</v>
      </c>
      <c r="AV51" s="147">
        <f t="shared" si="8"/>
        <v>1.7448142595717924</v>
      </c>
      <c r="AW51" s="147">
        <f t="shared" si="8"/>
        <v>1.1842959741781378</v>
      </c>
    </row>
    <row r="52" spans="1:49" ht="14" x14ac:dyDescent="0.15">
      <c r="A52" s="150" t="s">
        <v>363</v>
      </c>
      <c r="B52" s="151" t="s">
        <v>52</v>
      </c>
      <c r="C52" s="151" t="e">
        <v>#N/A</v>
      </c>
      <c r="D52" s="152" t="s">
        <v>234</v>
      </c>
      <c r="E52" s="151" t="s">
        <v>346</v>
      </c>
      <c r="F52" s="151" t="s">
        <v>264</v>
      </c>
      <c r="G52" s="153" t="s">
        <v>347</v>
      </c>
      <c r="H52" s="154" t="s">
        <v>236</v>
      </c>
      <c r="U52" s="147">
        <f t="shared" si="0"/>
        <v>19.68073675732704</v>
      </c>
      <c r="V52" s="147">
        <f t="shared" si="1"/>
        <v>19.68073675732704</v>
      </c>
      <c r="W52" s="147">
        <f t="shared" si="2"/>
        <v>19.659102731981505</v>
      </c>
      <c r="X52" s="147">
        <f t="shared" si="3"/>
        <v>19.659102731981505</v>
      </c>
      <c r="Y52" s="147">
        <f t="shared" ref="Y52:AW52" si="9">+IF(Y25&gt;Z25,Y25,Z25)</f>
        <v>19.274107154794621</v>
      </c>
      <c r="Z52" s="147">
        <f t="shared" si="9"/>
        <v>18.661429426269414</v>
      </c>
      <c r="AA52" s="147">
        <f t="shared" si="9"/>
        <v>18.253920679284406</v>
      </c>
      <c r="AB52" s="147">
        <f t="shared" si="9"/>
        <v>17.499389813342983</v>
      </c>
      <c r="AC52" s="147">
        <f t="shared" si="9"/>
        <v>16.592074903157311</v>
      </c>
      <c r="AD52" s="147">
        <f t="shared" si="9"/>
        <v>15.401229941900649</v>
      </c>
      <c r="AE52" s="147">
        <f t="shared" si="9"/>
        <v>14.283884673160744</v>
      </c>
      <c r="AF52" s="147">
        <f t="shared" si="9"/>
        <v>13.022441956546631</v>
      </c>
      <c r="AG52" s="147">
        <f t="shared" si="9"/>
        <v>11.860661591102527</v>
      </c>
      <c r="AH52" s="147">
        <f t="shared" si="9"/>
        <v>10.714534795590842</v>
      </c>
      <c r="AI52" s="147">
        <f t="shared" si="9"/>
        <v>9.8107910740056301</v>
      </c>
      <c r="AJ52" s="147">
        <f t="shared" si="9"/>
        <v>8.9549295930081687</v>
      </c>
      <c r="AK52" s="147">
        <f t="shared" si="9"/>
        <v>8.1316080186584987</v>
      </c>
      <c r="AL52" s="147">
        <f t="shared" si="9"/>
        <v>7.266955984235425</v>
      </c>
      <c r="AM52" s="147">
        <f t="shared" si="9"/>
        <v>6.4183613418901979</v>
      </c>
      <c r="AN52" s="147">
        <f t="shared" si="9"/>
        <v>5.8697781397355895</v>
      </c>
      <c r="AO52" s="147">
        <f t="shared" si="9"/>
        <v>5.3274318601518473</v>
      </c>
      <c r="AP52" s="147">
        <f t="shared" si="9"/>
        <v>4.7881804570908608</v>
      </c>
      <c r="AQ52" s="147">
        <f t="shared" si="9"/>
        <v>4.2512859070170563</v>
      </c>
      <c r="AR52" s="147">
        <f t="shared" si="9"/>
        <v>3.7150349400688061</v>
      </c>
      <c r="AS52" s="147">
        <f t="shared" si="9"/>
        <v>3.1795567252363717</v>
      </c>
      <c r="AT52" s="147">
        <f t="shared" si="9"/>
        <v>2.6460287290583171</v>
      </c>
      <c r="AU52" s="147">
        <f t="shared" si="9"/>
        <v>2.1142588643588307</v>
      </c>
      <c r="AV52" s="147">
        <f t="shared" si="9"/>
        <v>1.5840073038448896</v>
      </c>
      <c r="AW52" s="147">
        <f t="shared" si="9"/>
        <v>1.0567577190844655</v>
      </c>
    </row>
  </sheetData>
  <conditionalFormatting sqref="U2:AC25">
    <cfRule type="expression" dxfId="33" priority="2">
      <formula>V2&gt;U2</formula>
    </cfRule>
  </conditionalFormatting>
  <conditionalFormatting sqref="U29:AW52">
    <cfRule type="expression" dxfId="32" priority="1">
      <formula>V29&gt;U29</formula>
    </cfRule>
  </conditionalFormatting>
  <pageMargins left="0.7" right="0.7" top="0.75" bottom="0.75" header="0.3" footer="0.3"/>
  <drawing r:id="rId1"/>
  <tableParts count="1">
    <tablePart r:id="rId2"/>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3">
    <tabColor theme="0" tint="-0.249977111117893"/>
  </sheetPr>
  <dimension ref="A1:O37"/>
  <sheetViews>
    <sheetView zoomScale="85" zoomScaleNormal="85" workbookViewId="0">
      <selection activeCell="F4" sqref="F4"/>
    </sheetView>
  </sheetViews>
  <sheetFormatPr baseColWidth="10" defaultColWidth="36.5" defaultRowHeight="13" x14ac:dyDescent="0.15"/>
  <cols>
    <col min="1" max="1" width="9.33203125" bestFit="1" customWidth="1"/>
    <col min="2" max="2" width="19.5" customWidth="1"/>
    <col min="3" max="3" width="27.33203125" bestFit="1" customWidth="1"/>
    <col min="4" max="4" width="31.83203125" bestFit="1" customWidth="1"/>
    <col min="5" max="5" width="10.5" bestFit="1" customWidth="1"/>
    <col min="6" max="6" width="39.6640625" customWidth="1"/>
    <col min="7" max="7" width="9.83203125" bestFit="1" customWidth="1"/>
    <col min="8" max="8" width="11.1640625" bestFit="1" customWidth="1"/>
    <col min="9" max="9" width="16.5" bestFit="1" customWidth="1"/>
    <col min="10" max="10" width="35.83203125" bestFit="1" customWidth="1"/>
    <col min="11" max="11" width="13.5" customWidth="1"/>
    <col min="12" max="12" width="28.5" customWidth="1"/>
    <col min="13" max="13" width="11.5" bestFit="1" customWidth="1"/>
  </cols>
  <sheetData>
    <row r="1" spans="1:15" x14ac:dyDescent="0.15">
      <c r="A1" s="1" t="s">
        <v>2</v>
      </c>
      <c r="B1" s="1" t="s">
        <v>238</v>
      </c>
      <c r="C1" s="1" t="s">
        <v>289</v>
      </c>
      <c r="D1" s="1" t="s">
        <v>15</v>
      </c>
      <c r="E1" s="1" t="s">
        <v>268</v>
      </c>
      <c r="F1" s="1" t="s">
        <v>5</v>
      </c>
      <c r="G1" s="1" t="s">
        <v>0</v>
      </c>
      <c r="H1" s="1" t="s">
        <v>1</v>
      </c>
      <c r="I1" s="1" t="s">
        <v>271</v>
      </c>
      <c r="J1" s="1"/>
      <c r="L1" s="1"/>
      <c r="M1" s="1"/>
      <c r="N1" s="1"/>
    </row>
    <row r="2" spans="1:15" x14ac:dyDescent="0.15">
      <c r="A2" t="s">
        <v>52</v>
      </c>
      <c r="B2" t="s">
        <v>376</v>
      </c>
      <c r="C2" t="s">
        <v>301</v>
      </c>
      <c r="D2" t="s">
        <v>270</v>
      </c>
      <c r="E2" t="s">
        <v>264</v>
      </c>
      <c r="F2" t="s">
        <v>335</v>
      </c>
      <c r="G2">
        <v>2020</v>
      </c>
      <c r="H2">
        <v>2028</v>
      </c>
      <c r="I2">
        <f>Automakers!$D$24</f>
        <v>2022</v>
      </c>
    </row>
    <row r="3" spans="1:15" x14ac:dyDescent="0.15">
      <c r="B3" t="s">
        <v>236</v>
      </c>
      <c r="C3" t="s">
        <v>302</v>
      </c>
      <c r="D3" t="s">
        <v>269</v>
      </c>
      <c r="E3" t="s">
        <v>29</v>
      </c>
      <c r="F3" t="s">
        <v>443</v>
      </c>
      <c r="G3">
        <v>2021</v>
      </c>
      <c r="H3">
        <f>IF(H2&gt;=2060,"",H2+1)</f>
        <v>2029</v>
      </c>
      <c r="I3">
        <f>IF(ISNUMBER(I2),IF(I2+1&lt;=2028,I2+1,""),"")</f>
        <v>2023</v>
      </c>
    </row>
    <row r="4" spans="1:15" ht="14" x14ac:dyDescent="0.15">
      <c r="A4" s="64"/>
      <c r="B4" t="s">
        <v>340</v>
      </c>
      <c r="C4" t="s">
        <v>303</v>
      </c>
      <c r="E4" t="s">
        <v>397</v>
      </c>
      <c r="F4" s="67" t="s">
        <v>336</v>
      </c>
      <c r="G4">
        <v>2022</v>
      </c>
      <c r="H4">
        <f t="shared" ref="H4:H24" si="0">IF(H3&gt;=2060,"",H3+1)</f>
        <v>2030</v>
      </c>
      <c r="I4">
        <f t="shared" ref="I4:I10" si="1">IF(ISNUMBER(I3),IF(I3+1&lt;=2028,I3+1,""),"")</f>
        <v>2024</v>
      </c>
    </row>
    <row r="5" spans="1:15" x14ac:dyDescent="0.15">
      <c r="B5" t="s">
        <v>377</v>
      </c>
      <c r="F5" t="s">
        <v>234</v>
      </c>
      <c r="G5">
        <v>2023</v>
      </c>
      <c r="H5">
        <f t="shared" si="0"/>
        <v>2031</v>
      </c>
      <c r="I5">
        <f t="shared" si="1"/>
        <v>2025</v>
      </c>
    </row>
    <row r="6" spans="1:15" x14ac:dyDescent="0.15">
      <c r="B6" t="s">
        <v>338</v>
      </c>
      <c r="G6">
        <v>2024</v>
      </c>
      <c r="H6">
        <f t="shared" si="0"/>
        <v>2032</v>
      </c>
      <c r="I6">
        <f t="shared" si="1"/>
        <v>2026</v>
      </c>
      <c r="O6" s="2" t="e">
        <f>IF(HLOOKUP(Automakers!$D$27,#REF!,ROW(#REF!),)&lt;0,"CAGR not calculated for negative target year emission","")</f>
        <v>#REF!</v>
      </c>
    </row>
    <row r="7" spans="1:15" x14ac:dyDescent="0.15">
      <c r="B7" t="s">
        <v>339</v>
      </c>
      <c r="G7">
        <v>2025</v>
      </c>
      <c r="H7">
        <f t="shared" si="0"/>
        <v>2033</v>
      </c>
      <c r="I7">
        <f t="shared" si="1"/>
        <v>2027</v>
      </c>
      <c r="O7" t="e">
        <f>IF(HLOOKUP(Automakers!$D$27,#REF!,ROW(#REF!),)&lt;0,"CAGR not calculated for negative target year emission","")</f>
        <v>#REF!</v>
      </c>
    </row>
    <row r="8" spans="1:15" x14ac:dyDescent="0.15">
      <c r="B8" s="4"/>
      <c r="G8">
        <v>2026</v>
      </c>
      <c r="H8">
        <f t="shared" si="0"/>
        <v>2034</v>
      </c>
      <c r="I8">
        <f t="shared" si="1"/>
        <v>2028</v>
      </c>
    </row>
    <row r="9" spans="1:15" x14ac:dyDescent="0.15">
      <c r="G9">
        <v>2027</v>
      </c>
      <c r="H9">
        <f t="shared" si="0"/>
        <v>2035</v>
      </c>
      <c r="I9" t="str">
        <f t="shared" si="1"/>
        <v/>
      </c>
    </row>
    <row r="10" spans="1:15" x14ac:dyDescent="0.15">
      <c r="G10">
        <v>2028</v>
      </c>
      <c r="H10">
        <f t="shared" si="0"/>
        <v>2036</v>
      </c>
      <c r="I10" t="str">
        <f t="shared" si="1"/>
        <v/>
      </c>
    </row>
    <row r="11" spans="1:15" x14ac:dyDescent="0.15">
      <c r="G11">
        <v>2029</v>
      </c>
      <c r="H11">
        <f t="shared" si="0"/>
        <v>2037</v>
      </c>
      <c r="I11" s="2"/>
    </row>
    <row r="12" spans="1:15" x14ac:dyDescent="0.15">
      <c r="G12">
        <v>2030</v>
      </c>
      <c r="H12">
        <f t="shared" si="0"/>
        <v>2038</v>
      </c>
      <c r="I12" s="2"/>
    </row>
    <row r="13" spans="1:15" x14ac:dyDescent="0.15">
      <c r="H13">
        <f t="shared" si="0"/>
        <v>2039</v>
      </c>
      <c r="I13" s="2"/>
    </row>
    <row r="14" spans="1:15" x14ac:dyDescent="0.15">
      <c r="H14">
        <f t="shared" si="0"/>
        <v>2040</v>
      </c>
      <c r="I14" s="2"/>
    </row>
    <row r="15" spans="1:15" x14ac:dyDescent="0.15">
      <c r="H15">
        <f t="shared" si="0"/>
        <v>2041</v>
      </c>
      <c r="I15" s="2"/>
    </row>
    <row r="16" spans="1:15" x14ac:dyDescent="0.15">
      <c r="H16">
        <f t="shared" si="0"/>
        <v>2042</v>
      </c>
    </row>
    <row r="17" spans="8:10" x14ac:dyDescent="0.15">
      <c r="H17">
        <f t="shared" si="0"/>
        <v>2043</v>
      </c>
    </row>
    <row r="18" spans="8:10" x14ac:dyDescent="0.15">
      <c r="H18">
        <f t="shared" si="0"/>
        <v>2044</v>
      </c>
    </row>
    <row r="19" spans="8:10" x14ac:dyDescent="0.15">
      <c r="H19">
        <f t="shared" si="0"/>
        <v>2045</v>
      </c>
    </row>
    <row r="20" spans="8:10" x14ac:dyDescent="0.15">
      <c r="H20">
        <f t="shared" si="0"/>
        <v>2046</v>
      </c>
    </row>
    <row r="21" spans="8:10" x14ac:dyDescent="0.15">
      <c r="H21">
        <f t="shared" si="0"/>
        <v>2047</v>
      </c>
    </row>
    <row r="22" spans="8:10" x14ac:dyDescent="0.15">
      <c r="H22">
        <f t="shared" si="0"/>
        <v>2048</v>
      </c>
    </row>
    <row r="23" spans="8:10" x14ac:dyDescent="0.15">
      <c r="H23">
        <f t="shared" si="0"/>
        <v>2049</v>
      </c>
    </row>
    <row r="24" spans="8:10" x14ac:dyDescent="0.15">
      <c r="H24">
        <f t="shared" si="0"/>
        <v>2050</v>
      </c>
    </row>
    <row r="27" spans="8:10" x14ac:dyDescent="0.15">
      <c r="J27" t="str">
        <f>IF(ISNUMBER(I7),IF(I7+1&lt;=2025,I7+1,""),"")</f>
        <v/>
      </c>
    </row>
    <row r="28" spans="8:10" x14ac:dyDescent="0.15">
      <c r="J28" t="str">
        <f t="shared" ref="J28:J29" si="2">IF(ISNUMBER(J27),IF(J27+1&lt;=2025,J27+1,""),"")</f>
        <v/>
      </c>
    </row>
    <row r="29" spans="8:10" x14ac:dyDescent="0.15">
      <c r="J29" t="str">
        <f t="shared" si="2"/>
        <v/>
      </c>
    </row>
    <row r="30" spans="8:10" x14ac:dyDescent="0.15">
      <c r="J30" t="str">
        <f t="shared" ref="J30:J31" si="3">IF(ISNUMBER(J29),IF(J29+1&lt;=2025,J29+1,""),"")</f>
        <v/>
      </c>
    </row>
    <row r="31" spans="8:10" x14ac:dyDescent="0.15">
      <c r="J31" t="str">
        <f t="shared" si="3"/>
        <v/>
      </c>
    </row>
    <row r="37" spans="2:2" x14ac:dyDescent="0.15">
      <c r="B37" s="97"/>
    </row>
  </sheetData>
  <conditionalFormatting sqref="B8">
    <cfRule type="cellIs" dxfId="31" priority="3" operator="equal">
      <formula>0</formula>
    </cfRule>
    <cfRule type="cellIs" dxfId="30" priority="4" operator="greaterThanOrEqual">
      <formula>10</formula>
    </cfRule>
  </conditionalFormatting>
  <conditionalFormatting sqref="O6">
    <cfRule type="expression" dxfId="29" priority="21">
      <formula>ISNA(O6)</formula>
    </cfRule>
    <cfRule type="cellIs" dxfId="28" priority="22" operator="equal">
      <formula>0</formula>
    </cfRule>
    <cfRule type="cellIs" dxfId="27" priority="23" operator="lessThan">
      <formula>10</formula>
    </cfRule>
  </conditionalFormatting>
  <pageMargins left="0.7" right="0.7" top="0.75" bottom="0.75" header="0.3" footer="0.3"/>
  <pageSetup paperSize="9" orientation="portrait" horizontalDpi="300"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Hojas de cálculo</vt:lpstr>
      </vt:variant>
      <vt:variant>
        <vt:i4>6</vt:i4>
      </vt:variant>
      <vt:variant>
        <vt:lpstr>Rangos con nombre</vt:lpstr>
      </vt:variant>
      <vt:variant>
        <vt:i4>1</vt:i4>
      </vt:variant>
    </vt:vector>
  </HeadingPairs>
  <TitlesOfParts>
    <vt:vector size="7" baseType="lpstr">
      <vt:lpstr>README</vt:lpstr>
      <vt:lpstr>Automakers</vt:lpstr>
      <vt:lpstr>Autoparts</vt:lpstr>
      <vt:lpstr>Target  aggregator</vt:lpstr>
      <vt:lpstr>Calculations</vt:lpstr>
      <vt:lpstr>Database</vt:lpstr>
      <vt:lpstr>sector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SBTi Automotive Tool</dc:title>
  <dc:creator>frangel@wwfmex.org;Fernando Rangel Villasana;Smart Freight Centre</dc:creator>
  <cp:lastModifiedBy>AnaOlvera</cp:lastModifiedBy>
  <cp:lastPrinted>2018-06-15T11:54:07Z</cp:lastPrinted>
  <dcterms:created xsi:type="dcterms:W3CDTF">2018-05-29T20:19:30Z</dcterms:created>
  <dcterms:modified xsi:type="dcterms:W3CDTF">2025-08-05T22:32:29Z</dcterms:modified>
</cp:coreProperties>
</file>